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drawings/drawing5.xml" ContentType="application/vnd.openxmlformats-officedocument.drawing+xml"/>
  <Override PartName="/xl/charts/chart61.xml" ContentType="application/vnd.openxmlformats-officedocument.drawingml.chart+xml"/>
  <Override PartName="/xl/drawings/drawing6.xml" ContentType="application/vnd.openxmlformats-officedocument.drawingml.chartshapes+xml"/>
  <Override PartName="/xl/charts/chart62.xml" ContentType="application/vnd.openxmlformats-officedocument.drawingml.chart+xml"/>
  <Override PartName="/xl/drawings/drawing7.xml" ContentType="application/vnd.openxmlformats-officedocument.drawingml.chartshapes+xml"/>
  <Override PartName="/xl/charts/chart63.xml" ContentType="application/vnd.openxmlformats-officedocument.drawingml.chart+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13.xml" ContentType="application/vnd.openxmlformats-officedocument.drawing+xml"/>
  <Override PartName="/xl/charts/chart85.xml" ContentType="application/vnd.openxmlformats-officedocument.drawingml.chart+xml"/>
  <Override PartName="/xl/drawings/drawing14.xml" ContentType="application/vnd.openxmlformats-officedocument.drawingml.chartshapes+xml"/>
  <Override PartName="/xl/charts/chart86.xml" ContentType="application/vnd.openxmlformats-officedocument.drawingml.chart+xml"/>
  <Override PartName="/xl/drawings/drawing15.xml" ContentType="application/vnd.openxmlformats-officedocument.drawingml.chartshapes+xml"/>
  <Override PartName="/xl/charts/chart8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omments3.xml" ContentType="application/vnd.openxmlformats-officedocument.spreadsheetml.comments+xml"/>
  <Override PartName="/xl/charts/chart88.xml" ContentType="application/vnd.openxmlformats-officedocument.drawingml.chart+xml"/>
  <Override PartName="/xl/charts/chart89.xml" ContentType="application/vnd.openxmlformats-officedocument.drawingml.chart+xml"/>
  <Override PartName="/xl/drawings/drawing18.xml" ContentType="application/vnd.openxmlformats-officedocument.drawing+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drawings/drawing19.xml" ContentType="application/vnd.openxmlformats-officedocument.drawing+xml"/>
  <Override PartName="/xl/charts/chart95.xml" ContentType="application/vnd.openxmlformats-officedocument.drawingml.chart+xml"/>
  <Override PartName="/xl/charts/chart96.xml" ContentType="application/vnd.openxmlformats-officedocument.drawingml.chart+xml"/>
  <Override PartName="/xl/charts/chart9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defaultThemeVersion="124226"/>
  <bookViews>
    <workbookView xWindow="280" yWindow="30" windowWidth="19340" windowHeight="6490" tabRatio="791"/>
  </bookViews>
  <sheets>
    <sheet name="Introduction" sheetId="60" r:id="rId1"/>
    <sheet name="Methodology" sheetId="10" r:id="rId2"/>
    <sheet name="Products" sheetId="33" r:id="rId3"/>
    <sheet name="Summary" sheetId="96" r:id="rId4"/>
    <sheet name="Dashboard" sheetId="76" r:id="rId5"/>
    <sheet name="Products x speed" sheetId="91" r:id="rId6"/>
    <sheet name="Telecom" sheetId="66" r:id="rId7"/>
    <sheet name="Enterprise" sheetId="69" r:id="rId8"/>
    <sheet name="Cloud" sheetId="68" r:id="rId9"/>
    <sheet name="Products x segment" sheetId="70" r:id="rId10"/>
    <sheet name="Segment dashbd" sheetId="71" r:id="rId11"/>
    <sheet name="112 Adoption" sheetId="123" r:id="rId12"/>
    <sheet name="Cost per Gbps" sheetId="87" r:id="rId13"/>
    <sheet name="Figures for Report" sheetId="102" r:id="rId14"/>
  </sheets>
  <externalReferences>
    <externalReference r:id="rId15"/>
  </externalReferences>
  <definedNames>
    <definedName name="Codes">[1]Ethernet!$AE$9:$AE$47</definedName>
    <definedName name="Comments">#REF!</definedName>
    <definedName name="Current_cell">!A1</definedName>
    <definedName name="Growthconstants">#REF!</definedName>
    <definedName name="PriceDCE">Enterprise!$B$75:$O$136</definedName>
    <definedName name="PriceDCM">Cloud!$B$75:$O$136</definedName>
    <definedName name="PriceTEL">Telecom!$B$75:$O$136</definedName>
    <definedName name="RevDCE">Enterprise!$B$141:$O$202</definedName>
    <definedName name="RevDCM">Cloud!$B$141:$O$202</definedName>
    <definedName name="Revenue">'Products x speed'!$B$159:$O$228</definedName>
    <definedName name="Revenue_new_forecast_model">#REF!</definedName>
    <definedName name="Revenues_Apr19">#REF!</definedName>
    <definedName name="Revenues_Aug19">#REF!</definedName>
    <definedName name="Revenues_July2020">#REF!</definedName>
    <definedName name="Revenues_Mar2020">#REF!</definedName>
    <definedName name="Revenues_Oct19">#REF!</definedName>
    <definedName name="Revenues_Sep2020">#REF!</definedName>
    <definedName name="RevTEL">Telecom!$B$141:$O$202</definedName>
    <definedName name="VolDCE">Enterprise!$B$9:$O$70</definedName>
    <definedName name="VolDCM">Cloud!$B$9:$O$70</definedName>
    <definedName name="VolTEL">Telecom!$B$9:$O$70</definedName>
    <definedName name="Volume">'Products x speed'!$B$9:$O$78</definedName>
    <definedName name="Volume_Apr19">#REF!</definedName>
    <definedName name="Volume_Aug19">#REF!</definedName>
    <definedName name="Volume_July2020">#REF!</definedName>
    <definedName name="Volume_Mar2020">#REF!</definedName>
    <definedName name="Volume_new_forecast_model">#REF!</definedName>
    <definedName name="Volume_Oct19">#REF!</definedName>
    <definedName name="Volume_Sep2020">#REF!</definedName>
    <definedName name="Waterfall_ASP">#REF!</definedName>
    <definedName name="Waterfall_rev">#REF!</definedName>
    <definedName name="Waterfall_vol">#REF!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8" i="87" l="1"/>
  <c r="U38" i="87"/>
  <c r="T39" i="87"/>
  <c r="U39" i="87"/>
  <c r="E868" i="96"/>
  <c r="F868" i="96"/>
  <c r="G868" i="96"/>
  <c r="H868" i="96"/>
  <c r="I868" i="96"/>
  <c r="J868" i="96"/>
  <c r="K868" i="96"/>
  <c r="L868" i="96"/>
  <c r="M868" i="96"/>
  <c r="D868" i="96"/>
  <c r="C868" i="96"/>
  <c r="D869" i="96"/>
  <c r="E869" i="96"/>
  <c r="F869" i="96"/>
  <c r="G869" i="96"/>
  <c r="H869" i="96"/>
  <c r="I869" i="96"/>
  <c r="J869" i="96"/>
  <c r="K869" i="96"/>
  <c r="L869" i="96"/>
  <c r="M869" i="96"/>
  <c r="D870" i="96"/>
  <c r="E870" i="96"/>
  <c r="F870" i="96"/>
  <c r="G870" i="96"/>
  <c r="H870" i="96"/>
  <c r="I870" i="96"/>
  <c r="J870" i="96"/>
  <c r="K870" i="96"/>
  <c r="L870" i="96"/>
  <c r="M870" i="96"/>
  <c r="D871" i="96"/>
  <c r="E871" i="96"/>
  <c r="F871" i="96"/>
  <c r="G871" i="96"/>
  <c r="H871" i="96"/>
  <c r="I871" i="96"/>
  <c r="J871" i="96"/>
  <c r="K871" i="96"/>
  <c r="L871" i="96"/>
  <c r="M871" i="96"/>
  <c r="D872" i="96"/>
  <c r="E872" i="96"/>
  <c r="F872" i="96"/>
  <c r="G872" i="96"/>
  <c r="H872" i="96"/>
  <c r="I872" i="96"/>
  <c r="J872" i="96"/>
  <c r="K872" i="96"/>
  <c r="L872" i="96"/>
  <c r="M872" i="96"/>
  <c r="C872" i="96"/>
  <c r="C870" i="96"/>
  <c r="C871" i="96"/>
  <c r="C869" i="96"/>
  <c r="B633" i="96"/>
  <c r="B634" i="96"/>
  <c r="B635" i="96"/>
  <c r="B636" i="96"/>
  <c r="B637" i="96"/>
  <c r="B638" i="96"/>
  <c r="B639" i="96"/>
  <c r="B640" i="96"/>
  <c r="B641" i="96"/>
  <c r="B642" i="96"/>
  <c r="B643" i="96"/>
  <c r="B644" i="96"/>
  <c r="B645" i="96"/>
  <c r="B649" i="96"/>
  <c r="B650" i="96"/>
  <c r="B651" i="96"/>
  <c r="B844" i="96"/>
  <c r="B845" i="96"/>
  <c r="B846" i="96"/>
  <c r="P68" i="66"/>
  <c r="P67" i="66"/>
  <c r="P66" i="66"/>
  <c r="P65" i="66"/>
  <c r="P64" i="66"/>
  <c r="P63" i="66"/>
  <c r="P62" i="66"/>
  <c r="P61" i="66"/>
  <c r="P60" i="66"/>
  <c r="P59" i="66"/>
  <c r="P58" i="66"/>
  <c r="P57" i="66"/>
  <c r="P56" i="66"/>
  <c r="P55" i="66"/>
  <c r="P54" i="66"/>
  <c r="P53" i="66"/>
  <c r="P52" i="66"/>
  <c r="P51" i="66"/>
  <c r="P50" i="66"/>
  <c r="P49" i="66"/>
  <c r="P48" i="66"/>
  <c r="P47" i="66"/>
  <c r="P46" i="66"/>
  <c r="P45" i="66"/>
  <c r="P44" i="66"/>
  <c r="P43" i="66"/>
  <c r="P42" i="66"/>
  <c r="P41" i="66"/>
  <c r="P40" i="66"/>
  <c r="P39" i="66"/>
  <c r="P38" i="66"/>
  <c r="P37" i="66"/>
  <c r="P36" i="66"/>
  <c r="P35" i="66"/>
  <c r="P34" i="66"/>
  <c r="P33" i="66"/>
  <c r="P32" i="66"/>
  <c r="P31" i="66"/>
  <c r="P30" i="66"/>
  <c r="P29" i="66"/>
  <c r="P28" i="66"/>
  <c r="P27" i="66"/>
  <c r="P26" i="66"/>
  <c r="P25" i="66"/>
  <c r="P24" i="66"/>
  <c r="P22" i="66"/>
  <c r="P21" i="66"/>
  <c r="P20" i="66"/>
  <c r="P19" i="66"/>
  <c r="P18" i="66"/>
  <c r="P17" i="66"/>
  <c r="P16" i="66"/>
  <c r="P15" i="66"/>
  <c r="P14" i="66"/>
  <c r="P12" i="66"/>
  <c r="P11" i="66"/>
  <c r="P10" i="66"/>
  <c r="P9" i="66"/>
  <c r="E283" i="96"/>
  <c r="F283" i="96"/>
  <c r="G283" i="96"/>
  <c r="H283" i="96"/>
  <c r="I283" i="96"/>
  <c r="J283" i="96"/>
  <c r="K283" i="96"/>
  <c r="L283" i="96"/>
  <c r="M283" i="96"/>
  <c r="D283" i="96"/>
  <c r="N97" i="102"/>
  <c r="N98" i="102"/>
  <c r="N99" i="102"/>
  <c r="J31" i="76"/>
  <c r="F31" i="76"/>
  <c r="H31" i="76"/>
  <c r="M31" i="76"/>
  <c r="G31" i="76"/>
  <c r="K31" i="76"/>
  <c r="N31" i="76"/>
  <c r="I31" i="76"/>
  <c r="O31" i="76"/>
  <c r="L31" i="76"/>
  <c r="E31" i="76"/>
  <c r="E71" i="102" l="1"/>
  <c r="F71" i="102"/>
  <c r="G71" i="102"/>
  <c r="H71" i="102"/>
  <c r="D71" i="102"/>
  <c r="N33" i="76"/>
  <c r="G33" i="76"/>
  <c r="L33" i="76"/>
  <c r="J33" i="76"/>
  <c r="O33" i="76"/>
  <c r="K33" i="76"/>
  <c r="I33" i="76"/>
  <c r="H33" i="76"/>
  <c r="E33" i="76"/>
  <c r="F33" i="76"/>
  <c r="M33" i="76"/>
  <c r="H32" i="76" l="1"/>
  <c r="I32" i="76"/>
  <c r="G32" i="76"/>
  <c r="M32" i="76"/>
  <c r="L32" i="76"/>
  <c r="K32" i="76"/>
  <c r="N32" i="76"/>
  <c r="J32" i="76"/>
  <c r="F32" i="76"/>
  <c r="O32" i="76"/>
  <c r="C657" i="96"/>
  <c r="E653" i="96"/>
  <c r="D653" i="96"/>
  <c r="C653" i="96"/>
  <c r="D650" i="96"/>
  <c r="C650" i="96"/>
  <c r="B662" i="96"/>
  <c r="M570" i="96"/>
  <c r="I141" i="91" l="1"/>
  <c r="I142" i="91"/>
  <c r="I143" i="91"/>
  <c r="B55" i="69"/>
  <c r="B187" i="69" s="1"/>
  <c r="C55" i="69"/>
  <c r="C121" i="69" s="1"/>
  <c r="D55" i="69"/>
  <c r="D121" i="69" s="1"/>
  <c r="B56" i="69"/>
  <c r="B188" i="69" s="1"/>
  <c r="C56" i="69"/>
  <c r="C188" i="69" s="1"/>
  <c r="D56" i="69"/>
  <c r="D122" i="69" s="1"/>
  <c r="B55" i="68"/>
  <c r="B121" i="68" s="1"/>
  <c r="C55" i="68"/>
  <c r="C187" i="68" s="1"/>
  <c r="D55" i="68"/>
  <c r="D187" i="68" s="1"/>
  <c r="B56" i="68"/>
  <c r="B122" i="68" s="1"/>
  <c r="C56" i="68"/>
  <c r="C122" i="68" s="1"/>
  <c r="D56" i="68"/>
  <c r="D188" i="68" s="1"/>
  <c r="B55" i="66"/>
  <c r="B187" i="66" s="1"/>
  <c r="C55" i="66"/>
  <c r="C121" i="66" s="1"/>
  <c r="D55" i="66"/>
  <c r="D121" i="66" s="1"/>
  <c r="B56" i="66"/>
  <c r="B188" i="66" s="1"/>
  <c r="C56" i="66"/>
  <c r="C188" i="66" s="1"/>
  <c r="D56" i="66"/>
  <c r="D122" i="66" s="1"/>
  <c r="B55" i="91"/>
  <c r="B130" i="91" s="1"/>
  <c r="C55" i="91"/>
  <c r="C130" i="91" s="1"/>
  <c r="D55" i="91"/>
  <c r="D130" i="91" s="1"/>
  <c r="E187" i="68"/>
  <c r="B56" i="91"/>
  <c r="B131" i="91" s="1"/>
  <c r="C56" i="91"/>
  <c r="C131" i="91" s="1"/>
  <c r="D56" i="91"/>
  <c r="D131" i="91" s="1"/>
  <c r="E188" i="69"/>
  <c r="E112" i="91"/>
  <c r="F112" i="91"/>
  <c r="G112" i="91"/>
  <c r="H112" i="91"/>
  <c r="E113" i="91"/>
  <c r="F113" i="91"/>
  <c r="G113" i="91"/>
  <c r="H113" i="91"/>
  <c r="B36" i="91"/>
  <c r="B186" i="91" s="1"/>
  <c r="C36" i="91"/>
  <c r="C186" i="91" s="1"/>
  <c r="D36" i="91"/>
  <c r="D186" i="91" s="1"/>
  <c r="B37" i="91"/>
  <c r="C37" i="91"/>
  <c r="C187" i="91" s="1"/>
  <c r="D37" i="91"/>
  <c r="D112" i="91" s="1"/>
  <c r="B38" i="91"/>
  <c r="B113" i="91" s="1"/>
  <c r="C38" i="91"/>
  <c r="C113" i="91" s="1"/>
  <c r="D38" i="91"/>
  <c r="D188" i="91" s="1"/>
  <c r="F675" i="96"/>
  <c r="E675" i="96"/>
  <c r="D675" i="96"/>
  <c r="C675" i="96"/>
  <c r="B205" i="91" l="1"/>
  <c r="H134" i="91"/>
  <c r="C205" i="91"/>
  <c r="D187" i="66"/>
  <c r="C188" i="68"/>
  <c r="B187" i="68"/>
  <c r="D187" i="69"/>
  <c r="C122" i="66"/>
  <c r="B121" i="66"/>
  <c r="D121" i="68"/>
  <c r="C122" i="69"/>
  <c r="B121" i="69"/>
  <c r="D188" i="66"/>
  <c r="C187" i="66"/>
  <c r="B188" i="68"/>
  <c r="D188" i="69"/>
  <c r="C187" i="69"/>
  <c r="B122" i="66"/>
  <c r="D122" i="68"/>
  <c r="C121" i="68"/>
  <c r="B122" i="69"/>
  <c r="E676" i="96"/>
  <c r="F644" i="96"/>
  <c r="F643" i="96"/>
  <c r="F659" i="96" s="1"/>
  <c r="E644" i="96"/>
  <c r="C676" i="96"/>
  <c r="F188" i="69"/>
  <c r="D644" i="96"/>
  <c r="F187" i="69"/>
  <c r="F130" i="91"/>
  <c r="D643" i="96"/>
  <c r="D659" i="96" s="1"/>
  <c r="B206" i="91"/>
  <c r="D206" i="91"/>
  <c r="G130" i="91"/>
  <c r="E643" i="96"/>
  <c r="E659" i="96" s="1"/>
  <c r="C206" i="91"/>
  <c r="C644" i="96"/>
  <c r="E130" i="91"/>
  <c r="E121" i="66" s="1"/>
  <c r="C643" i="96"/>
  <c r="C659" i="96" s="1"/>
  <c r="D205" i="91"/>
  <c r="E187" i="66"/>
  <c r="H130" i="91"/>
  <c r="F676" i="96"/>
  <c r="D676" i="96"/>
  <c r="E121" i="69"/>
  <c r="E187" i="69"/>
  <c r="D187" i="91"/>
  <c r="B112" i="91"/>
  <c r="D113" i="91"/>
  <c r="B188" i="91"/>
  <c r="C112" i="91"/>
  <c r="B187" i="91"/>
  <c r="C188" i="91"/>
  <c r="F188" i="68" l="1"/>
  <c r="C660" i="96"/>
  <c r="E660" i="96"/>
  <c r="E121" i="68"/>
  <c r="E131" i="91"/>
  <c r="E122" i="66" s="1"/>
  <c r="E188" i="66" s="1"/>
  <c r="G131" i="91"/>
  <c r="B660" i="96"/>
  <c r="B675" i="96"/>
  <c r="F131" i="91"/>
  <c r="B659" i="96"/>
  <c r="F660" i="96"/>
  <c r="H131" i="91"/>
  <c r="D660" i="96"/>
  <c r="H121" i="66"/>
  <c r="G121" i="66"/>
  <c r="F187" i="68"/>
  <c r="F121" i="69"/>
  <c r="F121" i="66"/>
  <c r="F187" i="66" s="1"/>
  <c r="F121" i="68"/>
  <c r="E188" i="68"/>
  <c r="B676" i="96" l="1"/>
  <c r="G122" i="66"/>
  <c r="H122" i="66"/>
  <c r="E122" i="69"/>
  <c r="E122" i="68"/>
  <c r="F122" i="66"/>
  <c r="F188" i="66" s="1"/>
  <c r="F122" i="69"/>
  <c r="F122" i="68"/>
  <c r="I112" i="91" l="1"/>
  <c r="U99" i="87" l="1"/>
  <c r="U109" i="87"/>
  <c r="Z44" i="123"/>
  <c r="Z50" i="123"/>
  <c r="Z56" i="123"/>
  <c r="M56" i="123"/>
  <c r="O98" i="91"/>
  <c r="M453" i="96"/>
  <c r="M455" i="96"/>
  <c r="M553" i="96" l="1"/>
  <c r="M569" i="96"/>
  <c r="M554" i="96"/>
  <c r="M562" i="96" s="1"/>
  <c r="O114" i="91"/>
  <c r="U126" i="87"/>
  <c r="O115" i="91"/>
  <c r="U125" i="87"/>
  <c r="O89" i="66"/>
  <c r="U100" i="87"/>
  <c r="O89" i="91"/>
  <c r="M561" i="96" l="1"/>
  <c r="O105" i="66"/>
  <c r="O106" i="66"/>
  <c r="O80" i="66"/>
  <c r="D702" i="96" l="1"/>
  <c r="C702" i="96"/>
  <c r="D83" i="87" l="1"/>
  <c r="D84" i="87"/>
  <c r="D85" i="87"/>
  <c r="D86" i="87"/>
  <c r="D87" i="87"/>
  <c r="D88" i="87"/>
  <c r="D89" i="87"/>
  <c r="D90" i="87"/>
  <c r="D91" i="87"/>
  <c r="D72" i="87"/>
  <c r="D73" i="87"/>
  <c r="D74" i="87"/>
  <c r="D75" i="87"/>
  <c r="D76" i="87"/>
  <c r="D77" i="87"/>
  <c r="D78" i="87"/>
  <c r="D79" i="87"/>
  <c r="D80" i="87"/>
  <c r="G216" i="96"/>
  <c r="G226" i="96"/>
  <c r="F864" i="96"/>
  <c r="C844" i="96"/>
  <c r="D844" i="96"/>
  <c r="E844" i="96"/>
  <c r="F844" i="96"/>
  <c r="G844" i="96"/>
  <c r="C845" i="96"/>
  <c r="D845" i="96"/>
  <c r="E845" i="96"/>
  <c r="F845" i="96"/>
  <c r="G845" i="96"/>
  <c r="C846" i="96"/>
  <c r="D846" i="96"/>
  <c r="E846" i="96"/>
  <c r="F846" i="96"/>
  <c r="G846" i="96"/>
  <c r="D864" i="96"/>
  <c r="B864" i="96"/>
  <c r="E864" i="96"/>
  <c r="B856" i="96"/>
  <c r="N40" i="70" l="1"/>
  <c r="B229" i="96" l="1"/>
  <c r="B230" i="96"/>
  <c r="B231" i="96"/>
  <c r="B232" i="96"/>
  <c r="B233" i="96"/>
  <c r="B234" i="96"/>
  <c r="B235" i="96"/>
  <c r="B236" i="96"/>
  <c r="B237" i="96"/>
  <c r="B144" i="96"/>
  <c r="B3" i="123" l="1"/>
  <c r="B2" i="123"/>
  <c r="O38" i="123" l="1"/>
  <c r="O56" i="123" s="1"/>
  <c r="O54" i="123"/>
  <c r="O55" i="123"/>
  <c r="Y56" i="123"/>
  <c r="X56" i="123"/>
  <c r="W56" i="123"/>
  <c r="V56" i="123"/>
  <c r="O53" i="123"/>
  <c r="O48" i="123"/>
  <c r="O49" i="123"/>
  <c r="Y50" i="123"/>
  <c r="X50" i="123"/>
  <c r="W50" i="123"/>
  <c r="V50" i="123"/>
  <c r="O47" i="123"/>
  <c r="O42" i="123"/>
  <c r="O43" i="123"/>
  <c r="Y44" i="123"/>
  <c r="X44" i="123"/>
  <c r="W44" i="123"/>
  <c r="V44" i="123"/>
  <c r="O41" i="123"/>
  <c r="B41" i="123"/>
  <c r="B43" i="123"/>
  <c r="B42" i="123"/>
  <c r="I56" i="123"/>
  <c r="J56" i="123"/>
  <c r="K56" i="123"/>
  <c r="L56" i="123"/>
  <c r="J50" i="123"/>
  <c r="K50" i="123"/>
  <c r="L50" i="123"/>
  <c r="I50" i="123"/>
  <c r="B53" i="123"/>
  <c r="B55" i="123"/>
  <c r="B54" i="123"/>
  <c r="B47" i="123"/>
  <c r="B49" i="123"/>
  <c r="B48" i="123"/>
  <c r="B38" i="123"/>
  <c r="O50" i="123" l="1"/>
  <c r="O44" i="123"/>
  <c r="B44" i="123"/>
  <c r="B50" i="123"/>
  <c r="B56" i="123"/>
  <c r="B146" i="91" l="1"/>
  <c r="C146" i="91"/>
  <c r="D146" i="91"/>
  <c r="B147" i="91"/>
  <c r="C147" i="91"/>
  <c r="D147" i="91"/>
  <c r="E224" i="91"/>
  <c r="F224" i="91"/>
  <c r="G224" i="91"/>
  <c r="H224" i="91"/>
  <c r="M846" i="96" l="1"/>
  <c r="M216" i="96" l="1"/>
  <c r="M127" i="96"/>
  <c r="M844" i="96"/>
  <c r="M226" i="96"/>
  <c r="M845" i="96"/>
  <c r="O78" i="91"/>
  <c r="M848" i="96" l="1"/>
  <c r="N100" i="102" s="1"/>
  <c r="E254" i="70" l="1"/>
  <c r="D254" i="70"/>
  <c r="F253" i="70"/>
  <c r="E253" i="70"/>
  <c r="D253" i="70"/>
  <c r="C253" i="70"/>
  <c r="I134" i="91" l="1"/>
  <c r="J134" i="91" l="1"/>
  <c r="L134" i="91" l="1"/>
  <c r="K134" i="91"/>
  <c r="N134" i="91" l="1"/>
  <c r="M134" i="91"/>
  <c r="F88" i="91" l="1"/>
  <c r="G88" i="91"/>
  <c r="G143" i="91"/>
  <c r="G142" i="91"/>
  <c r="G141" i="91"/>
  <c r="G144" i="91"/>
  <c r="F134" i="68" l="1"/>
  <c r="E134" i="68"/>
  <c r="F133" i="68"/>
  <c r="E133" i="68"/>
  <c r="F132" i="68"/>
  <c r="E132" i="68"/>
  <c r="E131" i="68"/>
  <c r="E130" i="68"/>
  <c r="F129" i="68"/>
  <c r="E129" i="68"/>
  <c r="F128" i="68"/>
  <c r="E128" i="68"/>
  <c r="F127" i="68"/>
  <c r="E127" i="68"/>
  <c r="F126" i="68"/>
  <c r="E126" i="68"/>
  <c r="F125" i="68"/>
  <c r="E125" i="68"/>
  <c r="F124" i="68"/>
  <c r="E124" i="68"/>
  <c r="F79" i="68"/>
  <c r="D68" i="68" l="1"/>
  <c r="D134" i="68" s="1"/>
  <c r="C68" i="68"/>
  <c r="C200" i="68" s="1"/>
  <c r="D67" i="68"/>
  <c r="D199" i="68" s="1"/>
  <c r="C67" i="68"/>
  <c r="C199" i="68" s="1"/>
  <c r="D68" i="69"/>
  <c r="D134" i="69" s="1"/>
  <c r="C68" i="69"/>
  <c r="C134" i="69" s="1"/>
  <c r="D67" i="69"/>
  <c r="D133" i="69" s="1"/>
  <c r="C67" i="69"/>
  <c r="C199" i="69" s="1"/>
  <c r="F134" i="69"/>
  <c r="E134" i="69"/>
  <c r="F133" i="69"/>
  <c r="E133" i="69"/>
  <c r="F134" i="66"/>
  <c r="E134" i="66"/>
  <c r="F133" i="66"/>
  <c r="E133" i="66"/>
  <c r="C67" i="66"/>
  <c r="C133" i="66" s="1"/>
  <c r="D67" i="66"/>
  <c r="D133" i="66" s="1"/>
  <c r="C68" i="66"/>
  <c r="C200" i="66" s="1"/>
  <c r="D68" i="66"/>
  <c r="D200" i="66" s="1"/>
  <c r="F200" i="68"/>
  <c r="F199" i="68"/>
  <c r="J216" i="96"/>
  <c r="I216" i="96"/>
  <c r="H143" i="91"/>
  <c r="H142" i="91"/>
  <c r="H141" i="91"/>
  <c r="B228" i="91"/>
  <c r="B153" i="91" s="1"/>
  <c r="C228" i="91"/>
  <c r="C153" i="91" s="1"/>
  <c r="D228" i="91"/>
  <c r="D153" i="91" s="1"/>
  <c r="E228" i="91"/>
  <c r="F228" i="91"/>
  <c r="G228" i="91"/>
  <c r="H228" i="91"/>
  <c r="F78" i="91"/>
  <c r="H78" i="91"/>
  <c r="E78" i="91"/>
  <c r="C67" i="91"/>
  <c r="C217" i="91" s="1"/>
  <c r="D67" i="91"/>
  <c r="D217" i="91" s="1"/>
  <c r="C68" i="91"/>
  <c r="C218" i="91" s="1"/>
  <c r="D68" i="91"/>
  <c r="D143" i="91" s="1"/>
  <c r="G862" i="96" l="1"/>
  <c r="G861" i="96"/>
  <c r="C200" i="69"/>
  <c r="I844" i="96"/>
  <c r="I845" i="96"/>
  <c r="J844" i="96"/>
  <c r="H846" i="96"/>
  <c r="H216" i="96"/>
  <c r="H844" i="96"/>
  <c r="H845" i="96"/>
  <c r="H226" i="96"/>
  <c r="K846" i="96"/>
  <c r="D199" i="69"/>
  <c r="C133" i="69"/>
  <c r="D200" i="69"/>
  <c r="D133" i="68"/>
  <c r="J78" i="91"/>
  <c r="C143" i="91"/>
  <c r="D218" i="91"/>
  <c r="F199" i="66"/>
  <c r="E200" i="66"/>
  <c r="G133" i="66"/>
  <c r="E199" i="68"/>
  <c r="F200" i="66"/>
  <c r="H133" i="66"/>
  <c r="G134" i="66"/>
  <c r="E200" i="69"/>
  <c r="C142" i="91"/>
  <c r="I133" i="66"/>
  <c r="H134" i="66"/>
  <c r="E199" i="69"/>
  <c r="F200" i="69"/>
  <c r="E200" i="68"/>
  <c r="D142" i="91"/>
  <c r="E199" i="66"/>
  <c r="F199" i="69"/>
  <c r="D200" i="68"/>
  <c r="C134" i="68"/>
  <c r="C133" i="68"/>
  <c r="C199" i="66"/>
  <c r="C134" i="66"/>
  <c r="D199" i="66"/>
  <c r="D134" i="66"/>
  <c r="I78" i="91"/>
  <c r="I153" i="91" s="1"/>
  <c r="K226" i="96"/>
  <c r="K845" i="96" l="1"/>
  <c r="I134" i="66"/>
  <c r="B222" i="91" l="1"/>
  <c r="C222" i="91"/>
  <c r="D222" i="91"/>
  <c r="B223" i="91"/>
  <c r="C223" i="91"/>
  <c r="D223" i="91"/>
  <c r="B224" i="91"/>
  <c r="C224" i="91"/>
  <c r="D224" i="91"/>
  <c r="B225" i="91"/>
  <c r="C225" i="91"/>
  <c r="D225" i="91"/>
  <c r="B226" i="91"/>
  <c r="C226" i="91"/>
  <c r="D226" i="91"/>
  <c r="B227" i="91"/>
  <c r="B152" i="91" s="1"/>
  <c r="C227" i="91"/>
  <c r="C152" i="91" s="1"/>
  <c r="D227" i="91"/>
  <c r="D152" i="91" s="1"/>
  <c r="F132" i="69" l="1"/>
  <c r="E132" i="69"/>
  <c r="E131" i="69"/>
  <c r="E130" i="69"/>
  <c r="F129" i="69"/>
  <c r="E129" i="69"/>
  <c r="F128" i="69"/>
  <c r="E128" i="69"/>
  <c r="F127" i="69"/>
  <c r="E127" i="69"/>
  <c r="F126" i="69"/>
  <c r="E126" i="69"/>
  <c r="F125" i="69"/>
  <c r="E125" i="69"/>
  <c r="F124" i="69"/>
  <c r="E124" i="69"/>
  <c r="F79" i="69"/>
  <c r="H132" i="66"/>
  <c r="F132" i="66"/>
  <c r="E132" i="66"/>
  <c r="E131" i="66"/>
  <c r="E130" i="66"/>
  <c r="F129" i="66"/>
  <c r="E129" i="66"/>
  <c r="F128" i="66"/>
  <c r="E128" i="66"/>
  <c r="F127" i="66"/>
  <c r="E127" i="66"/>
  <c r="F126" i="66"/>
  <c r="E126" i="66"/>
  <c r="F125" i="66"/>
  <c r="E125" i="66"/>
  <c r="F124" i="66"/>
  <c r="E124" i="66"/>
  <c r="F70" i="102" l="1"/>
  <c r="G221" i="91" l="1"/>
  <c r="E142" i="96"/>
  <c r="G226" i="91"/>
  <c r="G227" i="91"/>
  <c r="E143" i="96"/>
  <c r="I226" i="96"/>
  <c r="G78" i="91"/>
  <c r="I846" i="96" l="1"/>
  <c r="K78" i="91"/>
  <c r="G132" i="66"/>
  <c r="D564" i="96" l="1"/>
  <c r="T99" i="87"/>
  <c r="T109" i="87"/>
  <c r="L570" i="96" l="1"/>
  <c r="N98" i="91"/>
  <c r="N114" i="91" l="1"/>
  <c r="N89" i="66"/>
  <c r="N89" i="91"/>
  <c r="L453" i="96"/>
  <c r="L455" i="96"/>
  <c r="N115" i="91"/>
  <c r="T100" i="87"/>
  <c r="T126" i="87"/>
  <c r="L554" i="96"/>
  <c r="L562" i="96" s="1"/>
  <c r="T125" i="87"/>
  <c r="L553" i="96"/>
  <c r="L569" i="96" l="1"/>
  <c r="L561" i="96"/>
  <c r="N80" i="66"/>
  <c r="N105" i="66"/>
  <c r="N106" i="66"/>
  <c r="C157" i="96"/>
  <c r="C153" i="96"/>
  <c r="F127" i="96"/>
  <c r="I453" i="96"/>
  <c r="E570" i="96"/>
  <c r="D245" i="70"/>
  <c r="E485" i="96"/>
  <c r="E198" i="69"/>
  <c r="F198" i="69"/>
  <c r="E198" i="68"/>
  <c r="F198" i="68"/>
  <c r="E198" i="66"/>
  <c r="F198" i="66"/>
  <c r="B67" i="69"/>
  <c r="B199" i="69" s="1"/>
  <c r="B68" i="69"/>
  <c r="B134" i="69" s="1"/>
  <c r="B201" i="69"/>
  <c r="B67" i="68"/>
  <c r="B133" i="68" s="1"/>
  <c r="B68" i="68"/>
  <c r="B134" i="68" s="1"/>
  <c r="B67" i="66"/>
  <c r="B133" i="66" s="1"/>
  <c r="B68" i="66"/>
  <c r="B134" i="66" s="1"/>
  <c r="B135" i="66"/>
  <c r="B66" i="69"/>
  <c r="C66" i="69"/>
  <c r="C198" i="69" s="1"/>
  <c r="D66" i="69"/>
  <c r="D132" i="69" s="1"/>
  <c r="B66" i="68"/>
  <c r="B198" i="68" s="1"/>
  <c r="C66" i="68"/>
  <c r="D66" i="68"/>
  <c r="D132" i="68" s="1"/>
  <c r="B66" i="66"/>
  <c r="B132" i="66" s="1"/>
  <c r="C66" i="66"/>
  <c r="C198" i="66" s="1"/>
  <c r="D66" i="66"/>
  <c r="D198" i="66" s="1"/>
  <c r="B69" i="91"/>
  <c r="B68" i="91"/>
  <c r="B67" i="91"/>
  <c r="B66" i="91"/>
  <c r="C66" i="91"/>
  <c r="C150" i="87" s="1"/>
  <c r="D66" i="91"/>
  <c r="D150" i="87" s="1"/>
  <c r="D128" i="96"/>
  <c r="B47" i="69"/>
  <c r="B113" i="69" s="1"/>
  <c r="C47" i="69"/>
  <c r="D47" i="69"/>
  <c r="D113" i="69" s="1"/>
  <c r="B48" i="69"/>
  <c r="C48" i="69"/>
  <c r="C114" i="69" s="1"/>
  <c r="D48" i="69"/>
  <c r="D114" i="69" s="1"/>
  <c r="B47" i="68"/>
  <c r="B113" i="68" s="1"/>
  <c r="C47" i="68"/>
  <c r="C179" i="68" s="1"/>
  <c r="D47" i="68"/>
  <c r="D113" i="68" s="1"/>
  <c r="B48" i="68"/>
  <c r="B114" i="68" s="1"/>
  <c r="C48" i="68"/>
  <c r="C114" i="68" s="1"/>
  <c r="D48" i="68"/>
  <c r="B47" i="66"/>
  <c r="B113" i="66" s="1"/>
  <c r="C47" i="66"/>
  <c r="C179" i="66" s="1"/>
  <c r="D47" i="66"/>
  <c r="D113" i="66" s="1"/>
  <c r="B48" i="66"/>
  <c r="B114" i="66" s="1"/>
  <c r="C48" i="66"/>
  <c r="C114" i="66" s="1"/>
  <c r="D48" i="66"/>
  <c r="D114" i="66" s="1"/>
  <c r="B47" i="91"/>
  <c r="B133" i="87" s="1"/>
  <c r="C47" i="91"/>
  <c r="C133" i="87" s="1"/>
  <c r="D47" i="91"/>
  <c r="D122" i="91" s="1"/>
  <c r="B48" i="91"/>
  <c r="C48" i="91"/>
  <c r="C123" i="91" s="1"/>
  <c r="D48" i="91"/>
  <c r="B53" i="91"/>
  <c r="C53" i="91"/>
  <c r="C128" i="91" s="1"/>
  <c r="D53" i="91"/>
  <c r="D128" i="91" s="1"/>
  <c r="D673" i="96"/>
  <c r="B49" i="91"/>
  <c r="B199" i="91" s="1"/>
  <c r="C49" i="91"/>
  <c r="C124" i="91" s="1"/>
  <c r="D49" i="91"/>
  <c r="D199" i="91" s="1"/>
  <c r="B46" i="91"/>
  <c r="B121" i="91" s="1"/>
  <c r="C46" i="91"/>
  <c r="D46" i="91"/>
  <c r="B42" i="91"/>
  <c r="B128" i="87" s="1"/>
  <c r="C42" i="91"/>
  <c r="D42" i="91"/>
  <c r="D117" i="91" s="1"/>
  <c r="C642" i="96"/>
  <c r="C658" i="96" s="1"/>
  <c r="D642" i="96"/>
  <c r="D658" i="96" s="1"/>
  <c r="B39" i="91"/>
  <c r="B114" i="91" s="1"/>
  <c r="C39" i="91"/>
  <c r="D39" i="91"/>
  <c r="D125" i="87" s="1"/>
  <c r="B40" i="91"/>
  <c r="B190" i="91" s="1"/>
  <c r="C40" i="91"/>
  <c r="D40" i="91"/>
  <c r="D126" i="87" s="1"/>
  <c r="B41" i="91"/>
  <c r="C41" i="91"/>
  <c r="C191" i="91" s="1"/>
  <c r="D41" i="91"/>
  <c r="D116" i="91" s="1"/>
  <c r="B43" i="91"/>
  <c r="C43" i="91"/>
  <c r="D43" i="91"/>
  <c r="D118" i="91" s="1"/>
  <c r="B44" i="91"/>
  <c r="C44" i="91"/>
  <c r="C194" i="91" s="1"/>
  <c r="D44" i="91"/>
  <c r="D194" i="91" s="1"/>
  <c r="B45" i="91"/>
  <c r="B120" i="91" s="1"/>
  <c r="C45" i="91"/>
  <c r="C120" i="91" s="1"/>
  <c r="D45" i="91"/>
  <c r="D120" i="91" s="1"/>
  <c r="B50" i="91"/>
  <c r="C50" i="91"/>
  <c r="C200" i="91" s="1"/>
  <c r="D50" i="91"/>
  <c r="B51" i="91"/>
  <c r="C51" i="91"/>
  <c r="C201" i="91" s="1"/>
  <c r="D51" i="91"/>
  <c r="D126" i="91" s="1"/>
  <c r="B52" i="91"/>
  <c r="C52" i="91"/>
  <c r="C202" i="91" s="1"/>
  <c r="D52" i="91"/>
  <c r="D138" i="87" s="1"/>
  <c r="B54" i="91"/>
  <c r="C54" i="91"/>
  <c r="C129" i="91" s="1"/>
  <c r="D54" i="91"/>
  <c r="D140" i="87" s="1"/>
  <c r="B57" i="91"/>
  <c r="B207" i="91" s="1"/>
  <c r="C57" i="91"/>
  <c r="C207" i="91" s="1"/>
  <c r="D57" i="91"/>
  <c r="E669" i="96"/>
  <c r="D669" i="96"/>
  <c r="D666" i="96"/>
  <c r="D456" i="96"/>
  <c r="D570" i="96"/>
  <c r="D671" i="96"/>
  <c r="D672" i="96"/>
  <c r="D722" i="96" s="1"/>
  <c r="D674" i="96"/>
  <c r="D70" i="102"/>
  <c r="G134" i="91"/>
  <c r="F573" i="96"/>
  <c r="E484" i="96"/>
  <c r="B42" i="69"/>
  <c r="B174" i="69" s="1"/>
  <c r="C42" i="69"/>
  <c r="D42" i="69"/>
  <c r="D108" i="69" s="1"/>
  <c r="B43" i="69"/>
  <c r="C43" i="69"/>
  <c r="C109" i="69" s="1"/>
  <c r="D43" i="69"/>
  <c r="B44" i="69"/>
  <c r="B176" i="69" s="1"/>
  <c r="C44" i="69"/>
  <c r="C176" i="69" s="1"/>
  <c r="D44" i="69"/>
  <c r="B45" i="69"/>
  <c r="C45" i="69"/>
  <c r="D45" i="69"/>
  <c r="B46" i="69"/>
  <c r="C46" i="69"/>
  <c r="D46" i="69"/>
  <c r="B49" i="69"/>
  <c r="C49" i="69"/>
  <c r="C115" i="69" s="1"/>
  <c r="D49" i="69"/>
  <c r="D115" i="69" s="1"/>
  <c r="B50" i="69"/>
  <c r="C50" i="69"/>
  <c r="C116" i="69" s="1"/>
  <c r="D50" i="69"/>
  <c r="D182" i="69" s="1"/>
  <c r="B51" i="69"/>
  <c r="B183" i="69" s="1"/>
  <c r="C51" i="69"/>
  <c r="D51" i="69"/>
  <c r="D183" i="69" s="1"/>
  <c r="B52" i="69"/>
  <c r="B118" i="69" s="1"/>
  <c r="C52" i="69"/>
  <c r="C184" i="69" s="1"/>
  <c r="D52" i="69"/>
  <c r="D118" i="69" s="1"/>
  <c r="B53" i="69"/>
  <c r="C53" i="69"/>
  <c r="C119" i="69" s="1"/>
  <c r="D53" i="69"/>
  <c r="D119" i="69" s="1"/>
  <c r="B54" i="69"/>
  <c r="C54" i="69"/>
  <c r="D54" i="69"/>
  <c r="D186" i="69" s="1"/>
  <c r="B42" i="68"/>
  <c r="C42" i="68"/>
  <c r="D42" i="68"/>
  <c r="B43" i="68"/>
  <c r="C43" i="68"/>
  <c r="D43" i="68"/>
  <c r="D109" i="68" s="1"/>
  <c r="B44" i="68"/>
  <c r="B110" i="68" s="1"/>
  <c r="C44" i="68"/>
  <c r="C176" i="68" s="1"/>
  <c r="D44" i="68"/>
  <c r="B45" i="68"/>
  <c r="B177" i="68" s="1"/>
  <c r="C45" i="68"/>
  <c r="C111" i="68" s="1"/>
  <c r="D45" i="68"/>
  <c r="B46" i="68"/>
  <c r="C46" i="68"/>
  <c r="D46" i="68"/>
  <c r="D178" i="68" s="1"/>
  <c r="B49" i="68"/>
  <c r="C49" i="68"/>
  <c r="D49" i="68"/>
  <c r="B50" i="68"/>
  <c r="C50" i="68"/>
  <c r="C182" i="68" s="1"/>
  <c r="D50" i="68"/>
  <c r="B51" i="68"/>
  <c r="C51" i="68"/>
  <c r="D51" i="68"/>
  <c r="D117" i="68" s="1"/>
  <c r="B52" i="68"/>
  <c r="B184" i="68" s="1"/>
  <c r="C52" i="68"/>
  <c r="D52" i="68"/>
  <c r="B53" i="68"/>
  <c r="B119" i="68" s="1"/>
  <c r="C53" i="68"/>
  <c r="D53" i="68"/>
  <c r="D119" i="68" s="1"/>
  <c r="B54" i="68"/>
  <c r="C54" i="68"/>
  <c r="D54" i="68"/>
  <c r="D186" i="68" s="1"/>
  <c r="B42" i="66"/>
  <c r="C42" i="66"/>
  <c r="C108" i="66" s="1"/>
  <c r="D42" i="66"/>
  <c r="D174" i="66" s="1"/>
  <c r="B43" i="66"/>
  <c r="C43" i="66"/>
  <c r="C175" i="66" s="1"/>
  <c r="D43" i="66"/>
  <c r="D109" i="66" s="1"/>
  <c r="B44" i="66"/>
  <c r="B176" i="66" s="1"/>
  <c r="C44" i="66"/>
  <c r="C110" i="66" s="1"/>
  <c r="D44" i="66"/>
  <c r="D110" i="66" s="1"/>
  <c r="B45" i="66"/>
  <c r="B177" i="66" s="1"/>
  <c r="C45" i="66"/>
  <c r="C111" i="66" s="1"/>
  <c r="D45" i="66"/>
  <c r="B46" i="66"/>
  <c r="B112" i="66" s="1"/>
  <c r="C46" i="66"/>
  <c r="D46" i="66"/>
  <c r="B49" i="66"/>
  <c r="C49" i="66"/>
  <c r="D49" i="66"/>
  <c r="B50" i="66"/>
  <c r="B182" i="66" s="1"/>
  <c r="C50" i="66"/>
  <c r="D50" i="66"/>
  <c r="B51" i="66"/>
  <c r="C51" i="66"/>
  <c r="C183" i="66" s="1"/>
  <c r="D51" i="66"/>
  <c r="D183" i="66" s="1"/>
  <c r="B52" i="66"/>
  <c r="C52" i="66"/>
  <c r="C184" i="66" s="1"/>
  <c r="D52" i="66"/>
  <c r="B53" i="66"/>
  <c r="C53" i="66"/>
  <c r="D53" i="66"/>
  <c r="D185" i="66" s="1"/>
  <c r="B54" i="66"/>
  <c r="C54" i="66"/>
  <c r="D54" i="66"/>
  <c r="B30" i="91"/>
  <c r="B758" i="96"/>
  <c r="B764" i="96" s="1"/>
  <c r="B817" i="96"/>
  <c r="B807" i="96"/>
  <c r="B485" i="96"/>
  <c r="C25" i="91"/>
  <c r="C26" i="91"/>
  <c r="C176" i="91" s="1"/>
  <c r="C24" i="91"/>
  <c r="B136" i="96"/>
  <c r="B137" i="96"/>
  <c r="B138" i="96"/>
  <c r="B139" i="96"/>
  <c r="B140" i="96"/>
  <c r="B141" i="96"/>
  <c r="B142" i="96"/>
  <c r="B143" i="96"/>
  <c r="B146" i="96"/>
  <c r="B3" i="102"/>
  <c r="B2" i="102"/>
  <c r="B24" i="91"/>
  <c r="B110" i="87" s="1"/>
  <c r="D151" i="91"/>
  <c r="C151" i="91"/>
  <c r="B151" i="91"/>
  <c r="D150" i="91"/>
  <c r="C150" i="91"/>
  <c r="B150" i="91"/>
  <c r="D149" i="91"/>
  <c r="C149" i="91"/>
  <c r="B149" i="91"/>
  <c r="D148" i="91"/>
  <c r="C148" i="91"/>
  <c r="B148" i="91"/>
  <c r="B569" i="96"/>
  <c r="B570" i="96"/>
  <c r="B571" i="96"/>
  <c r="B572" i="96"/>
  <c r="B573" i="96"/>
  <c r="B561" i="96"/>
  <c r="B562" i="96"/>
  <c r="B563" i="96"/>
  <c r="B564" i="96"/>
  <c r="B565" i="96"/>
  <c r="B214" i="70"/>
  <c r="B213" i="70"/>
  <c r="B212" i="70"/>
  <c r="B211" i="70"/>
  <c r="B172" i="70"/>
  <c r="B171" i="70"/>
  <c r="B170" i="70"/>
  <c r="B169" i="70"/>
  <c r="B130" i="70"/>
  <c r="B129" i="70"/>
  <c r="B128" i="70"/>
  <c r="B127" i="70"/>
  <c r="B62" i="91"/>
  <c r="B212" i="91" s="1"/>
  <c r="B792" i="96" s="1"/>
  <c r="C62" i="91"/>
  <c r="D62" i="91"/>
  <c r="D137" i="91" s="1"/>
  <c r="B63" i="91"/>
  <c r="B147" i="87" s="1"/>
  <c r="C63" i="91"/>
  <c r="D63" i="91"/>
  <c r="D147" i="87" s="1"/>
  <c r="B64" i="91"/>
  <c r="B148" i="87" s="1"/>
  <c r="C64" i="91"/>
  <c r="C139" i="91" s="1"/>
  <c r="D64" i="91"/>
  <c r="D214" i="91" s="1"/>
  <c r="B65" i="91"/>
  <c r="C65" i="91"/>
  <c r="C149" i="87" s="1"/>
  <c r="D65" i="91"/>
  <c r="B61" i="91"/>
  <c r="B211" i="91" s="1"/>
  <c r="B794" i="96" s="1"/>
  <c r="C61" i="91"/>
  <c r="C145" i="87" s="1"/>
  <c r="D61" i="91"/>
  <c r="D145" i="87" s="1"/>
  <c r="B59" i="91"/>
  <c r="B209" i="91" s="1"/>
  <c r="B791" i="96" s="1"/>
  <c r="C59" i="91"/>
  <c r="C143" i="87" s="1"/>
  <c r="D59" i="91"/>
  <c r="D143" i="87" s="1"/>
  <c r="B60" i="91"/>
  <c r="B135" i="91" s="1"/>
  <c r="C60" i="91"/>
  <c r="D60" i="91"/>
  <c r="D210" i="91" s="1"/>
  <c r="C58" i="91"/>
  <c r="C208" i="91" s="1"/>
  <c r="D58" i="91"/>
  <c r="D142" i="87" s="1"/>
  <c r="B60" i="69"/>
  <c r="B192" i="69" s="1"/>
  <c r="C60" i="69"/>
  <c r="C126" i="69" s="1"/>
  <c r="D60" i="69"/>
  <c r="B60" i="68"/>
  <c r="B126" i="68" s="1"/>
  <c r="C60" i="68"/>
  <c r="C126" i="68" s="1"/>
  <c r="D60" i="68"/>
  <c r="D126" i="68" s="1"/>
  <c r="B60" i="66"/>
  <c r="C60" i="66"/>
  <c r="D60" i="66"/>
  <c r="D126" i="66" s="1"/>
  <c r="B64" i="69"/>
  <c r="B196" i="69" s="1"/>
  <c r="C64" i="69"/>
  <c r="C130" i="69" s="1"/>
  <c r="D64" i="69"/>
  <c r="D130" i="69" s="1"/>
  <c r="B64" i="68"/>
  <c r="C64" i="68"/>
  <c r="D64" i="68"/>
  <c r="B64" i="66"/>
  <c r="C64" i="66"/>
  <c r="C130" i="66" s="1"/>
  <c r="D64" i="66"/>
  <c r="B27" i="91"/>
  <c r="B102" i="91" s="1"/>
  <c r="B28" i="91"/>
  <c r="B29" i="91"/>
  <c r="B104" i="91" s="1"/>
  <c r="B31" i="91"/>
  <c r="B117" i="87" s="1"/>
  <c r="B32" i="91"/>
  <c r="B182" i="91" s="1"/>
  <c r="B33" i="91"/>
  <c r="B34" i="91"/>
  <c r="B35" i="91"/>
  <c r="B124" i="87"/>
  <c r="B58" i="91"/>
  <c r="B133" i="91" s="1"/>
  <c r="B25" i="91"/>
  <c r="B26" i="91"/>
  <c r="B176" i="91" s="1"/>
  <c r="B14" i="91"/>
  <c r="B15" i="91"/>
  <c r="B101" i="87" s="1"/>
  <c r="B16" i="91"/>
  <c r="B17" i="91"/>
  <c r="B167" i="91" s="1"/>
  <c r="B18" i="91"/>
  <c r="B168" i="91" s="1"/>
  <c r="B19" i="91"/>
  <c r="B169" i="91" s="1"/>
  <c r="B20" i="91"/>
  <c r="B95" i="91" s="1"/>
  <c r="B21" i="91"/>
  <c r="B171" i="91" s="1"/>
  <c r="B22" i="91"/>
  <c r="B109" i="87"/>
  <c r="B9" i="91"/>
  <c r="B84" i="91" s="1"/>
  <c r="B10" i="91"/>
  <c r="B96" i="87" s="1"/>
  <c r="B11" i="91"/>
  <c r="B161" i="91" s="1"/>
  <c r="B12" i="91"/>
  <c r="B162" i="91" s="1"/>
  <c r="P31" i="76"/>
  <c r="C9" i="91"/>
  <c r="D9" i="91"/>
  <c r="C10" i="91"/>
  <c r="C160" i="91" s="1"/>
  <c r="D10" i="91"/>
  <c r="D85" i="91" s="1"/>
  <c r="C11" i="91"/>
  <c r="C86" i="91" s="1"/>
  <c r="D11" i="91"/>
  <c r="C12" i="91"/>
  <c r="C87" i="91" s="1"/>
  <c r="D12" i="91"/>
  <c r="C14" i="91"/>
  <c r="C164" i="91" s="1"/>
  <c r="D14" i="91"/>
  <c r="C15" i="91"/>
  <c r="C90" i="91" s="1"/>
  <c r="D15" i="91"/>
  <c r="D165" i="91" s="1"/>
  <c r="C16" i="91"/>
  <c r="D16" i="91"/>
  <c r="C17" i="91"/>
  <c r="C92" i="91" s="1"/>
  <c r="D17" i="91"/>
  <c r="C18" i="91"/>
  <c r="C93" i="91" s="1"/>
  <c r="D18" i="91"/>
  <c r="C19" i="91"/>
  <c r="C169" i="91" s="1"/>
  <c r="D19" i="91"/>
  <c r="D169" i="91" s="1"/>
  <c r="C20" i="91"/>
  <c r="C170" i="91" s="1"/>
  <c r="D20" i="91"/>
  <c r="D170" i="91" s="1"/>
  <c r="C21" i="91"/>
  <c r="D21" i="91"/>
  <c r="C22" i="91"/>
  <c r="C172" i="91" s="1"/>
  <c r="D22" i="91"/>
  <c r="D24" i="91"/>
  <c r="D174" i="91" s="1"/>
  <c r="D25" i="91"/>
  <c r="D26" i="91"/>
  <c r="D176" i="91" s="1"/>
  <c r="C27" i="91"/>
  <c r="D27" i="91"/>
  <c r="C28" i="91"/>
  <c r="D28" i="91"/>
  <c r="D178" i="91" s="1"/>
  <c r="C29" i="91"/>
  <c r="C179" i="91" s="1"/>
  <c r="D29" i="91"/>
  <c r="D115" i="87" s="1"/>
  <c r="C31" i="91"/>
  <c r="D31" i="91"/>
  <c r="D181" i="91" s="1"/>
  <c r="C32" i="91"/>
  <c r="C118" i="87" s="1"/>
  <c r="D32" i="91"/>
  <c r="D107" i="91" s="1"/>
  <c r="C33" i="91"/>
  <c r="D33" i="91"/>
  <c r="D108" i="91" s="1"/>
  <c r="C34" i="91"/>
  <c r="C120" i="87" s="1"/>
  <c r="D34" i="91"/>
  <c r="D184" i="91" s="1"/>
  <c r="C35" i="91"/>
  <c r="C121" i="87" s="1"/>
  <c r="D35" i="91"/>
  <c r="D121" i="87" s="1"/>
  <c r="P33" i="76"/>
  <c r="B13" i="69"/>
  <c r="C13" i="69"/>
  <c r="D13" i="69"/>
  <c r="D145" i="69" s="1"/>
  <c r="B13" i="68"/>
  <c r="C13" i="68"/>
  <c r="D13" i="68"/>
  <c r="D145" i="68" s="1"/>
  <c r="B13" i="66"/>
  <c r="B79" i="66" s="1"/>
  <c r="C13" i="66"/>
  <c r="C145" i="66" s="1"/>
  <c r="D13" i="66"/>
  <c r="D145" i="66" s="1"/>
  <c r="B23" i="69"/>
  <c r="B89" i="69" s="1"/>
  <c r="C23" i="69"/>
  <c r="C155" i="69" s="1"/>
  <c r="D23" i="69"/>
  <c r="D89" i="69" s="1"/>
  <c r="B23" i="68"/>
  <c r="B89" i="68" s="1"/>
  <c r="C23" i="68"/>
  <c r="C89" i="68" s="1"/>
  <c r="D23" i="68"/>
  <c r="D89" i="68" s="1"/>
  <c r="B23" i="66"/>
  <c r="B89" i="66" s="1"/>
  <c r="C23" i="66"/>
  <c r="C89" i="66" s="1"/>
  <c r="D23" i="66"/>
  <c r="D155" i="66" s="1"/>
  <c r="B3" i="71"/>
  <c r="B2" i="71"/>
  <c r="C455" i="96"/>
  <c r="C486" i="96"/>
  <c r="D486" i="96"/>
  <c r="C128" i="96"/>
  <c r="B128" i="96"/>
  <c r="B145" i="96" s="1"/>
  <c r="B3" i="96"/>
  <c r="B2" i="96"/>
  <c r="B678" i="96"/>
  <c r="B574" i="96"/>
  <c r="B566" i="96"/>
  <c r="B457" i="96"/>
  <c r="B456" i="96"/>
  <c r="B455" i="96"/>
  <c r="B454" i="96"/>
  <c r="B453" i="96"/>
  <c r="B452" i="96"/>
  <c r="B449" i="96"/>
  <c r="B448" i="96"/>
  <c r="B447" i="96"/>
  <c r="B446" i="96"/>
  <c r="B445" i="96"/>
  <c r="B444" i="96"/>
  <c r="B443" i="96"/>
  <c r="B408" i="96"/>
  <c r="B403" i="96" s="1"/>
  <c r="B407" i="96"/>
  <c r="B402" i="96" s="1"/>
  <c r="B406" i="96"/>
  <c r="B401" i="96" s="1"/>
  <c r="K99" i="87"/>
  <c r="L99" i="87"/>
  <c r="M99" i="87"/>
  <c r="N99" i="87"/>
  <c r="O99" i="87"/>
  <c r="P99" i="87"/>
  <c r="Q99" i="87"/>
  <c r="R99" i="87"/>
  <c r="S99" i="87"/>
  <c r="O109" i="87"/>
  <c r="P109" i="87"/>
  <c r="Q109" i="87"/>
  <c r="R109" i="87"/>
  <c r="S109" i="87"/>
  <c r="C116" i="87"/>
  <c r="D116" i="87"/>
  <c r="B25" i="69"/>
  <c r="B91" i="69" s="1"/>
  <c r="C25" i="69"/>
  <c r="C157" i="69" s="1"/>
  <c r="D25" i="69"/>
  <c r="D157" i="69" s="1"/>
  <c r="B26" i="69"/>
  <c r="B158" i="69" s="1"/>
  <c r="C26" i="69"/>
  <c r="C158" i="69" s="1"/>
  <c r="D26" i="69"/>
  <c r="D92" i="69" s="1"/>
  <c r="B24" i="69"/>
  <c r="B156" i="69" s="1"/>
  <c r="C24" i="69"/>
  <c r="C156" i="69" s="1"/>
  <c r="D24" i="69"/>
  <c r="B16" i="69"/>
  <c r="C16" i="69"/>
  <c r="C148" i="69" s="1"/>
  <c r="D16" i="69"/>
  <c r="D148" i="69" s="1"/>
  <c r="B17" i="69"/>
  <c r="C17" i="69"/>
  <c r="C149" i="69" s="1"/>
  <c r="D17" i="69"/>
  <c r="D149" i="69" s="1"/>
  <c r="B18" i="69"/>
  <c r="B84" i="69" s="1"/>
  <c r="C18" i="69"/>
  <c r="D18" i="69"/>
  <c r="B19" i="69"/>
  <c r="B151" i="69" s="1"/>
  <c r="C19" i="69"/>
  <c r="C151" i="69" s="1"/>
  <c r="D19" i="69"/>
  <c r="D151" i="69" s="1"/>
  <c r="B20" i="69"/>
  <c r="B152" i="69" s="1"/>
  <c r="C20" i="69"/>
  <c r="C152" i="69" s="1"/>
  <c r="D20" i="69"/>
  <c r="D152" i="69" s="1"/>
  <c r="B21" i="69"/>
  <c r="C21" i="69"/>
  <c r="D21" i="69"/>
  <c r="B22" i="69"/>
  <c r="B154" i="69" s="1"/>
  <c r="C22" i="69"/>
  <c r="C88" i="69" s="1"/>
  <c r="D22" i="69"/>
  <c r="D154" i="69" s="1"/>
  <c r="B19" i="68"/>
  <c r="B151" i="68" s="1"/>
  <c r="C19" i="68"/>
  <c r="D19" i="68"/>
  <c r="B20" i="68"/>
  <c r="B86" i="68" s="1"/>
  <c r="C20" i="68"/>
  <c r="C152" i="68" s="1"/>
  <c r="D20" i="68"/>
  <c r="B21" i="68"/>
  <c r="C21" i="68"/>
  <c r="C153" i="68" s="1"/>
  <c r="D21" i="68"/>
  <c r="B22" i="68"/>
  <c r="C22" i="68"/>
  <c r="C88" i="68" s="1"/>
  <c r="D22" i="68"/>
  <c r="D88" i="68" s="1"/>
  <c r="I98" i="91"/>
  <c r="J98" i="91"/>
  <c r="K98" i="91"/>
  <c r="L98" i="91"/>
  <c r="M98" i="91"/>
  <c r="B98" i="91"/>
  <c r="C98" i="91"/>
  <c r="D98" i="91"/>
  <c r="E88" i="91"/>
  <c r="B88" i="91"/>
  <c r="C88" i="91"/>
  <c r="D88" i="91"/>
  <c r="B173" i="91"/>
  <c r="C173" i="91"/>
  <c r="D173" i="91"/>
  <c r="B163" i="91"/>
  <c r="C163" i="91"/>
  <c r="D163" i="91"/>
  <c r="D180" i="91"/>
  <c r="C180" i="91"/>
  <c r="D158" i="91"/>
  <c r="C158" i="91"/>
  <c r="B158" i="91"/>
  <c r="H153" i="91"/>
  <c r="G153" i="91"/>
  <c r="F153" i="91"/>
  <c r="E153" i="91"/>
  <c r="D105" i="91"/>
  <c r="C105" i="91"/>
  <c r="D83" i="91"/>
  <c r="C83" i="91"/>
  <c r="B83" i="91"/>
  <c r="B3" i="91"/>
  <c r="B2" i="91"/>
  <c r="B34" i="69"/>
  <c r="B166" i="69" s="1"/>
  <c r="C34" i="69"/>
  <c r="C100" i="69" s="1"/>
  <c r="D34" i="69"/>
  <c r="D100" i="69" s="1"/>
  <c r="B35" i="69"/>
  <c r="C35" i="69"/>
  <c r="C167" i="69" s="1"/>
  <c r="D35" i="69"/>
  <c r="D167" i="69" s="1"/>
  <c r="B33" i="69"/>
  <c r="C33" i="69"/>
  <c r="C165" i="69" s="1"/>
  <c r="D33" i="69"/>
  <c r="B32" i="69"/>
  <c r="C32" i="69"/>
  <c r="C164" i="69" s="1"/>
  <c r="D32" i="69"/>
  <c r="B96" i="69"/>
  <c r="C96" i="69"/>
  <c r="D96" i="69"/>
  <c r="B31" i="69"/>
  <c r="B97" i="69" s="1"/>
  <c r="C31" i="69"/>
  <c r="D31" i="69"/>
  <c r="D97" i="69" s="1"/>
  <c r="B96" i="66"/>
  <c r="C96" i="66"/>
  <c r="D96" i="66"/>
  <c r="B38" i="69"/>
  <c r="B170" i="69" s="1"/>
  <c r="C38" i="69"/>
  <c r="D38" i="69"/>
  <c r="D170" i="69" s="1"/>
  <c r="B38" i="66"/>
  <c r="B170" i="66" s="1"/>
  <c r="C38" i="66"/>
  <c r="D38" i="66"/>
  <c r="B19" i="66"/>
  <c r="B85" i="66" s="1"/>
  <c r="C19" i="66"/>
  <c r="C151" i="66" s="1"/>
  <c r="D19" i="66"/>
  <c r="B20" i="66"/>
  <c r="C20" i="66"/>
  <c r="C152" i="66" s="1"/>
  <c r="D20" i="66"/>
  <c r="D86" i="66" s="1"/>
  <c r="B21" i="66"/>
  <c r="C21" i="66"/>
  <c r="D21" i="66"/>
  <c r="D87" i="66" s="1"/>
  <c r="B37" i="68"/>
  <c r="B169" i="68" s="1"/>
  <c r="C37" i="68"/>
  <c r="C169" i="68" s="1"/>
  <c r="D37" i="68"/>
  <c r="B37" i="66"/>
  <c r="C37" i="66"/>
  <c r="C169" i="66" s="1"/>
  <c r="D37" i="66"/>
  <c r="D169" i="66" s="1"/>
  <c r="B37" i="69"/>
  <c r="B169" i="69" s="1"/>
  <c r="C37" i="69"/>
  <c r="C169" i="69" s="1"/>
  <c r="D37" i="69"/>
  <c r="D169" i="69" s="1"/>
  <c r="B31" i="68"/>
  <c r="C31" i="68"/>
  <c r="D31" i="68"/>
  <c r="B31" i="66"/>
  <c r="C31" i="66"/>
  <c r="C163" i="66" s="1"/>
  <c r="D31" i="66"/>
  <c r="B28" i="68"/>
  <c r="B94" i="68" s="1"/>
  <c r="C28" i="68"/>
  <c r="C94" i="68" s="1"/>
  <c r="D28" i="68"/>
  <c r="B28" i="66"/>
  <c r="C28" i="66"/>
  <c r="C94" i="66" s="1"/>
  <c r="D28" i="66"/>
  <c r="D94" i="66" s="1"/>
  <c r="B28" i="69"/>
  <c r="B160" i="69" s="1"/>
  <c r="C28" i="69"/>
  <c r="C94" i="69" s="1"/>
  <c r="D28" i="69"/>
  <c r="D160" i="69" s="1"/>
  <c r="B26" i="66"/>
  <c r="B92" i="66" s="1"/>
  <c r="C26" i="66"/>
  <c r="D26" i="66"/>
  <c r="D158" i="66" s="1"/>
  <c r="B26" i="68"/>
  <c r="B92" i="68" s="1"/>
  <c r="C26" i="68"/>
  <c r="D26" i="68"/>
  <c r="D158" i="68" s="1"/>
  <c r="B27" i="69"/>
  <c r="B159" i="69" s="1"/>
  <c r="C27" i="69"/>
  <c r="C93" i="69" s="1"/>
  <c r="D27" i="69"/>
  <c r="D93" i="69" s="1"/>
  <c r="B3" i="87"/>
  <c r="B2" i="87"/>
  <c r="A61" i="33"/>
  <c r="A59" i="33"/>
  <c r="A56" i="33"/>
  <c r="A55" i="33"/>
  <c r="P70" i="66"/>
  <c r="B3" i="69"/>
  <c r="B3" i="68"/>
  <c r="B3" i="66"/>
  <c r="B3" i="76"/>
  <c r="B3" i="70"/>
  <c r="B3" i="33"/>
  <c r="B3" i="10"/>
  <c r="D61" i="69"/>
  <c r="D193" i="69" s="1"/>
  <c r="C61" i="69"/>
  <c r="C127" i="69" s="1"/>
  <c r="B61" i="69"/>
  <c r="B193" i="69" s="1"/>
  <c r="D59" i="69"/>
  <c r="D191" i="69" s="1"/>
  <c r="C59" i="69"/>
  <c r="B59" i="69"/>
  <c r="B125" i="69" s="1"/>
  <c r="D58" i="69"/>
  <c r="C58" i="69"/>
  <c r="C190" i="69" s="1"/>
  <c r="B58" i="69"/>
  <c r="D36" i="69"/>
  <c r="C36" i="69"/>
  <c r="C102" i="69" s="1"/>
  <c r="B36" i="69"/>
  <c r="D61" i="68"/>
  <c r="C61" i="68"/>
  <c r="C127" i="68" s="1"/>
  <c r="B61" i="68"/>
  <c r="B193" i="68" s="1"/>
  <c r="D59" i="68"/>
  <c r="D125" i="68" s="1"/>
  <c r="C59" i="68"/>
  <c r="B59" i="68"/>
  <c r="B191" i="68" s="1"/>
  <c r="D58" i="68"/>
  <c r="D190" i="68" s="1"/>
  <c r="C58" i="68"/>
  <c r="B58" i="68"/>
  <c r="D38" i="68"/>
  <c r="D170" i="68" s="1"/>
  <c r="C38" i="68"/>
  <c r="C104" i="68" s="1"/>
  <c r="B38" i="68"/>
  <c r="B104" i="68" s="1"/>
  <c r="D36" i="68"/>
  <c r="D102" i="68" s="1"/>
  <c r="C36" i="68"/>
  <c r="C168" i="68" s="1"/>
  <c r="B36" i="68"/>
  <c r="B102" i="68" s="1"/>
  <c r="D61" i="66"/>
  <c r="C61" i="66"/>
  <c r="C193" i="66" s="1"/>
  <c r="B61" i="66"/>
  <c r="D59" i="66"/>
  <c r="D125" i="66" s="1"/>
  <c r="C59" i="66"/>
  <c r="C191" i="66" s="1"/>
  <c r="B59" i="66"/>
  <c r="B191" i="66" s="1"/>
  <c r="D58" i="66"/>
  <c r="C58" i="66"/>
  <c r="C124" i="66" s="1"/>
  <c r="B58" i="66"/>
  <c r="B124" i="66" s="1"/>
  <c r="D36" i="66"/>
  <c r="D168" i="66" s="1"/>
  <c r="C36" i="66"/>
  <c r="C102" i="66" s="1"/>
  <c r="B36" i="66"/>
  <c r="B168" i="66" s="1"/>
  <c r="B140" i="69"/>
  <c r="C140" i="69"/>
  <c r="D140" i="69"/>
  <c r="B74" i="69"/>
  <c r="C74" i="69"/>
  <c r="D74" i="69"/>
  <c r="B8" i="69"/>
  <c r="C8" i="69"/>
  <c r="D8" i="69"/>
  <c r="B140" i="68"/>
  <c r="C140" i="68"/>
  <c r="D140" i="68"/>
  <c r="B74" i="68"/>
  <c r="C74" i="68"/>
  <c r="D74" i="68"/>
  <c r="B140" i="66"/>
  <c r="C140" i="66"/>
  <c r="D140" i="66"/>
  <c r="B74" i="66"/>
  <c r="C74" i="66"/>
  <c r="D74" i="66"/>
  <c r="B2" i="76"/>
  <c r="B62" i="68"/>
  <c r="B194" i="68" s="1"/>
  <c r="C62" i="68"/>
  <c r="D62" i="68"/>
  <c r="D128" i="68" s="1"/>
  <c r="B63" i="68"/>
  <c r="C63" i="68"/>
  <c r="C195" i="68" s="1"/>
  <c r="D63" i="68"/>
  <c r="B65" i="68"/>
  <c r="C65" i="68"/>
  <c r="C197" i="68" s="1"/>
  <c r="D65" i="68"/>
  <c r="B62" i="69"/>
  <c r="C62" i="69"/>
  <c r="C194" i="69" s="1"/>
  <c r="D62" i="69"/>
  <c r="D194" i="69" s="1"/>
  <c r="B63" i="69"/>
  <c r="C63" i="69"/>
  <c r="D63" i="69"/>
  <c r="D129" i="69" s="1"/>
  <c r="B65" i="69"/>
  <c r="B197" i="69" s="1"/>
  <c r="C65" i="69"/>
  <c r="D65" i="69"/>
  <c r="D131" i="69" s="1"/>
  <c r="B62" i="66"/>
  <c r="C62" i="66"/>
  <c r="C194" i="66" s="1"/>
  <c r="D62" i="66"/>
  <c r="B63" i="66"/>
  <c r="B195" i="66" s="1"/>
  <c r="C63" i="66"/>
  <c r="C129" i="66" s="1"/>
  <c r="D63" i="66"/>
  <c r="D129" i="66" s="1"/>
  <c r="B65" i="66"/>
  <c r="C65" i="66"/>
  <c r="D65" i="66"/>
  <c r="B27" i="68"/>
  <c r="B93" i="68" s="1"/>
  <c r="C27" i="68"/>
  <c r="D27" i="68"/>
  <c r="D93" i="68" s="1"/>
  <c r="B27" i="66"/>
  <c r="C27" i="66"/>
  <c r="C159" i="66" s="1"/>
  <c r="D27" i="66"/>
  <c r="D93" i="66" s="1"/>
  <c r="B24" i="68"/>
  <c r="B90" i="68" s="1"/>
  <c r="C24" i="68"/>
  <c r="D24" i="68"/>
  <c r="D90" i="68" s="1"/>
  <c r="B25" i="68"/>
  <c r="B157" i="68" s="1"/>
  <c r="C25" i="68"/>
  <c r="C157" i="68" s="1"/>
  <c r="D25" i="68"/>
  <c r="B24" i="66"/>
  <c r="B90" i="66" s="1"/>
  <c r="C24" i="66"/>
  <c r="D24" i="66"/>
  <c r="D90" i="66" s="1"/>
  <c r="B25" i="66"/>
  <c r="B157" i="66" s="1"/>
  <c r="C25" i="66"/>
  <c r="C91" i="66" s="1"/>
  <c r="D25" i="66"/>
  <c r="B42" i="71"/>
  <c r="B41" i="71"/>
  <c r="B40" i="71"/>
  <c r="D30" i="71"/>
  <c r="D39" i="71" s="1"/>
  <c r="D28" i="71"/>
  <c r="D31" i="71" s="1"/>
  <c r="D29" i="71"/>
  <c r="D38" i="71" s="1"/>
  <c r="B41" i="70"/>
  <c r="B42" i="70"/>
  <c r="B43" i="70"/>
  <c r="B253" i="70"/>
  <c r="B254" i="70"/>
  <c r="B255" i="70"/>
  <c r="B283" i="70"/>
  <c r="B291" i="70" s="1"/>
  <c r="B282" i="70"/>
  <c r="B44" i="70"/>
  <c r="B2" i="70"/>
  <c r="D162" i="69"/>
  <c r="C162" i="69"/>
  <c r="B162" i="69"/>
  <c r="D57" i="69"/>
  <c r="C57" i="69"/>
  <c r="C123" i="69" s="1"/>
  <c r="B57" i="69"/>
  <c r="B189" i="69" s="1"/>
  <c r="D41" i="69"/>
  <c r="D107" i="69" s="1"/>
  <c r="C41" i="69"/>
  <c r="C107" i="69" s="1"/>
  <c r="B41" i="69"/>
  <c r="B107" i="69" s="1"/>
  <c r="D40" i="69"/>
  <c r="D172" i="69" s="1"/>
  <c r="C40" i="69"/>
  <c r="B40" i="69"/>
  <c r="B106" i="69" s="1"/>
  <c r="D39" i="69"/>
  <c r="D171" i="69" s="1"/>
  <c r="C39" i="69"/>
  <c r="C105" i="69" s="1"/>
  <c r="B39" i="69"/>
  <c r="B105" i="69" s="1"/>
  <c r="D29" i="69"/>
  <c r="D95" i="69" s="1"/>
  <c r="C29" i="69"/>
  <c r="C161" i="69" s="1"/>
  <c r="B29" i="69"/>
  <c r="B161" i="69" s="1"/>
  <c r="D15" i="69"/>
  <c r="C15" i="69"/>
  <c r="C147" i="69" s="1"/>
  <c r="B15" i="69"/>
  <c r="B147" i="69" s="1"/>
  <c r="D14" i="69"/>
  <c r="D146" i="69" s="1"/>
  <c r="C14" i="69"/>
  <c r="C80" i="69" s="1"/>
  <c r="B14" i="69"/>
  <c r="B80" i="69" s="1"/>
  <c r="D12" i="69"/>
  <c r="D144" i="69" s="1"/>
  <c r="C12" i="69"/>
  <c r="B12" i="69"/>
  <c r="B78" i="69" s="1"/>
  <c r="D11" i="69"/>
  <c r="C11" i="69"/>
  <c r="C143" i="69" s="1"/>
  <c r="B11" i="69"/>
  <c r="B77" i="69" s="1"/>
  <c r="D10" i="69"/>
  <c r="C10" i="69"/>
  <c r="C142" i="69" s="1"/>
  <c r="B10" i="69"/>
  <c r="B142" i="69" s="1"/>
  <c r="D9" i="69"/>
  <c r="D141" i="69" s="1"/>
  <c r="C9" i="69"/>
  <c r="B9" i="69"/>
  <c r="B75" i="69" s="1"/>
  <c r="B2" i="69"/>
  <c r="D162" i="68"/>
  <c r="C162" i="68"/>
  <c r="B162" i="68"/>
  <c r="D96" i="68"/>
  <c r="C96" i="68"/>
  <c r="B96" i="68"/>
  <c r="D57" i="68"/>
  <c r="D123" i="68" s="1"/>
  <c r="C57" i="68"/>
  <c r="C189" i="68" s="1"/>
  <c r="B57" i="68"/>
  <c r="B123" i="68" s="1"/>
  <c r="D41" i="68"/>
  <c r="D107" i="68" s="1"/>
  <c r="C41" i="68"/>
  <c r="C173" i="68" s="1"/>
  <c r="B41" i="68"/>
  <c r="B173" i="68" s="1"/>
  <c r="D40" i="68"/>
  <c r="D172" i="68" s="1"/>
  <c r="C40" i="68"/>
  <c r="C172" i="68" s="1"/>
  <c r="B40" i="68"/>
  <c r="B106" i="68" s="1"/>
  <c r="D39" i="68"/>
  <c r="D105" i="68" s="1"/>
  <c r="C39" i="68"/>
  <c r="C105" i="68" s="1"/>
  <c r="B39" i="68"/>
  <c r="D35" i="68"/>
  <c r="D101" i="68" s="1"/>
  <c r="C35" i="68"/>
  <c r="C167" i="68" s="1"/>
  <c r="B35" i="68"/>
  <c r="B167" i="68" s="1"/>
  <c r="D34" i="68"/>
  <c r="D100" i="68" s="1"/>
  <c r="C34" i="68"/>
  <c r="C100" i="68" s="1"/>
  <c r="B34" i="68"/>
  <c r="B100" i="68" s="1"/>
  <c r="D33" i="68"/>
  <c r="D165" i="68" s="1"/>
  <c r="C33" i="68"/>
  <c r="B33" i="68"/>
  <c r="D32" i="68"/>
  <c r="D164" i="68" s="1"/>
  <c r="C32" i="68"/>
  <c r="C98" i="68" s="1"/>
  <c r="B32" i="68"/>
  <c r="B98" i="68" s="1"/>
  <c r="D29" i="68"/>
  <c r="C29" i="68"/>
  <c r="B29" i="68"/>
  <c r="B161" i="68" s="1"/>
  <c r="D18" i="68"/>
  <c r="C18" i="68"/>
  <c r="C150" i="68" s="1"/>
  <c r="B18" i="68"/>
  <c r="B84" i="68" s="1"/>
  <c r="D17" i="68"/>
  <c r="D83" i="68" s="1"/>
  <c r="C17" i="68"/>
  <c r="B17" i="68"/>
  <c r="B149" i="68" s="1"/>
  <c r="D16" i="68"/>
  <c r="C16" i="68"/>
  <c r="C82" i="68" s="1"/>
  <c r="B16" i="68"/>
  <c r="D15" i="68"/>
  <c r="D147" i="68" s="1"/>
  <c r="C15" i="68"/>
  <c r="C147" i="68" s="1"/>
  <c r="B15" i="68"/>
  <c r="B147" i="68" s="1"/>
  <c r="D14" i="68"/>
  <c r="C14" i="68"/>
  <c r="C146" i="68" s="1"/>
  <c r="B14" i="68"/>
  <c r="D12" i="68"/>
  <c r="D78" i="68" s="1"/>
  <c r="C12" i="68"/>
  <c r="B12" i="68"/>
  <c r="B144" i="68" s="1"/>
  <c r="D11" i="68"/>
  <c r="C11" i="68"/>
  <c r="C143" i="68" s="1"/>
  <c r="B11" i="68"/>
  <c r="B77" i="68" s="1"/>
  <c r="D10" i="68"/>
  <c r="D142" i="68" s="1"/>
  <c r="C10" i="68"/>
  <c r="C76" i="68" s="1"/>
  <c r="B10" i="68"/>
  <c r="D9" i="68"/>
  <c r="C9" i="68"/>
  <c r="B9" i="68"/>
  <c r="B141" i="68" s="1"/>
  <c r="B2" i="68"/>
  <c r="D162" i="66"/>
  <c r="C162" i="66"/>
  <c r="B162" i="66"/>
  <c r="D57" i="66"/>
  <c r="D123" i="66" s="1"/>
  <c r="C57" i="66"/>
  <c r="B57" i="66"/>
  <c r="B123" i="66" s="1"/>
  <c r="D41" i="66"/>
  <c r="D173" i="66" s="1"/>
  <c r="C41" i="66"/>
  <c r="C107" i="66" s="1"/>
  <c r="B41" i="66"/>
  <c r="B107" i="66" s="1"/>
  <c r="D40" i="66"/>
  <c r="D172" i="66" s="1"/>
  <c r="C40" i="66"/>
  <c r="C172" i="66" s="1"/>
  <c r="B40" i="66"/>
  <c r="B172" i="66" s="1"/>
  <c r="D39" i="66"/>
  <c r="C39" i="66"/>
  <c r="B39" i="66"/>
  <c r="B105" i="66" s="1"/>
  <c r="D35" i="66"/>
  <c r="D167" i="66" s="1"/>
  <c r="C35" i="66"/>
  <c r="B35" i="66"/>
  <c r="B101" i="66" s="1"/>
  <c r="D34" i="66"/>
  <c r="C34" i="66"/>
  <c r="C100" i="66" s="1"/>
  <c r="B34" i="66"/>
  <c r="D33" i="66"/>
  <c r="D165" i="66" s="1"/>
  <c r="C33" i="66"/>
  <c r="C165" i="66" s="1"/>
  <c r="B33" i="66"/>
  <c r="B99" i="66" s="1"/>
  <c r="D32" i="66"/>
  <c r="D164" i="66" s="1"/>
  <c r="C32" i="66"/>
  <c r="C98" i="66" s="1"/>
  <c r="B32" i="66"/>
  <c r="B164" i="66" s="1"/>
  <c r="D29" i="66"/>
  <c r="C29" i="66"/>
  <c r="B29" i="66"/>
  <c r="D22" i="66"/>
  <c r="D154" i="66" s="1"/>
  <c r="C22" i="66"/>
  <c r="C154" i="66" s="1"/>
  <c r="B22" i="66"/>
  <c r="D18" i="66"/>
  <c r="C18" i="66"/>
  <c r="C150" i="66" s="1"/>
  <c r="B18" i="66"/>
  <c r="B150" i="66" s="1"/>
  <c r="D17" i="66"/>
  <c r="C17" i="66"/>
  <c r="C83" i="66" s="1"/>
  <c r="B17" i="66"/>
  <c r="B149" i="66" s="1"/>
  <c r="D16" i="66"/>
  <c r="D82" i="66" s="1"/>
  <c r="C16" i="66"/>
  <c r="B16" i="66"/>
  <c r="B82" i="66" s="1"/>
  <c r="D15" i="66"/>
  <c r="C15" i="66"/>
  <c r="C147" i="66" s="1"/>
  <c r="B15" i="66"/>
  <c r="D14" i="66"/>
  <c r="C14" i="66"/>
  <c r="C146" i="66" s="1"/>
  <c r="B14" i="66"/>
  <c r="B146" i="66" s="1"/>
  <c r="D12" i="66"/>
  <c r="C12" i="66"/>
  <c r="C144" i="66" s="1"/>
  <c r="B12" i="66"/>
  <c r="B144" i="66" s="1"/>
  <c r="D11" i="66"/>
  <c r="D77" i="66" s="1"/>
  <c r="C11" i="66"/>
  <c r="B11" i="66"/>
  <c r="D10" i="66"/>
  <c r="D142" i="66" s="1"/>
  <c r="C10" i="66"/>
  <c r="C142" i="66" s="1"/>
  <c r="B10" i="66"/>
  <c r="D9" i="66"/>
  <c r="D141" i="66" s="1"/>
  <c r="C9" i="66"/>
  <c r="C141" i="66" s="1"/>
  <c r="B9" i="66"/>
  <c r="B75" i="66" s="1"/>
  <c r="B2" i="66"/>
  <c r="B2" i="33"/>
  <c r="B2" i="10"/>
  <c r="K122" i="87"/>
  <c r="C185" i="69"/>
  <c r="E816" i="96"/>
  <c r="E815" i="96"/>
  <c r="C324" i="96"/>
  <c r="D554" i="96"/>
  <c r="D670" i="96"/>
  <c r="K130" i="87"/>
  <c r="C192" i="91"/>
  <c r="D208" i="96"/>
  <c r="E674" i="96"/>
  <c r="L146" i="87"/>
  <c r="D408" i="96"/>
  <c r="C110" i="68"/>
  <c r="D116" i="69"/>
  <c r="D180" i="69"/>
  <c r="B150" i="68"/>
  <c r="D195" i="91"/>
  <c r="C114" i="91"/>
  <c r="C182" i="91"/>
  <c r="C175" i="69"/>
  <c r="D88" i="66"/>
  <c r="C123" i="68"/>
  <c r="D98" i="68"/>
  <c r="C106" i="66"/>
  <c r="D211" i="91"/>
  <c r="B152" i="68"/>
  <c r="D158" i="69"/>
  <c r="C99" i="66"/>
  <c r="C182" i="69"/>
  <c r="C85" i="91"/>
  <c r="B185" i="68"/>
  <c r="C116" i="68"/>
  <c r="C118" i="66"/>
  <c r="C180" i="68"/>
  <c r="C148" i="87"/>
  <c r="B110" i="66"/>
  <c r="D183" i="68"/>
  <c r="C177" i="68"/>
  <c r="D181" i="69"/>
  <c r="D246" i="70"/>
  <c r="C122" i="91"/>
  <c r="C197" i="91"/>
  <c r="D132" i="66"/>
  <c r="C113" i="66"/>
  <c r="B179" i="68"/>
  <c r="F570" i="96"/>
  <c r="H127" i="96"/>
  <c r="I455" i="96"/>
  <c r="J453" i="96"/>
  <c r="D133" i="91"/>
  <c r="B86" i="69"/>
  <c r="D171" i="68"/>
  <c r="D104" i="69"/>
  <c r="E667" i="96"/>
  <c r="B199" i="66"/>
  <c r="B180" i="68"/>
  <c r="B104" i="87"/>
  <c r="E572" i="96"/>
  <c r="E573" i="96"/>
  <c r="C397" i="96"/>
  <c r="C325" i="96"/>
  <c r="C635" i="96"/>
  <c r="D37" i="71"/>
  <c r="C85" i="66"/>
  <c r="D196" i="68"/>
  <c r="D130" i="68"/>
  <c r="C196" i="69"/>
  <c r="C215" i="91"/>
  <c r="B186" i="68"/>
  <c r="B120" i="68"/>
  <c r="D184" i="68"/>
  <c r="D118" i="68"/>
  <c r="C183" i="68"/>
  <c r="C117" i="68"/>
  <c r="B182" i="68"/>
  <c r="B116" i="68"/>
  <c r="C204" i="91"/>
  <c r="C179" i="69"/>
  <c r="C113" i="69"/>
  <c r="B181" i="91"/>
  <c r="B125" i="87"/>
  <c r="B138" i="91"/>
  <c r="D133" i="87"/>
  <c r="D76" i="66"/>
  <c r="B104" i="66"/>
  <c r="D212" i="91"/>
  <c r="B99" i="91"/>
  <c r="B141" i="87"/>
  <c r="B132" i="91"/>
  <c r="E93" i="91"/>
  <c r="G570" i="96"/>
  <c r="G127" i="96"/>
  <c r="L123" i="87"/>
  <c r="M140" i="87"/>
  <c r="E129" i="91"/>
  <c r="L140" i="87"/>
  <c r="C640" i="96"/>
  <c r="K138" i="87"/>
  <c r="E407" i="96"/>
  <c r="C141" i="91"/>
  <c r="E673" i="96"/>
  <c r="H570" i="96"/>
  <c r="E670" i="96"/>
  <c r="E672" i="96"/>
  <c r="E722" i="96" s="1"/>
  <c r="I570" i="96"/>
  <c r="J570" i="96"/>
  <c r="G569" i="96"/>
  <c r="K570" i="96"/>
  <c r="N123" i="87"/>
  <c r="D192" i="68" l="1"/>
  <c r="C160" i="68"/>
  <c r="B199" i="68"/>
  <c r="B103" i="68"/>
  <c r="B173" i="69"/>
  <c r="D198" i="69"/>
  <c r="C189" i="69"/>
  <c r="D197" i="69"/>
  <c r="D179" i="66"/>
  <c r="C174" i="66"/>
  <c r="D108" i="66"/>
  <c r="D175" i="66"/>
  <c r="B111" i="66"/>
  <c r="D180" i="66"/>
  <c r="B131" i="87"/>
  <c r="C142" i="87"/>
  <c r="D367" i="96"/>
  <c r="C282" i="96"/>
  <c r="C134" i="87"/>
  <c r="D124" i="91"/>
  <c r="B122" i="91"/>
  <c r="D135" i="87"/>
  <c r="C704" i="96"/>
  <c r="B92" i="69"/>
  <c r="C166" i="68"/>
  <c r="D109" i="91"/>
  <c r="C103" i="69"/>
  <c r="D182" i="91"/>
  <c r="B210" i="91"/>
  <c r="B751" i="96" s="1"/>
  <c r="D120" i="87"/>
  <c r="C667" i="96"/>
  <c r="C651" i="96" s="1"/>
  <c r="E97" i="91"/>
  <c r="D454" i="96"/>
  <c r="E101" i="91"/>
  <c r="D53" i="123"/>
  <c r="H453" i="96"/>
  <c r="Q53" i="123"/>
  <c r="L846" i="96"/>
  <c r="G98" i="91"/>
  <c r="S100" i="87"/>
  <c r="E396" i="96"/>
  <c r="G118" i="91"/>
  <c r="E182" i="68"/>
  <c r="C35" i="123"/>
  <c r="C37" i="123" s="1"/>
  <c r="H455" i="96"/>
  <c r="E53" i="123"/>
  <c r="E55" i="123" s="1"/>
  <c r="E54" i="123" s="1"/>
  <c r="F93" i="91"/>
  <c r="M139" i="87"/>
  <c r="K453" i="96"/>
  <c r="D569" i="96"/>
  <c r="G103" i="91"/>
  <c r="M148" i="87"/>
  <c r="D677" i="96"/>
  <c r="D665" i="96"/>
  <c r="D719" i="96" s="1"/>
  <c r="D453" i="96"/>
  <c r="C398" i="96"/>
  <c r="E642" i="96"/>
  <c r="E658" i="96" s="1"/>
  <c r="D518" i="96"/>
  <c r="E47" i="123"/>
  <c r="E49" i="123" s="1"/>
  <c r="E48" i="123" s="1"/>
  <c r="K455" i="96"/>
  <c r="M149" i="87"/>
  <c r="L142" i="87"/>
  <c r="D438" i="96"/>
  <c r="D406" i="96"/>
  <c r="G557" i="96"/>
  <c r="G220" i="91"/>
  <c r="E224" i="96"/>
  <c r="D224" i="96"/>
  <c r="D439" i="96"/>
  <c r="D435" i="96"/>
  <c r="C553" i="96"/>
  <c r="J455" i="96"/>
  <c r="C134" i="91"/>
  <c r="D125" i="69"/>
  <c r="B164" i="68"/>
  <c r="B158" i="68"/>
  <c r="B157" i="69"/>
  <c r="D85" i="69"/>
  <c r="D94" i="69"/>
  <c r="B160" i="68"/>
  <c r="D129" i="91"/>
  <c r="B107" i="87"/>
  <c r="D153" i="66"/>
  <c r="C176" i="66"/>
  <c r="C124" i="69"/>
  <c r="B92" i="91"/>
  <c r="C92" i="69"/>
  <c r="C155" i="68"/>
  <c r="C209" i="91"/>
  <c r="B103" i="87"/>
  <c r="C86" i="66"/>
  <c r="C154" i="69"/>
  <c r="D131" i="87"/>
  <c r="D525" i="96"/>
  <c r="D555" i="96"/>
  <c r="D700" i="96" s="1"/>
  <c r="L100" i="87"/>
  <c r="C137" i="96"/>
  <c r="C280" i="96"/>
  <c r="B213" i="91"/>
  <c r="B793" i="96" s="1"/>
  <c r="D119" i="87"/>
  <c r="D128" i="69"/>
  <c r="B200" i="69"/>
  <c r="C524" i="96"/>
  <c r="B126" i="87"/>
  <c r="C116" i="91"/>
  <c r="D75" i="69"/>
  <c r="B159" i="68"/>
  <c r="B124" i="91"/>
  <c r="D156" i="68"/>
  <c r="C113" i="68"/>
  <c r="D117" i="87"/>
  <c r="D198" i="68"/>
  <c r="D183" i="91"/>
  <c r="D110" i="91"/>
  <c r="B131" i="69"/>
  <c r="C157" i="66"/>
  <c r="C81" i="68"/>
  <c r="B170" i="91"/>
  <c r="B145" i="66"/>
  <c r="B168" i="68"/>
  <c r="B287" i="70"/>
  <c r="D34" i="71"/>
  <c r="D101" i="91"/>
  <c r="D155" i="68"/>
  <c r="D101" i="66"/>
  <c r="B107" i="91"/>
  <c r="B107" i="68"/>
  <c r="C131" i="68"/>
  <c r="D105" i="69"/>
  <c r="C142" i="68"/>
  <c r="B166" i="68"/>
  <c r="B156" i="66"/>
  <c r="B76" i="69"/>
  <c r="B127" i="68"/>
  <c r="B106" i="87"/>
  <c r="D88" i="69"/>
  <c r="D103" i="91"/>
  <c r="D191" i="66"/>
  <c r="C76" i="66"/>
  <c r="B118" i="87"/>
  <c r="D195" i="66"/>
  <c r="C101" i="68"/>
  <c r="B192" i="68"/>
  <c r="C93" i="66"/>
  <c r="L136" i="87"/>
  <c r="D524" i="96"/>
  <c r="C223" i="96"/>
  <c r="C246" i="96" s="1"/>
  <c r="C161" i="91"/>
  <c r="B81" i="68"/>
  <c r="E120" i="68"/>
  <c r="E84" i="68"/>
  <c r="E150" i="68" s="1"/>
  <c r="E88" i="68"/>
  <c r="D636" i="96"/>
  <c r="L139" i="87"/>
  <c r="C180" i="69"/>
  <c r="D79" i="66"/>
  <c r="D91" i="69"/>
  <c r="B155" i="68"/>
  <c r="C76" i="69"/>
  <c r="D146" i="87"/>
  <c r="C199" i="91"/>
  <c r="D184" i="69"/>
  <c r="B139" i="91"/>
  <c r="C140" i="91"/>
  <c r="D208" i="91"/>
  <c r="B110" i="69"/>
  <c r="B144" i="87"/>
  <c r="B93" i="69"/>
  <c r="D136" i="91"/>
  <c r="C198" i="91"/>
  <c r="K128" i="87"/>
  <c r="D214" i="96"/>
  <c r="C396" i="96"/>
  <c r="L84" i="87"/>
  <c r="D137" i="96"/>
  <c r="K84" i="87"/>
  <c r="E85" i="91"/>
  <c r="L137" i="87"/>
  <c r="E98" i="91"/>
  <c r="F141" i="68"/>
  <c r="L104" i="87"/>
  <c r="C155" i="66"/>
  <c r="D168" i="68"/>
  <c r="C135" i="87"/>
  <c r="C140" i="87"/>
  <c r="B214" i="91"/>
  <c r="B795" i="96" s="1"/>
  <c r="D179" i="68"/>
  <c r="F148" i="68"/>
  <c r="E154" i="68"/>
  <c r="E122" i="91"/>
  <c r="D196" i="69"/>
  <c r="C180" i="66"/>
  <c r="D174" i="69"/>
  <c r="F100" i="91"/>
  <c r="F87" i="91"/>
  <c r="E92" i="68"/>
  <c r="E99" i="91"/>
  <c r="E90" i="69" s="1"/>
  <c r="K104" i="87"/>
  <c r="B189" i="91"/>
  <c r="K133" i="87"/>
  <c r="B146" i="69"/>
  <c r="B189" i="66"/>
  <c r="D166" i="69"/>
  <c r="C164" i="66"/>
  <c r="C78" i="66"/>
  <c r="D324" i="96"/>
  <c r="K108" i="87"/>
  <c r="C457" i="96"/>
  <c r="D35" i="71"/>
  <c r="C107" i="91"/>
  <c r="D517" i="96"/>
  <c r="D641" i="96"/>
  <c r="D657" i="96" s="1"/>
  <c r="C517" i="96"/>
  <c r="E125" i="91"/>
  <c r="C281" i="96"/>
  <c r="F120" i="91"/>
  <c r="F111" i="69" s="1"/>
  <c r="F139" i="91"/>
  <c r="K136" i="87"/>
  <c r="C636" i="96"/>
  <c r="D193" i="91"/>
  <c r="C125" i="91"/>
  <c r="D134" i="91"/>
  <c r="C210" i="96"/>
  <c r="E73" i="91"/>
  <c r="B85" i="91"/>
  <c r="C95" i="91"/>
  <c r="D114" i="87"/>
  <c r="D185" i="91"/>
  <c r="D95" i="91"/>
  <c r="F109" i="91"/>
  <c r="D129" i="87"/>
  <c r="C136" i="87"/>
  <c r="F128" i="91"/>
  <c r="C124" i="96"/>
  <c r="C638" i="96"/>
  <c r="B195" i="91"/>
  <c r="C127" i="87"/>
  <c r="D209" i="91"/>
  <c r="C97" i="91"/>
  <c r="D106" i="91"/>
  <c r="E128" i="96"/>
  <c r="E222" i="91"/>
  <c r="C196" i="66"/>
  <c r="B190" i="66"/>
  <c r="D192" i="66"/>
  <c r="C128" i="66"/>
  <c r="B128" i="68"/>
  <c r="C125" i="66"/>
  <c r="D191" i="68"/>
  <c r="D159" i="66"/>
  <c r="G76" i="91"/>
  <c r="E226" i="91"/>
  <c r="L106" i="87"/>
  <c r="F89" i="91"/>
  <c r="K113" i="87"/>
  <c r="K106" i="87"/>
  <c r="B76" i="68"/>
  <c r="B142" i="68"/>
  <c r="B174" i="68"/>
  <c r="B108" i="68"/>
  <c r="C118" i="69"/>
  <c r="E222" i="96"/>
  <c r="B140" i="91"/>
  <c r="B215" i="91"/>
  <c r="B796" i="96" s="1"/>
  <c r="B149" i="87"/>
  <c r="C137" i="91"/>
  <c r="C146" i="87"/>
  <c r="B116" i="87"/>
  <c r="B180" i="91"/>
  <c r="B120" i="66"/>
  <c r="B186" i="66"/>
  <c r="D118" i="66"/>
  <c r="D184" i="66"/>
  <c r="D178" i="66"/>
  <c r="D112" i="66"/>
  <c r="C186" i="68"/>
  <c r="C120" i="68"/>
  <c r="B181" i="68"/>
  <c r="B115" i="68"/>
  <c r="D177" i="68"/>
  <c r="D111" i="68"/>
  <c r="B175" i="68"/>
  <c r="B109" i="68"/>
  <c r="D110" i="69"/>
  <c r="D176" i="69"/>
  <c r="D198" i="91"/>
  <c r="D123" i="91"/>
  <c r="D134" i="87"/>
  <c r="D94" i="68"/>
  <c r="D160" i="68"/>
  <c r="C170" i="66"/>
  <c r="C104" i="66"/>
  <c r="B185" i="66"/>
  <c r="B119" i="66"/>
  <c r="E212" i="96"/>
  <c r="E483" i="96"/>
  <c r="M122" i="87"/>
  <c r="C88" i="66"/>
  <c r="D106" i="68"/>
  <c r="B123" i="69"/>
  <c r="C171" i="68"/>
  <c r="D144" i="68"/>
  <c r="B84" i="66"/>
  <c r="D141" i="91"/>
  <c r="F101" i="91"/>
  <c r="B180" i="66"/>
  <c r="D197" i="91"/>
  <c r="C211" i="91"/>
  <c r="C133" i="91"/>
  <c r="B143" i="69"/>
  <c r="D106" i="69"/>
  <c r="B95" i="69"/>
  <c r="B101" i="68"/>
  <c r="D189" i="66"/>
  <c r="C81" i="66"/>
  <c r="D213" i="91"/>
  <c r="D179" i="69"/>
  <c r="D216" i="91"/>
  <c r="C216" i="91"/>
  <c r="B108" i="69"/>
  <c r="C177" i="66"/>
  <c r="C117" i="66"/>
  <c r="C181" i="69"/>
  <c r="B145" i="68"/>
  <c r="B79" i="68"/>
  <c r="B123" i="87"/>
  <c r="B183" i="91"/>
  <c r="B108" i="91"/>
  <c r="B119" i="87"/>
  <c r="B114" i="87"/>
  <c r="B103" i="91"/>
  <c r="B194" i="91"/>
  <c r="B130" i="87"/>
  <c r="B119" i="91"/>
  <c r="D95" i="66"/>
  <c r="D161" i="66"/>
  <c r="C78" i="69"/>
  <c r="C144" i="69"/>
  <c r="B290" i="70"/>
  <c r="B286" i="70"/>
  <c r="C175" i="68"/>
  <c r="C109" i="68"/>
  <c r="C132" i="66"/>
  <c r="C148" i="68"/>
  <c r="E123" i="96"/>
  <c r="B95" i="68"/>
  <c r="B80" i="66"/>
  <c r="D138" i="91"/>
  <c r="D117" i="66"/>
  <c r="B116" i="66"/>
  <c r="K109" i="87"/>
  <c r="C119" i="87"/>
  <c r="C108" i="91"/>
  <c r="F77" i="91"/>
  <c r="L143" i="87"/>
  <c r="L97" i="87"/>
  <c r="F86" i="91"/>
  <c r="E77" i="91"/>
  <c r="E152" i="91" s="1"/>
  <c r="E225" i="91"/>
  <c r="D124" i="69"/>
  <c r="D190" i="69"/>
  <c r="C135" i="91"/>
  <c r="C210" i="91"/>
  <c r="F226" i="91"/>
  <c r="D434" i="96"/>
  <c r="C138" i="96"/>
  <c r="L129" i="87"/>
  <c r="B169" i="66"/>
  <c r="B103" i="66"/>
  <c r="D164" i="69"/>
  <c r="D98" i="69"/>
  <c r="B153" i="68"/>
  <c r="B87" i="68"/>
  <c r="G77" i="91"/>
  <c r="E227" i="91"/>
  <c r="F190" i="68"/>
  <c r="F76" i="91"/>
  <c r="F151" i="91" s="1"/>
  <c r="E76" i="91"/>
  <c r="D720" i="96"/>
  <c r="C703" i="96"/>
  <c r="D225" i="96"/>
  <c r="Q47" i="123"/>
  <c r="Q49" i="123" s="1"/>
  <c r="Q48" i="123" s="1"/>
  <c r="P53" i="123"/>
  <c r="P47" i="123"/>
  <c r="D55" i="123"/>
  <c r="D54" i="123" s="1"/>
  <c r="E284" i="96"/>
  <c r="E41" i="123"/>
  <c r="E791" i="96"/>
  <c r="E126" i="96"/>
  <c r="M143" i="87"/>
  <c r="E793" i="96"/>
  <c r="R41" i="123"/>
  <c r="C36" i="123"/>
  <c r="L132" i="87"/>
  <c r="D284" i="96"/>
  <c r="D41" i="123"/>
  <c r="D43" i="123" s="1"/>
  <c r="D42" i="123" s="1"/>
  <c r="D47" i="123"/>
  <c r="D49" i="123" s="1"/>
  <c r="D48" i="123" s="1"/>
  <c r="E125" i="96"/>
  <c r="M146" i="87"/>
  <c r="E215" i="96"/>
  <c r="R35" i="123"/>
  <c r="F195" i="68"/>
  <c r="Q41" i="123"/>
  <c r="D126" i="96"/>
  <c r="P41" i="123"/>
  <c r="D35" i="123"/>
  <c r="E121" i="91"/>
  <c r="E112" i="69" s="1"/>
  <c r="C41" i="123"/>
  <c r="E124" i="91"/>
  <c r="C47" i="123"/>
  <c r="C49" i="123" s="1"/>
  <c r="C48" i="123" s="1"/>
  <c r="C254" i="70"/>
  <c r="C255" i="70" s="1"/>
  <c r="U41" i="123"/>
  <c r="E225" i="96"/>
  <c r="R47" i="123"/>
  <c r="M145" i="87"/>
  <c r="G140" i="91"/>
  <c r="R53" i="123"/>
  <c r="D215" i="96"/>
  <c r="Q35" i="123"/>
  <c r="K146" i="87"/>
  <c r="P35" i="123"/>
  <c r="C53" i="123"/>
  <c r="C55" i="123" s="1"/>
  <c r="C54" i="123" s="1"/>
  <c r="Q55" i="123"/>
  <c r="Q54" i="123" s="1"/>
  <c r="D78" i="69"/>
  <c r="L113" i="87"/>
  <c r="B78" i="66"/>
  <c r="D107" i="66"/>
  <c r="F157" i="68"/>
  <c r="F143" i="68"/>
  <c r="B75" i="68"/>
  <c r="C80" i="66"/>
  <c r="C75" i="66"/>
  <c r="D278" i="96"/>
  <c r="F96" i="91"/>
  <c r="F94" i="91"/>
  <c r="C278" i="96"/>
  <c r="E221" i="91"/>
  <c r="F221" i="91"/>
  <c r="E74" i="91"/>
  <c r="C208" i="96"/>
  <c r="G74" i="91"/>
  <c r="F71" i="91"/>
  <c r="J89" i="91"/>
  <c r="F74" i="91"/>
  <c r="K141" i="87"/>
  <c r="B171" i="69"/>
  <c r="D173" i="68"/>
  <c r="D156" i="66"/>
  <c r="B173" i="66"/>
  <c r="D159" i="68"/>
  <c r="B143" i="68"/>
  <c r="C193" i="68"/>
  <c r="C87" i="68"/>
  <c r="C168" i="66"/>
  <c r="C146" i="69"/>
  <c r="B125" i="68"/>
  <c r="D152" i="66"/>
  <c r="C101" i="69"/>
  <c r="C91" i="69"/>
  <c r="C83" i="69"/>
  <c r="M113" i="87"/>
  <c r="E795" i="96"/>
  <c r="F92" i="91"/>
  <c r="N109" i="87"/>
  <c r="H98" i="91"/>
  <c r="B200" i="66"/>
  <c r="D195" i="69"/>
  <c r="E356" i="96"/>
  <c r="N130" i="87"/>
  <c r="C166" i="69"/>
  <c r="D194" i="68"/>
  <c r="C168" i="69"/>
  <c r="D106" i="66"/>
  <c r="D103" i="66"/>
  <c r="D101" i="69"/>
  <c r="D167" i="68"/>
  <c r="D118" i="87"/>
  <c r="C128" i="69"/>
  <c r="B148" i="66"/>
  <c r="C167" i="91"/>
  <c r="D124" i="68"/>
  <c r="C173" i="69"/>
  <c r="B150" i="69"/>
  <c r="D36" i="71"/>
  <c r="D99" i="91"/>
  <c r="B127" i="69"/>
  <c r="D81" i="66"/>
  <c r="D147" i="66"/>
  <c r="D143" i="68"/>
  <c r="D77" i="68"/>
  <c r="B80" i="68"/>
  <c r="B146" i="68"/>
  <c r="D193" i="66"/>
  <c r="D127" i="66"/>
  <c r="C124" i="68"/>
  <c r="C190" i="68"/>
  <c r="B168" i="69"/>
  <c r="B102" i="69"/>
  <c r="D80" i="66"/>
  <c r="D146" i="66"/>
  <c r="B161" i="66"/>
  <c r="B95" i="66"/>
  <c r="C75" i="68"/>
  <c r="C141" i="68"/>
  <c r="B165" i="68"/>
  <c r="B99" i="68"/>
  <c r="D123" i="69"/>
  <c r="D189" i="69"/>
  <c r="D157" i="68"/>
  <c r="D91" i="68"/>
  <c r="B197" i="68"/>
  <c r="B131" i="68"/>
  <c r="C158" i="66"/>
  <c r="C92" i="66"/>
  <c r="D186" i="66"/>
  <c r="D120" i="66"/>
  <c r="B182" i="69"/>
  <c r="B116" i="69"/>
  <c r="K77" i="87"/>
  <c r="C571" i="96"/>
  <c r="C718" i="96" s="1"/>
  <c r="C80" i="68"/>
  <c r="B185" i="91"/>
  <c r="B110" i="91"/>
  <c r="B102" i="66"/>
  <c r="C149" i="66"/>
  <c r="C190" i="66"/>
  <c r="H119" i="91"/>
  <c r="C170" i="68"/>
  <c r="D82" i="69"/>
  <c r="D79" i="68"/>
  <c r="C94" i="91"/>
  <c r="C195" i="66"/>
  <c r="C97" i="66"/>
  <c r="C90" i="69"/>
  <c r="D33" i="71"/>
  <c r="K140" i="87"/>
  <c r="K126" i="87"/>
  <c r="E75" i="91"/>
  <c r="K102" i="87"/>
  <c r="C136" i="91"/>
  <c r="D79" i="69"/>
  <c r="C160" i="69"/>
  <c r="B103" i="69"/>
  <c r="D160" i="91"/>
  <c r="C154" i="68"/>
  <c r="D157" i="66"/>
  <c r="D91" i="66"/>
  <c r="C191" i="68"/>
  <c r="C125" i="68"/>
  <c r="D193" i="68"/>
  <c r="D127" i="68"/>
  <c r="C191" i="69"/>
  <c r="C125" i="69"/>
  <c r="B166" i="91"/>
  <c r="B91" i="91"/>
  <c r="B126" i="66"/>
  <c r="B192" i="66"/>
  <c r="C174" i="91"/>
  <c r="B323" i="96"/>
  <c r="B183" i="66"/>
  <c r="B117" i="66"/>
  <c r="D181" i="66"/>
  <c r="D115" i="66"/>
  <c r="C178" i="66"/>
  <c r="C112" i="66"/>
  <c r="D174" i="68"/>
  <c r="D108" i="68"/>
  <c r="C186" i="69"/>
  <c r="C120" i="69"/>
  <c r="B181" i="69"/>
  <c r="B115" i="69"/>
  <c r="D111" i="69"/>
  <c r="D177" i="69"/>
  <c r="B175" i="69"/>
  <c r="B109" i="69"/>
  <c r="C184" i="68"/>
  <c r="C118" i="68"/>
  <c r="B183" i="68"/>
  <c r="B117" i="68"/>
  <c r="C111" i="69"/>
  <c r="C177" i="69"/>
  <c r="C198" i="68"/>
  <c r="C132" i="68"/>
  <c r="D255" i="70"/>
  <c r="C121" i="96"/>
  <c r="K37" i="87" s="1"/>
  <c r="C141" i="96"/>
  <c r="K40" i="87" s="1"/>
  <c r="B90" i="91"/>
  <c r="B165" i="91"/>
  <c r="C166" i="66"/>
  <c r="D32" i="71"/>
  <c r="D80" i="69"/>
  <c r="B189" i="68"/>
  <c r="D149" i="68"/>
  <c r="C77" i="68"/>
  <c r="B165" i="66"/>
  <c r="D148" i="66"/>
  <c r="B141" i="66"/>
  <c r="C99" i="91"/>
  <c r="D185" i="68"/>
  <c r="B176" i="68"/>
  <c r="D176" i="66"/>
  <c r="D139" i="91"/>
  <c r="D117" i="69"/>
  <c r="B177" i="91"/>
  <c r="B102" i="87"/>
  <c r="L86" i="87"/>
  <c r="B94" i="66"/>
  <c r="B160" i="66"/>
  <c r="D169" i="68"/>
  <c r="D103" i="68"/>
  <c r="B153" i="69"/>
  <c r="B87" i="69"/>
  <c r="C150" i="69"/>
  <c r="C84" i="69"/>
  <c r="D156" i="69"/>
  <c r="D90" i="69"/>
  <c r="D111" i="91"/>
  <c r="C113" i="87"/>
  <c r="C102" i="91"/>
  <c r="C177" i="91"/>
  <c r="D168" i="91"/>
  <c r="D93" i="91"/>
  <c r="D166" i="91"/>
  <c r="D91" i="91"/>
  <c r="D161" i="91"/>
  <c r="D86" i="91"/>
  <c r="B106" i="66"/>
  <c r="B208" i="91"/>
  <c r="B750" i="96" s="1"/>
  <c r="C171" i="69"/>
  <c r="C164" i="68"/>
  <c r="C173" i="66"/>
  <c r="D143" i="66"/>
  <c r="B159" i="91"/>
  <c r="B91" i="68"/>
  <c r="C109" i="66"/>
  <c r="D112" i="68"/>
  <c r="C212" i="91"/>
  <c r="B147" i="66"/>
  <c r="B81" i="66"/>
  <c r="B193" i="66"/>
  <c r="B127" i="66"/>
  <c r="D102" i="69"/>
  <c r="D168" i="69"/>
  <c r="B163" i="68"/>
  <c r="B97" i="68"/>
  <c r="B87" i="66"/>
  <c r="B153" i="66"/>
  <c r="D85" i="66"/>
  <c r="D151" i="66"/>
  <c r="C151" i="68"/>
  <c r="C85" i="68"/>
  <c r="L135" i="87"/>
  <c r="L111" i="87"/>
  <c r="L85" i="87" s="1"/>
  <c r="L108" i="87"/>
  <c r="F95" i="91"/>
  <c r="E102" i="91"/>
  <c r="E95" i="91"/>
  <c r="E86" i="66" s="1"/>
  <c r="B179" i="69"/>
  <c r="C132" i="69"/>
  <c r="B179" i="66"/>
  <c r="B135" i="87"/>
  <c r="B155" i="66"/>
  <c r="D154" i="68"/>
  <c r="D148" i="87"/>
  <c r="C193" i="69"/>
  <c r="C160" i="66"/>
  <c r="C183" i="91"/>
  <c r="D94" i="91"/>
  <c r="C159" i="68"/>
  <c r="C93" i="68"/>
  <c r="B131" i="66"/>
  <c r="B197" i="66"/>
  <c r="C131" i="69"/>
  <c r="C197" i="69"/>
  <c r="B195" i="69"/>
  <c r="B129" i="69"/>
  <c r="D131" i="68"/>
  <c r="D197" i="68"/>
  <c r="B124" i="68"/>
  <c r="B190" i="68"/>
  <c r="E220" i="91"/>
  <c r="K89" i="91"/>
  <c r="L89" i="91"/>
  <c r="B94" i="91"/>
  <c r="C89" i="91"/>
  <c r="B163" i="69"/>
  <c r="B121" i="87"/>
  <c r="C89" i="69"/>
  <c r="C214" i="91"/>
  <c r="B178" i="66"/>
  <c r="B126" i="69"/>
  <c r="C192" i="68"/>
  <c r="D155" i="69"/>
  <c r="B87" i="91"/>
  <c r="D120" i="68"/>
  <c r="B118" i="68"/>
  <c r="F126" i="91"/>
  <c r="F117" i="66" s="1"/>
  <c r="D127" i="69"/>
  <c r="C158" i="68"/>
  <c r="C92" i="68"/>
  <c r="D165" i="69"/>
  <c r="D99" i="69"/>
  <c r="D153" i="68"/>
  <c r="D87" i="68"/>
  <c r="D163" i="68"/>
  <c r="D97" i="68"/>
  <c r="B101" i="69"/>
  <c r="B167" i="69"/>
  <c r="C153" i="69"/>
  <c r="C87" i="69"/>
  <c r="B148" i="69"/>
  <c r="B82" i="69"/>
  <c r="D130" i="66"/>
  <c r="D196" i="66"/>
  <c r="C130" i="68"/>
  <c r="C196" i="68"/>
  <c r="D135" i="91"/>
  <c r="D144" i="87"/>
  <c r="B184" i="66"/>
  <c r="B118" i="66"/>
  <c r="B108" i="66"/>
  <c r="B174" i="66"/>
  <c r="D115" i="68"/>
  <c r="D181" i="68"/>
  <c r="C174" i="68"/>
  <c r="C108" i="68"/>
  <c r="B186" i="69"/>
  <c r="B120" i="69"/>
  <c r="D112" i="69"/>
  <c r="D178" i="69"/>
  <c r="F222" i="91"/>
  <c r="L77" i="87"/>
  <c r="E109" i="91"/>
  <c r="E89" i="91"/>
  <c r="E80" i="66" s="1"/>
  <c r="K97" i="87"/>
  <c r="E70" i="102"/>
  <c r="B140" i="87"/>
  <c r="B204" i="91"/>
  <c r="D639" i="96"/>
  <c r="D655" i="96" s="1"/>
  <c r="D128" i="87"/>
  <c r="D192" i="91"/>
  <c r="F121" i="91"/>
  <c r="C77" i="66"/>
  <c r="C143" i="66"/>
  <c r="B166" i="66"/>
  <c r="B100" i="66"/>
  <c r="D75" i="68"/>
  <c r="D141" i="68"/>
  <c r="C185" i="91"/>
  <c r="C110" i="91"/>
  <c r="C117" i="87"/>
  <c r="C106" i="91"/>
  <c r="C181" i="91"/>
  <c r="D100" i="91"/>
  <c r="D175" i="91"/>
  <c r="D92" i="91"/>
  <c r="D167" i="91"/>
  <c r="B97" i="87"/>
  <c r="B86" i="91"/>
  <c r="B108" i="87"/>
  <c r="B97" i="91"/>
  <c r="B164" i="91"/>
  <c r="B89" i="91"/>
  <c r="B109" i="91"/>
  <c r="B184" i="91"/>
  <c r="B115" i="87"/>
  <c r="B179" i="91"/>
  <c r="D149" i="87"/>
  <c r="D215" i="91"/>
  <c r="C182" i="66"/>
  <c r="C116" i="66"/>
  <c r="B181" i="66"/>
  <c r="B115" i="66"/>
  <c r="D177" i="66"/>
  <c r="D111" i="66"/>
  <c r="C181" i="68"/>
  <c r="C115" i="68"/>
  <c r="B178" i="68"/>
  <c r="B112" i="68"/>
  <c r="D176" i="68"/>
  <c r="D110" i="68"/>
  <c r="C178" i="69"/>
  <c r="C112" i="69"/>
  <c r="B177" i="69"/>
  <c r="B111" i="69"/>
  <c r="C108" i="69"/>
  <c r="C174" i="69"/>
  <c r="D437" i="96"/>
  <c r="D407" i="96"/>
  <c r="D409" i="96" s="1"/>
  <c r="L102" i="87"/>
  <c r="F91" i="91"/>
  <c r="L95" i="87"/>
  <c r="L72" i="87" s="1"/>
  <c r="F84" i="91"/>
  <c r="C434" i="96"/>
  <c r="K111" i="87"/>
  <c r="K85" i="87" s="1"/>
  <c r="E100" i="91"/>
  <c r="C126" i="91"/>
  <c r="C137" i="87"/>
  <c r="B200" i="91"/>
  <c r="B136" i="87"/>
  <c r="E172" i="68"/>
  <c r="C525" i="96"/>
  <c r="C117" i="91"/>
  <c r="C128" i="87"/>
  <c r="E181" i="68"/>
  <c r="K135" i="87"/>
  <c r="E128" i="91"/>
  <c r="K139" i="87"/>
  <c r="D359" i="96"/>
  <c r="H554" i="96"/>
  <c r="H562" i="96" s="1"/>
  <c r="B100" i="69"/>
  <c r="C103" i="66"/>
  <c r="C86" i="69"/>
  <c r="D189" i="68"/>
  <c r="D76" i="68"/>
  <c r="C86" i="68"/>
  <c r="B83" i="68"/>
  <c r="B85" i="69"/>
  <c r="C156" i="66"/>
  <c r="C90" i="66"/>
  <c r="C103" i="91"/>
  <c r="C178" i="91"/>
  <c r="D171" i="91"/>
  <c r="D96" i="91"/>
  <c r="D127" i="91"/>
  <c r="D202" i="91"/>
  <c r="K132" i="87"/>
  <c r="D114" i="68"/>
  <c r="D180" i="68"/>
  <c r="M89" i="91"/>
  <c r="B191" i="69"/>
  <c r="B78" i="68"/>
  <c r="C84" i="68"/>
  <c r="B94" i="69"/>
  <c r="C79" i="66"/>
  <c r="D92" i="68"/>
  <c r="B129" i="66"/>
  <c r="D175" i="68"/>
  <c r="B167" i="66"/>
  <c r="B141" i="69"/>
  <c r="D99" i="66"/>
  <c r="B172" i="68"/>
  <c r="D119" i="66"/>
  <c r="B158" i="66"/>
  <c r="C168" i="91"/>
  <c r="C119" i="91"/>
  <c r="C130" i="87"/>
  <c r="F129" i="91"/>
  <c r="B192" i="91"/>
  <c r="B117" i="91"/>
  <c r="B143" i="66"/>
  <c r="B77" i="66"/>
  <c r="D150" i="66"/>
  <c r="D84" i="66"/>
  <c r="C171" i="66"/>
  <c r="C105" i="66"/>
  <c r="D161" i="68"/>
  <c r="D95" i="68"/>
  <c r="D143" i="69"/>
  <c r="D77" i="69"/>
  <c r="C156" i="68"/>
  <c r="C90" i="68"/>
  <c r="B93" i="66"/>
  <c r="B159" i="66"/>
  <c r="D131" i="66"/>
  <c r="D197" i="66"/>
  <c r="B194" i="66"/>
  <c r="B128" i="66"/>
  <c r="D152" i="68"/>
  <c r="D86" i="68"/>
  <c r="D126" i="69"/>
  <c r="D192" i="69"/>
  <c r="B119" i="69"/>
  <c r="B185" i="69"/>
  <c r="E120" i="91"/>
  <c r="K121" i="87"/>
  <c r="C148" i="66"/>
  <c r="C82" i="66"/>
  <c r="C75" i="69"/>
  <c r="C141" i="69"/>
  <c r="B163" i="66"/>
  <c r="B97" i="66"/>
  <c r="C97" i="69"/>
  <c r="C163" i="69"/>
  <c r="D153" i="69"/>
  <c r="D87" i="69"/>
  <c r="C91" i="91"/>
  <c r="C166" i="91"/>
  <c r="C159" i="91"/>
  <c r="C84" i="91"/>
  <c r="B146" i="87"/>
  <c r="B137" i="91"/>
  <c r="B325" i="96"/>
  <c r="C101" i="91"/>
  <c r="C119" i="66"/>
  <c r="C185" i="66"/>
  <c r="C178" i="68"/>
  <c r="C112" i="68"/>
  <c r="C99" i="69"/>
  <c r="H117" i="91"/>
  <c r="B145" i="87"/>
  <c r="B164" i="69"/>
  <c r="B98" i="69"/>
  <c r="F132" i="91"/>
  <c r="F123" i="69" s="1"/>
  <c r="L141" i="87"/>
  <c r="D136" i="96"/>
  <c r="F104" i="66"/>
  <c r="C145" i="69"/>
  <c r="C79" i="69"/>
  <c r="C138" i="91"/>
  <c r="C213" i="91"/>
  <c r="C111" i="91"/>
  <c r="B483" i="96"/>
  <c r="D182" i="66"/>
  <c r="D116" i="66"/>
  <c r="C181" i="66"/>
  <c r="C115" i="66"/>
  <c r="C183" i="69"/>
  <c r="C117" i="69"/>
  <c r="F108" i="91"/>
  <c r="L119" i="87"/>
  <c r="D194" i="66"/>
  <c r="D128" i="66"/>
  <c r="B124" i="69"/>
  <c r="B190" i="69"/>
  <c r="D150" i="69"/>
  <c r="D84" i="69"/>
  <c r="C145" i="68"/>
  <c r="C79" i="68"/>
  <c r="B145" i="69"/>
  <c r="B79" i="69"/>
  <c r="C109" i="91"/>
  <c r="C184" i="91"/>
  <c r="C104" i="91"/>
  <c r="C115" i="87"/>
  <c r="D97" i="91"/>
  <c r="D172" i="91"/>
  <c r="D89" i="91"/>
  <c r="D164" i="91"/>
  <c r="D84" i="91"/>
  <c r="D159" i="91"/>
  <c r="B101" i="91"/>
  <c r="B112" i="87"/>
  <c r="B130" i="68"/>
  <c r="B196" i="68"/>
  <c r="C120" i="66"/>
  <c r="C186" i="66"/>
  <c r="B175" i="66"/>
  <c r="B109" i="66"/>
  <c r="C185" i="68"/>
  <c r="C119" i="68"/>
  <c r="D182" i="68"/>
  <c r="D116" i="68"/>
  <c r="D175" i="69"/>
  <c r="D109" i="69"/>
  <c r="B126" i="91"/>
  <c r="B201" i="91"/>
  <c r="B118" i="91"/>
  <c r="B129" i="87"/>
  <c r="B193" i="91"/>
  <c r="D190" i="91"/>
  <c r="D115" i="91"/>
  <c r="C189" i="91"/>
  <c r="C125" i="87"/>
  <c r="L126" i="87"/>
  <c r="F115" i="91"/>
  <c r="F106" i="66" s="1"/>
  <c r="F117" i="91"/>
  <c r="D196" i="91"/>
  <c r="D121" i="91"/>
  <c r="D132" i="87"/>
  <c r="D139" i="87"/>
  <c r="D203" i="91"/>
  <c r="O126" i="87"/>
  <c r="D89" i="66"/>
  <c r="C129" i="68"/>
  <c r="C147" i="87"/>
  <c r="C165" i="91"/>
  <c r="B111" i="68"/>
  <c r="D100" i="66"/>
  <c r="D166" i="66"/>
  <c r="D82" i="68"/>
  <c r="D148" i="68"/>
  <c r="C161" i="68"/>
  <c r="C95" i="68"/>
  <c r="B129" i="68"/>
  <c r="B195" i="68"/>
  <c r="D170" i="66"/>
  <c r="D104" i="66"/>
  <c r="D85" i="68"/>
  <c r="D151" i="68"/>
  <c r="B149" i="69"/>
  <c r="B83" i="69"/>
  <c r="G554" i="96"/>
  <c r="G562" i="96" s="1"/>
  <c r="C668" i="96"/>
  <c r="K88" i="87"/>
  <c r="D455" i="96"/>
  <c r="F73" i="91"/>
  <c r="B142" i="66"/>
  <c r="B76" i="66"/>
  <c r="D144" i="66"/>
  <c r="D78" i="66"/>
  <c r="D149" i="66"/>
  <c r="D83" i="66"/>
  <c r="B88" i="66"/>
  <c r="B154" i="66"/>
  <c r="C95" i="66"/>
  <c r="C161" i="66"/>
  <c r="C101" i="66"/>
  <c r="C167" i="66"/>
  <c r="D171" i="66"/>
  <c r="D105" i="66"/>
  <c r="C189" i="66"/>
  <c r="C123" i="66"/>
  <c r="C144" i="68"/>
  <c r="C78" i="68"/>
  <c r="D146" i="68"/>
  <c r="D80" i="68"/>
  <c r="C83" i="68"/>
  <c r="C149" i="68"/>
  <c r="D150" i="68"/>
  <c r="D84" i="68"/>
  <c r="C99" i="68"/>
  <c r="C165" i="68"/>
  <c r="B171" i="68"/>
  <c r="B105" i="68"/>
  <c r="D142" i="69"/>
  <c r="D76" i="69"/>
  <c r="D81" i="69"/>
  <c r="D147" i="69"/>
  <c r="C172" i="69"/>
  <c r="C106" i="69"/>
  <c r="C197" i="66"/>
  <c r="C131" i="66"/>
  <c r="C195" i="69"/>
  <c r="C129" i="69"/>
  <c r="B128" i="69"/>
  <c r="B194" i="69"/>
  <c r="D195" i="68"/>
  <c r="D129" i="68"/>
  <c r="C128" i="68"/>
  <c r="C194" i="68"/>
  <c r="D190" i="66"/>
  <c r="D124" i="66"/>
  <c r="I115" i="91"/>
  <c r="D138" i="96"/>
  <c r="K100" i="87"/>
  <c r="E86" i="91"/>
  <c r="E123" i="91"/>
  <c r="E114" i="69" s="1"/>
  <c r="D163" i="66"/>
  <c r="D97" i="66"/>
  <c r="C163" i="68"/>
  <c r="C97" i="68"/>
  <c r="C87" i="66"/>
  <c r="C153" i="66"/>
  <c r="B86" i="66"/>
  <c r="B152" i="66"/>
  <c r="B165" i="69"/>
  <c r="B99" i="69"/>
  <c r="E750" i="96"/>
  <c r="F97" i="102"/>
  <c r="E214" i="96"/>
  <c r="F762" i="96"/>
  <c r="F99" i="102"/>
  <c r="E97" i="102"/>
  <c r="L121" i="87"/>
  <c r="F110" i="91"/>
  <c r="D457" i="96"/>
  <c r="D448" i="96" s="1"/>
  <c r="L117" i="87"/>
  <c r="F106" i="91"/>
  <c r="F223" i="91"/>
  <c r="D139" i="96"/>
  <c r="F104" i="91"/>
  <c r="D398" i="96"/>
  <c r="D403" i="96" s="1"/>
  <c r="D357" i="96"/>
  <c r="L115" i="87"/>
  <c r="D211" i="96"/>
  <c r="F102" i="91"/>
  <c r="L75" i="87"/>
  <c r="D210" i="96"/>
  <c r="D323" i="96"/>
  <c r="F99" i="91"/>
  <c r="L110" i="87"/>
  <c r="L74" i="87" s="1"/>
  <c r="L107" i="87"/>
  <c r="L105" i="87"/>
  <c r="D281" i="96"/>
  <c r="L103" i="87"/>
  <c r="D120" i="96"/>
  <c r="L36" i="87" s="1"/>
  <c r="F144" i="68"/>
  <c r="L98" i="87"/>
  <c r="D218" i="96"/>
  <c r="F85" i="91"/>
  <c r="F76" i="66" s="1"/>
  <c r="D119" i="96"/>
  <c r="L96" i="87"/>
  <c r="L83" i="87" s="1"/>
  <c r="E192" i="68"/>
  <c r="E151" i="91"/>
  <c r="E116" i="91"/>
  <c r="K127" i="87"/>
  <c r="K123" i="87"/>
  <c r="E103" i="69"/>
  <c r="K120" i="87"/>
  <c r="C456" i="96"/>
  <c r="C454" i="96"/>
  <c r="K118" i="87"/>
  <c r="E107" i="91"/>
  <c r="C452" i="96"/>
  <c r="E105" i="91"/>
  <c r="K116" i="87"/>
  <c r="C356" i="96"/>
  <c r="K114" i="87"/>
  <c r="E103" i="91"/>
  <c r="C220" i="96"/>
  <c r="K112" i="87"/>
  <c r="C323" i="96"/>
  <c r="E72" i="91"/>
  <c r="K110" i="87"/>
  <c r="K74" i="87" s="1"/>
  <c r="K107" i="87"/>
  <c r="K105" i="87"/>
  <c r="E94" i="91"/>
  <c r="C219" i="96"/>
  <c r="E84" i="91"/>
  <c r="K95" i="87"/>
  <c r="K72" i="87" s="1"/>
  <c r="C136" i="96"/>
  <c r="B138" i="87"/>
  <c r="B127" i="91"/>
  <c r="D136" i="87"/>
  <c r="D200" i="91"/>
  <c r="D125" i="91"/>
  <c r="C131" i="87"/>
  <c r="C195" i="91"/>
  <c r="D191" i="91"/>
  <c r="D127" i="87"/>
  <c r="C115" i="91"/>
  <c r="C126" i="87"/>
  <c r="C190" i="91"/>
  <c r="L138" i="87"/>
  <c r="D640" i="96"/>
  <c r="F127" i="91"/>
  <c r="F119" i="91"/>
  <c r="L130" i="87"/>
  <c r="D514" i="96"/>
  <c r="F114" i="91"/>
  <c r="D213" i="96"/>
  <c r="D245" i="96" s="1"/>
  <c r="D553" i="96"/>
  <c r="D558" i="96" s="1"/>
  <c r="E126" i="91"/>
  <c r="E117" i="66" s="1"/>
  <c r="K137" i="87"/>
  <c r="C639" i="96"/>
  <c r="K129" i="87"/>
  <c r="E118" i="91"/>
  <c r="E109" i="69" s="1"/>
  <c r="E117" i="91"/>
  <c r="E108" i="69" s="1"/>
  <c r="E634" i="96"/>
  <c r="C132" i="87"/>
  <c r="C121" i="91"/>
  <c r="C196" i="91"/>
  <c r="C139" i="87"/>
  <c r="C203" i="91"/>
  <c r="C516" i="96"/>
  <c r="B114" i="69"/>
  <c r="B180" i="69"/>
  <c r="L109" i="87"/>
  <c r="F98" i="91"/>
  <c r="B132" i="69"/>
  <c r="B198" i="69"/>
  <c r="B130" i="66"/>
  <c r="B196" i="66"/>
  <c r="C126" i="66"/>
  <c r="C192" i="66"/>
  <c r="B178" i="69"/>
  <c r="B112" i="69"/>
  <c r="B104" i="69"/>
  <c r="D163" i="69"/>
  <c r="B88" i="68"/>
  <c r="B154" i="68"/>
  <c r="D87" i="91"/>
  <c r="D162" i="91"/>
  <c r="B484" i="96"/>
  <c r="C103" i="68"/>
  <c r="D113" i="87"/>
  <c r="D102" i="91"/>
  <c r="C96" i="91"/>
  <c r="C171" i="91"/>
  <c r="E98" i="102"/>
  <c r="F111" i="91"/>
  <c r="D360" i="96"/>
  <c r="L120" i="87"/>
  <c r="L118" i="87"/>
  <c r="D436" i="96"/>
  <c r="D445" i="96" s="1"/>
  <c r="F107" i="91"/>
  <c r="F98" i="69" s="1"/>
  <c r="D358" i="96"/>
  <c r="F105" i="91"/>
  <c r="D221" i="96"/>
  <c r="L116" i="87"/>
  <c r="D98" i="102"/>
  <c r="K145" i="87"/>
  <c r="K96" i="87"/>
  <c r="K83" i="87" s="1"/>
  <c r="C138" i="87"/>
  <c r="C127" i="91"/>
  <c r="L131" i="87"/>
  <c r="D633" i="96"/>
  <c r="D649" i="96" s="1"/>
  <c r="E127" i="91"/>
  <c r="E118" i="66" s="1"/>
  <c r="E119" i="91"/>
  <c r="E114" i="91"/>
  <c r="E105" i="69" s="1"/>
  <c r="K125" i="87"/>
  <c r="C514" i="96"/>
  <c r="G128" i="91"/>
  <c r="E641" i="96"/>
  <c r="E657" i="96" s="1"/>
  <c r="E104" i="91"/>
  <c r="K115" i="87"/>
  <c r="L125" i="87"/>
  <c r="G96" i="91"/>
  <c r="G110" i="91"/>
  <c r="G90" i="91"/>
  <c r="G93" i="91"/>
  <c r="G85" i="91"/>
  <c r="G122" i="91"/>
  <c r="G100" i="91"/>
  <c r="G86" i="91"/>
  <c r="G102" i="91"/>
  <c r="B82" i="68"/>
  <c r="B148" i="68"/>
  <c r="C170" i="69"/>
  <c r="C104" i="69"/>
  <c r="C674" i="96"/>
  <c r="G119" i="91"/>
  <c r="M130" i="87"/>
  <c r="G121" i="91"/>
  <c r="G124" i="91"/>
  <c r="G92" i="91"/>
  <c r="G84" i="91"/>
  <c r="F635" i="96"/>
  <c r="G91" i="91"/>
  <c r="G89" i="91"/>
  <c r="C102" i="68"/>
  <c r="C518" i="96"/>
  <c r="C645" i="96"/>
  <c r="C661" i="96" s="1"/>
  <c r="G105" i="91"/>
  <c r="G135" i="91"/>
  <c r="K142" i="87"/>
  <c r="C453" i="96"/>
  <c r="C357" i="96"/>
  <c r="C211" i="96"/>
  <c r="H553" i="96"/>
  <c r="G127" i="91"/>
  <c r="G106" i="91"/>
  <c r="G120" i="91"/>
  <c r="C106" i="68"/>
  <c r="B156" i="68"/>
  <c r="C666" i="96"/>
  <c r="G139" i="91"/>
  <c r="E132" i="91"/>
  <c r="K119" i="87"/>
  <c r="B123" i="91"/>
  <c r="C408" i="96"/>
  <c r="C673" i="96"/>
  <c r="G133" i="91"/>
  <c r="G138" i="91"/>
  <c r="C672" i="96"/>
  <c r="C656" i="96" s="1"/>
  <c r="G129" i="91"/>
  <c r="G117" i="91"/>
  <c r="G111" i="91"/>
  <c r="C669" i="96"/>
  <c r="G136" i="91"/>
  <c r="G137" i="91"/>
  <c r="C671" i="96"/>
  <c r="C570" i="96"/>
  <c r="G115" i="91"/>
  <c r="C145" i="96"/>
  <c r="G87" i="91"/>
  <c r="E108" i="68"/>
  <c r="E113" i="68"/>
  <c r="E89" i="68"/>
  <c r="K89" i="66"/>
  <c r="B95" i="87"/>
  <c r="B122" i="87"/>
  <c r="B113" i="87"/>
  <c r="B174" i="91"/>
  <c r="B105" i="91"/>
  <c r="B125" i="91"/>
  <c r="D526" i="96"/>
  <c r="D527" i="96" s="1"/>
  <c r="J89" i="66"/>
  <c r="B98" i="87"/>
  <c r="B105" i="87"/>
  <c r="B142" i="87"/>
  <c r="B106" i="91"/>
  <c r="B137" i="87"/>
  <c r="E79" i="68"/>
  <c r="E79" i="69"/>
  <c r="M89" i="66"/>
  <c r="I89" i="66"/>
  <c r="B172" i="91"/>
  <c r="B93" i="91"/>
  <c r="B100" i="87"/>
  <c r="B120" i="87"/>
  <c r="B136" i="91"/>
  <c r="B202" i="91"/>
  <c r="E179" i="68"/>
  <c r="B197" i="91"/>
  <c r="B217" i="91"/>
  <c r="L89" i="66"/>
  <c r="B160" i="91"/>
  <c r="B96" i="91"/>
  <c r="B178" i="91"/>
  <c r="B143" i="87"/>
  <c r="B115" i="91"/>
  <c r="C526" i="96"/>
  <c r="E158" i="68"/>
  <c r="B218" i="91"/>
  <c r="E194" i="68"/>
  <c r="D141" i="87"/>
  <c r="D132" i="91"/>
  <c r="D207" i="91"/>
  <c r="D120" i="69"/>
  <c r="D204" i="91"/>
  <c r="B143" i="91"/>
  <c r="B133" i="69"/>
  <c r="B150" i="87"/>
  <c r="B198" i="66"/>
  <c r="B216" i="91"/>
  <c r="B132" i="68"/>
  <c r="B141" i="91"/>
  <c r="K553" i="96"/>
  <c r="K554" i="96"/>
  <c r="K562" i="96" s="1"/>
  <c r="R126" i="87"/>
  <c r="J114" i="91"/>
  <c r="I114" i="91"/>
  <c r="M101" i="87"/>
  <c r="E640" i="96"/>
  <c r="E656" i="96" s="1"/>
  <c r="E76" i="69"/>
  <c r="E76" i="66"/>
  <c r="F179" i="69"/>
  <c r="F179" i="66"/>
  <c r="P100" i="87"/>
  <c r="E434" i="96"/>
  <c r="F97" i="69"/>
  <c r="F97" i="66"/>
  <c r="F91" i="69"/>
  <c r="F91" i="66"/>
  <c r="F96" i="69"/>
  <c r="F96" i="66"/>
  <c r="E110" i="69"/>
  <c r="E110" i="66"/>
  <c r="E80" i="69"/>
  <c r="E94" i="69"/>
  <c r="E94" i="66"/>
  <c r="E98" i="66"/>
  <c r="I553" i="96"/>
  <c r="E439" i="96"/>
  <c r="F119" i="66"/>
  <c r="F84" i="69"/>
  <c r="F84" i="66"/>
  <c r="E113" i="69"/>
  <c r="E113" i="66"/>
  <c r="D325" i="96"/>
  <c r="E209" i="96"/>
  <c r="F101" i="69"/>
  <c r="F101" i="66"/>
  <c r="F86" i="66"/>
  <c r="F100" i="69"/>
  <c r="F100" i="66"/>
  <c r="J553" i="96"/>
  <c r="M117" i="87"/>
  <c r="F130" i="69"/>
  <c r="F130" i="66"/>
  <c r="E120" i="69"/>
  <c r="E120" i="66"/>
  <c r="E84" i="69"/>
  <c r="E84" i="66"/>
  <c r="F78" i="69"/>
  <c r="F78" i="66"/>
  <c r="G104" i="66"/>
  <c r="F72" i="91"/>
  <c r="E280" i="96"/>
  <c r="E116" i="69"/>
  <c r="E116" i="66"/>
  <c r="E92" i="69"/>
  <c r="E92" i="66"/>
  <c r="F112" i="69"/>
  <c r="E85" i="69"/>
  <c r="E85" i="66"/>
  <c r="F75" i="69"/>
  <c r="F75" i="66"/>
  <c r="F117" i="69"/>
  <c r="E107" i="69"/>
  <c r="E107" i="66"/>
  <c r="F169" i="69"/>
  <c r="F169" i="66"/>
  <c r="G131" i="66"/>
  <c r="F118" i="69"/>
  <c r="E88" i="69"/>
  <c r="E88" i="66"/>
  <c r="F194" i="69"/>
  <c r="F194" i="66"/>
  <c r="F190" i="69"/>
  <c r="F160" i="66"/>
  <c r="F154" i="69"/>
  <c r="F148" i="66"/>
  <c r="D209" i="96"/>
  <c r="D280" i="96"/>
  <c r="E194" i="69"/>
  <c r="E194" i="66"/>
  <c r="E190" i="66"/>
  <c r="E154" i="69"/>
  <c r="E148" i="66"/>
  <c r="F556" i="96"/>
  <c r="E556" i="96"/>
  <c r="E564" i="96" s="1"/>
  <c r="F183" i="69"/>
  <c r="F118" i="91"/>
  <c r="F175" i="66"/>
  <c r="E189" i="69"/>
  <c r="E182" i="69"/>
  <c r="E173" i="69"/>
  <c r="E173" i="66"/>
  <c r="E174" i="69"/>
  <c r="E174" i="66"/>
  <c r="E178" i="69"/>
  <c r="E178" i="66"/>
  <c r="E185" i="69"/>
  <c r="E185" i="66"/>
  <c r="E179" i="69"/>
  <c r="E179" i="66"/>
  <c r="E89" i="69"/>
  <c r="E89" i="66"/>
  <c r="F193" i="69"/>
  <c r="F168" i="69"/>
  <c r="F166" i="66"/>
  <c r="F164" i="69"/>
  <c r="F164" i="66"/>
  <c r="F162" i="69"/>
  <c r="F162" i="66"/>
  <c r="K149" i="87"/>
  <c r="E197" i="69"/>
  <c r="E197" i="66"/>
  <c r="E193" i="69"/>
  <c r="E170" i="69"/>
  <c r="E165" i="69"/>
  <c r="E163" i="69"/>
  <c r="E87" i="91"/>
  <c r="E144" i="69"/>
  <c r="F189" i="69"/>
  <c r="F173" i="69"/>
  <c r="F173" i="66"/>
  <c r="E186" i="69"/>
  <c r="E186" i="66"/>
  <c r="E177" i="69"/>
  <c r="E177" i="66"/>
  <c r="E172" i="69"/>
  <c r="F181" i="69"/>
  <c r="F181" i="66"/>
  <c r="F791" i="96"/>
  <c r="E93" i="66"/>
  <c r="F76" i="69"/>
  <c r="E77" i="69"/>
  <c r="F192" i="69"/>
  <c r="F192" i="66"/>
  <c r="F156" i="66"/>
  <c r="F153" i="69"/>
  <c r="F151" i="69"/>
  <c r="F147" i="66"/>
  <c r="F144" i="69"/>
  <c r="E196" i="69"/>
  <c r="E196" i="66"/>
  <c r="D97" i="102"/>
  <c r="E192" i="69"/>
  <c r="E192" i="66"/>
  <c r="E169" i="69"/>
  <c r="E169" i="66"/>
  <c r="E160" i="66"/>
  <c r="E158" i="66"/>
  <c r="E153" i="69"/>
  <c r="E151" i="69"/>
  <c r="F186" i="66"/>
  <c r="F177" i="69"/>
  <c r="F177" i="66"/>
  <c r="F172" i="69"/>
  <c r="E184" i="69"/>
  <c r="E176" i="69"/>
  <c r="E176" i="66"/>
  <c r="E171" i="69"/>
  <c r="E181" i="69"/>
  <c r="E181" i="66"/>
  <c r="E180" i="66"/>
  <c r="F95" i="69"/>
  <c r="F95" i="66"/>
  <c r="E86" i="69"/>
  <c r="F195" i="69"/>
  <c r="F195" i="66"/>
  <c r="F191" i="69"/>
  <c r="F191" i="66"/>
  <c r="F165" i="69"/>
  <c r="F163" i="69"/>
  <c r="E195" i="69"/>
  <c r="E195" i="66"/>
  <c r="E191" i="69"/>
  <c r="E168" i="69"/>
  <c r="E164" i="69"/>
  <c r="E164" i="66"/>
  <c r="E162" i="69"/>
  <c r="E162" i="66"/>
  <c r="F184" i="69"/>
  <c r="F176" i="69"/>
  <c r="F176" i="66"/>
  <c r="F171" i="69"/>
  <c r="E183" i="69"/>
  <c r="E175" i="66"/>
  <c r="F174" i="69"/>
  <c r="F174" i="66"/>
  <c r="F178" i="69"/>
  <c r="F178" i="66"/>
  <c r="F185" i="66"/>
  <c r="F169" i="68"/>
  <c r="E170" i="68"/>
  <c r="E153" i="68"/>
  <c r="E143" i="68"/>
  <c r="E196" i="68"/>
  <c r="F194" i="68"/>
  <c r="B200" i="68"/>
  <c r="C95" i="69"/>
  <c r="C77" i="69"/>
  <c r="C82" i="69"/>
  <c r="D161" i="69"/>
  <c r="D185" i="69"/>
  <c r="D83" i="69"/>
  <c r="C85" i="69"/>
  <c r="D86" i="69"/>
  <c r="B117" i="69"/>
  <c r="B88" i="69"/>
  <c r="D103" i="69"/>
  <c r="B81" i="69"/>
  <c r="C81" i="69"/>
  <c r="C159" i="69"/>
  <c r="B172" i="69"/>
  <c r="C110" i="69"/>
  <c r="B90" i="69"/>
  <c r="C192" i="69"/>
  <c r="B130" i="69"/>
  <c r="B83" i="66"/>
  <c r="C84" i="66"/>
  <c r="B151" i="66"/>
  <c r="D104" i="91"/>
  <c r="D177" i="91"/>
  <c r="D179" i="91"/>
  <c r="C162" i="91"/>
  <c r="G149" i="91"/>
  <c r="D99" i="102"/>
  <c r="E96" i="91"/>
  <c r="H114" i="91"/>
  <c r="C175" i="91"/>
  <c r="B324" i="96"/>
  <c r="C100" i="91"/>
  <c r="F750" i="96"/>
  <c r="F214" i="96"/>
  <c r="D356" i="96"/>
  <c r="D397" i="96"/>
  <c r="D122" i="96"/>
  <c r="L114" i="87"/>
  <c r="F103" i="91"/>
  <c r="D368" i="96"/>
  <c r="D369" i="96" s="1"/>
  <c r="F97" i="91"/>
  <c r="D219" i="96"/>
  <c r="E110" i="91"/>
  <c r="C439" i="96"/>
  <c r="C448" i="96" s="1"/>
  <c r="C361" i="96"/>
  <c r="C368" i="96"/>
  <c r="C360" i="96"/>
  <c r="E108" i="91"/>
  <c r="C437" i="96"/>
  <c r="C446" i="96" s="1"/>
  <c r="C221" i="96"/>
  <c r="U246" i="96" s="1"/>
  <c r="K117" i="87"/>
  <c r="C359" i="96"/>
  <c r="C435" i="96"/>
  <c r="E106" i="91"/>
  <c r="C367" i="96"/>
  <c r="C122" i="96"/>
  <c r="K86" i="87"/>
  <c r="C407" i="96"/>
  <c r="C402" i="96" s="1"/>
  <c r="C139" i="96"/>
  <c r="K75" i="87"/>
  <c r="E223" i="91"/>
  <c r="K103" i="87"/>
  <c r="E92" i="91"/>
  <c r="C218" i="96"/>
  <c r="C119" i="96"/>
  <c r="D816" i="96"/>
  <c r="D130" i="87"/>
  <c r="D119" i="91"/>
  <c r="C129" i="87"/>
  <c r="C193" i="91"/>
  <c r="C118" i="91"/>
  <c r="B127" i="87"/>
  <c r="B116" i="91"/>
  <c r="B191" i="91"/>
  <c r="D114" i="91"/>
  <c r="D189" i="91"/>
  <c r="D645" i="96"/>
  <c r="D661" i="96" s="1"/>
  <c r="F125" i="91"/>
  <c r="L127" i="87"/>
  <c r="F116" i="91"/>
  <c r="C515" i="96"/>
  <c r="K131" i="87"/>
  <c r="C213" i="96"/>
  <c r="C245" i="96" s="1"/>
  <c r="C247" i="96" s="1"/>
  <c r="E115" i="91"/>
  <c r="C554" i="96"/>
  <c r="B132" i="87"/>
  <c r="B196" i="91"/>
  <c r="B139" i="87"/>
  <c r="B128" i="91"/>
  <c r="B198" i="91"/>
  <c r="B134" i="87"/>
  <c r="M109" i="87"/>
  <c r="B111" i="87"/>
  <c r="B175" i="91"/>
  <c r="B100" i="91"/>
  <c r="D635" i="96"/>
  <c r="D90" i="91"/>
  <c r="B129" i="91"/>
  <c r="D201" i="91"/>
  <c r="D515" i="96"/>
  <c r="C132" i="91"/>
  <c r="D137" i="87"/>
  <c r="C141" i="87"/>
  <c r="S126" i="87"/>
  <c r="M115" i="91"/>
  <c r="F569" i="96"/>
  <c r="F553" i="96"/>
  <c r="L134" i="87"/>
  <c r="F90" i="91"/>
  <c r="N125" i="87"/>
  <c r="F123" i="91"/>
  <c r="E358" i="96"/>
  <c r="D121" i="96"/>
  <c r="L112" i="87"/>
  <c r="D444" i="96"/>
  <c r="D668" i="96"/>
  <c r="B170" i="68"/>
  <c r="B203" i="91"/>
  <c r="B142" i="91"/>
  <c r="B816" i="96"/>
  <c r="C91" i="68"/>
  <c r="B98" i="66"/>
  <c r="D173" i="69"/>
  <c r="C114" i="87"/>
  <c r="D99" i="68"/>
  <c r="B85" i="68"/>
  <c r="D102" i="66"/>
  <c r="C98" i="69"/>
  <c r="D159" i="69"/>
  <c r="C144" i="87"/>
  <c r="D160" i="66"/>
  <c r="B184" i="69"/>
  <c r="D140" i="91"/>
  <c r="D92" i="66"/>
  <c r="B144" i="69"/>
  <c r="B155" i="69"/>
  <c r="B171" i="66"/>
  <c r="D166" i="68"/>
  <c r="D81" i="68"/>
  <c r="D104" i="68"/>
  <c r="B91" i="66"/>
  <c r="D75" i="66"/>
  <c r="C127" i="66"/>
  <c r="C107" i="68"/>
  <c r="B125" i="66"/>
  <c r="D98" i="66"/>
  <c r="B134" i="91"/>
  <c r="B111" i="91"/>
  <c r="G553" i="96"/>
  <c r="J554" i="96"/>
  <c r="J562" i="96" s="1"/>
  <c r="D124" i="96"/>
  <c r="L115" i="91"/>
  <c r="O125" i="87"/>
  <c r="L114" i="91"/>
  <c r="K114" i="91"/>
  <c r="Q126" i="87"/>
  <c r="D815" i="96"/>
  <c r="D516" i="96"/>
  <c r="F75" i="91"/>
  <c r="D282" i="96"/>
  <c r="R125" i="87"/>
  <c r="N128" i="87"/>
  <c r="L149" i="87"/>
  <c r="H133" i="91"/>
  <c r="K115" i="91"/>
  <c r="D571" i="96"/>
  <c r="F667" i="96"/>
  <c r="H122" i="91"/>
  <c r="N133" i="87"/>
  <c r="L88" i="87"/>
  <c r="D141" i="96"/>
  <c r="D667" i="96"/>
  <c r="F225" i="91"/>
  <c r="L133" i="87"/>
  <c r="F276" i="96"/>
  <c r="K134" i="87"/>
  <c r="Q100" i="87"/>
  <c r="H793" i="96"/>
  <c r="L147" i="87"/>
  <c r="D361" i="96"/>
  <c r="C677" i="96"/>
  <c r="C670" i="96"/>
  <c r="C569" i="96"/>
  <c r="C276" i="96"/>
  <c r="L124" i="87"/>
  <c r="L128" i="87"/>
  <c r="E168" i="68"/>
  <c r="E163" i="68"/>
  <c r="F453" i="96"/>
  <c r="M114" i="91"/>
  <c r="P125" i="87"/>
  <c r="I554" i="96"/>
  <c r="I562" i="96" s="1"/>
  <c r="P126" i="87"/>
  <c r="D795" i="96"/>
  <c r="F484" i="96"/>
  <c r="D452" i="96"/>
  <c r="K147" i="87"/>
  <c r="K143" i="87"/>
  <c r="C665" i="96"/>
  <c r="K124" i="87"/>
  <c r="C555" i="96"/>
  <c r="C700" i="96" s="1"/>
  <c r="F641" i="96"/>
  <c r="E156" i="68"/>
  <c r="D145" i="96"/>
  <c r="M124" i="87"/>
  <c r="S125" i="87"/>
  <c r="Q125" i="87"/>
  <c r="J115" i="91"/>
  <c r="E99" i="102"/>
  <c r="F557" i="96"/>
  <c r="F103" i="68"/>
  <c r="M123" i="87"/>
  <c r="L145" i="87"/>
  <c r="L122" i="87"/>
  <c r="D276" i="96"/>
  <c r="K98" i="87"/>
  <c r="D638" i="96"/>
  <c r="D654" i="96" s="1"/>
  <c r="C633" i="96"/>
  <c r="C701" i="96" s="1"/>
  <c r="F124" i="91"/>
  <c r="D796" i="96"/>
  <c r="I127" i="96"/>
  <c r="F128" i="96"/>
  <c r="H108" i="91"/>
  <c r="F122" i="91"/>
  <c r="R100" i="87"/>
  <c r="D220" i="96"/>
  <c r="L144" i="87"/>
  <c r="D396" i="96"/>
  <c r="D401" i="96" s="1"/>
  <c r="E111" i="91"/>
  <c r="C438" i="96"/>
  <c r="C436" i="96"/>
  <c r="C358" i="96"/>
  <c r="C406" i="96"/>
  <c r="F163" i="68"/>
  <c r="F145" i="96"/>
  <c r="F98" i="102"/>
  <c r="M142" i="87"/>
  <c r="M114" i="87"/>
  <c r="M107" i="87"/>
  <c r="E218" i="96"/>
  <c r="M129" i="87"/>
  <c r="E279" i="96"/>
  <c r="E814" i="96"/>
  <c r="M135" i="87"/>
  <c r="M103" i="87"/>
  <c r="M104" i="87"/>
  <c r="E119" i="96"/>
  <c r="E794" i="96"/>
  <c r="E454" i="96"/>
  <c r="M97" i="87"/>
  <c r="E751" i="96"/>
  <c r="M102" i="87"/>
  <c r="E145" i="96"/>
  <c r="E571" i="96"/>
  <c r="E718" i="96" s="1"/>
  <c r="M128" i="87"/>
  <c r="E397" i="96"/>
  <c r="E402" i="96" s="1"/>
  <c r="E811" i="96"/>
  <c r="E796" i="96"/>
  <c r="E806" i="96" s="1"/>
  <c r="E557" i="96"/>
  <c r="M132" i="87"/>
  <c r="M131" i="87"/>
  <c r="E361" i="96"/>
  <c r="E515" i="96"/>
  <c r="E569" i="96"/>
  <c r="L73" i="87"/>
  <c r="L101" i="87"/>
  <c r="D277" i="96"/>
  <c r="F70" i="91"/>
  <c r="N119" i="87"/>
  <c r="E554" i="96"/>
  <c r="E562" i="96" s="1"/>
  <c r="M126" i="87"/>
  <c r="F437" i="96"/>
  <c r="F208" i="96"/>
  <c r="N139" i="87"/>
  <c r="H128" i="91"/>
  <c r="F673" i="96"/>
  <c r="E140" i="96"/>
  <c r="M133" i="87"/>
  <c r="M138" i="87"/>
  <c r="E665" i="96"/>
  <c r="E719" i="96" s="1"/>
  <c r="D447" i="96"/>
  <c r="E813" i="96"/>
  <c r="M147" i="87"/>
  <c r="M144" i="87"/>
  <c r="E763" i="96"/>
  <c r="E805" i="96"/>
  <c r="E792" i="96"/>
  <c r="E762" i="96"/>
  <c r="E666" i="96"/>
  <c r="E720" i="96" s="1"/>
  <c r="E635" i="96"/>
  <c r="E651" i="96" s="1"/>
  <c r="E633" i="96"/>
  <c r="E456" i="96"/>
  <c r="E91" i="91"/>
  <c r="D562" i="96"/>
  <c r="D223" i="96"/>
  <c r="F154" i="68" l="1"/>
  <c r="E109" i="66"/>
  <c r="E114" i="66"/>
  <c r="E90" i="66"/>
  <c r="E109" i="68"/>
  <c r="E144" i="68"/>
  <c r="E108" i="66"/>
  <c r="F111" i="66"/>
  <c r="C403" i="96"/>
  <c r="D246" i="96"/>
  <c r="D247" i="96" s="1"/>
  <c r="D248" i="96" s="1"/>
  <c r="F651" i="96"/>
  <c r="F148" i="91"/>
  <c r="E701" i="96"/>
  <c r="E649" i="96"/>
  <c r="F657" i="96"/>
  <c r="C678" i="96"/>
  <c r="N142" i="87"/>
  <c r="F123" i="66"/>
  <c r="D704" i="96"/>
  <c r="D713" i="96" s="1"/>
  <c r="D656" i="96"/>
  <c r="C652" i="96"/>
  <c r="D652" i="96"/>
  <c r="C876" i="96"/>
  <c r="C655" i="96"/>
  <c r="D703" i="96"/>
  <c r="D651" i="96"/>
  <c r="E702" i="96"/>
  <c r="E650" i="96"/>
  <c r="C654" i="96"/>
  <c r="C719" i="96"/>
  <c r="C326" i="96"/>
  <c r="E486" i="96"/>
  <c r="D203" i="70"/>
  <c r="E157" i="68"/>
  <c r="F158" i="68"/>
  <c r="D724" i="96"/>
  <c r="F114" i="68"/>
  <c r="G75" i="68"/>
  <c r="F96" i="68"/>
  <c r="F76" i="68"/>
  <c r="F106" i="68"/>
  <c r="F99" i="68"/>
  <c r="F123" i="68"/>
  <c r="K569" i="96"/>
  <c r="E119" i="69"/>
  <c r="F112" i="68"/>
  <c r="D143" i="96"/>
  <c r="D157" i="96" s="1"/>
  <c r="E100" i="66"/>
  <c r="E149" i="91"/>
  <c r="F85" i="68"/>
  <c r="F80" i="68"/>
  <c r="F100" i="68"/>
  <c r="F91" i="68"/>
  <c r="F84" i="68"/>
  <c r="F81" i="68"/>
  <c r="F116" i="68"/>
  <c r="V41" i="123"/>
  <c r="V43" i="123" s="1"/>
  <c r="V42" i="123" s="1"/>
  <c r="F95" i="68"/>
  <c r="F97" i="68"/>
  <c r="F101" i="68"/>
  <c r="I569" i="96"/>
  <c r="J569" i="96"/>
  <c r="F82" i="68"/>
  <c r="F117" i="68"/>
  <c r="F86" i="68"/>
  <c r="F152" i="68" s="1"/>
  <c r="F83" i="68"/>
  <c r="F87" i="68"/>
  <c r="F111" i="68"/>
  <c r="E148" i="68"/>
  <c r="F113" i="68"/>
  <c r="F115" i="68"/>
  <c r="F94" i="68"/>
  <c r="F811" i="96"/>
  <c r="F105" i="68"/>
  <c r="F118" i="68"/>
  <c r="F93" i="68"/>
  <c r="F108" i="68"/>
  <c r="E111" i="66"/>
  <c r="F119" i="68"/>
  <c r="F78" i="68"/>
  <c r="D706" i="96"/>
  <c r="F107" i="68"/>
  <c r="F88" i="68"/>
  <c r="F109" i="68"/>
  <c r="F147" i="91"/>
  <c r="F98" i="68"/>
  <c r="F102" i="68"/>
  <c r="F89" i="68"/>
  <c r="F110" i="68"/>
  <c r="E147" i="91"/>
  <c r="F90" i="68"/>
  <c r="F120" i="68"/>
  <c r="F75" i="68"/>
  <c r="F149" i="91"/>
  <c r="F77" i="68"/>
  <c r="F92" i="68"/>
  <c r="B667" i="96"/>
  <c r="E103" i="66"/>
  <c r="G103" i="66"/>
  <c r="E111" i="69"/>
  <c r="F108" i="66"/>
  <c r="E100" i="69"/>
  <c r="E119" i="66"/>
  <c r="F80" i="66"/>
  <c r="F92" i="66"/>
  <c r="F165" i="68"/>
  <c r="F140" i="91"/>
  <c r="F131" i="69" s="1"/>
  <c r="D817" i="96"/>
  <c r="F170" i="68"/>
  <c r="H89" i="66"/>
  <c r="F112" i="66"/>
  <c r="F80" i="69"/>
  <c r="E710" i="96"/>
  <c r="E148" i="91"/>
  <c r="F186" i="69"/>
  <c r="D326" i="96"/>
  <c r="F119" i="69"/>
  <c r="F220" i="91"/>
  <c r="F145" i="91" s="1"/>
  <c r="E87" i="68"/>
  <c r="E95" i="68"/>
  <c r="E117" i="68"/>
  <c r="E98" i="68"/>
  <c r="E111" i="68"/>
  <c r="E119" i="68"/>
  <c r="E100" i="68"/>
  <c r="E82" i="68"/>
  <c r="E97" i="68"/>
  <c r="E123" i="68"/>
  <c r="E105" i="68"/>
  <c r="E85" i="68"/>
  <c r="E94" i="68"/>
  <c r="E103" i="68"/>
  <c r="E107" i="68"/>
  <c r="E114" i="68"/>
  <c r="E91" i="68"/>
  <c r="E86" i="68"/>
  <c r="E112" i="68"/>
  <c r="E101" i="68"/>
  <c r="E167" i="68" s="1"/>
  <c r="E78" i="68"/>
  <c r="E118" i="68"/>
  <c r="E75" i="68"/>
  <c r="E96" i="68"/>
  <c r="E93" i="68"/>
  <c r="E99" i="68"/>
  <c r="E104" i="68"/>
  <c r="E110" i="68"/>
  <c r="E77" i="68"/>
  <c r="E80" i="68"/>
  <c r="E115" i="68"/>
  <c r="F130" i="68"/>
  <c r="F196" i="68" s="1"/>
  <c r="E116" i="68"/>
  <c r="E90" i="68"/>
  <c r="E76" i="68"/>
  <c r="G108" i="66"/>
  <c r="E98" i="69"/>
  <c r="E150" i="91"/>
  <c r="K80" i="66"/>
  <c r="E171" i="68"/>
  <c r="E183" i="68"/>
  <c r="F120" i="69"/>
  <c r="E75" i="69"/>
  <c r="F104" i="69"/>
  <c r="F102" i="69"/>
  <c r="E112" i="66"/>
  <c r="F98" i="66"/>
  <c r="F110" i="69"/>
  <c r="E178" i="68"/>
  <c r="E186" i="68"/>
  <c r="B658" i="96"/>
  <c r="E118" i="69"/>
  <c r="E93" i="69"/>
  <c r="F89" i="66"/>
  <c r="E96" i="66"/>
  <c r="F108" i="69"/>
  <c r="F82" i="66"/>
  <c r="F85" i="66"/>
  <c r="F151" i="66" s="1"/>
  <c r="E803" i="96"/>
  <c r="D443" i="96"/>
  <c r="F120" i="66"/>
  <c r="E75" i="66"/>
  <c r="F150" i="66"/>
  <c r="F89" i="69"/>
  <c r="F102" i="66"/>
  <c r="E96" i="69"/>
  <c r="F110" i="66"/>
  <c r="F85" i="69"/>
  <c r="D256" i="70"/>
  <c r="D721" i="96"/>
  <c r="D712" i="96" s="1"/>
  <c r="E150" i="69"/>
  <c r="J80" i="66"/>
  <c r="C710" i="96"/>
  <c r="F171" i="68"/>
  <c r="C709" i="96"/>
  <c r="E142" i="66"/>
  <c r="E91" i="66"/>
  <c r="F77" i="66"/>
  <c r="F143" i="66" s="1"/>
  <c r="F87" i="66"/>
  <c r="F153" i="66" s="1"/>
  <c r="F86" i="69"/>
  <c r="F82" i="69"/>
  <c r="E117" i="69"/>
  <c r="F92" i="69"/>
  <c r="C706" i="96"/>
  <c r="C705" i="96" s="1"/>
  <c r="C724" i="96"/>
  <c r="D715" i="96"/>
  <c r="C203" i="70"/>
  <c r="E91" i="69"/>
  <c r="E95" i="66"/>
  <c r="E161" i="66" s="1"/>
  <c r="F99" i="69"/>
  <c r="F83" i="66"/>
  <c r="F77" i="69"/>
  <c r="F143" i="69" s="1"/>
  <c r="F87" i="69"/>
  <c r="E115" i="66"/>
  <c r="F93" i="66"/>
  <c r="E141" i="68"/>
  <c r="F156" i="68"/>
  <c r="E95" i="69"/>
  <c r="E161" i="69" s="1"/>
  <c r="G120" i="66"/>
  <c r="F83" i="69"/>
  <c r="F149" i="69" s="1"/>
  <c r="I106" i="66"/>
  <c r="E115" i="69"/>
  <c r="F93" i="69"/>
  <c r="F159" i="69" s="1"/>
  <c r="E195" i="68"/>
  <c r="F146" i="91"/>
  <c r="F227" i="91"/>
  <c r="E191" i="68"/>
  <c r="D574" i="96"/>
  <c r="D718" i="96"/>
  <c r="D709" i="96" s="1"/>
  <c r="E711" i="96"/>
  <c r="C722" i="96"/>
  <c r="C713" i="96" s="1"/>
  <c r="C721" i="96"/>
  <c r="C712" i="96" s="1"/>
  <c r="C720" i="96"/>
  <c r="E565" i="96"/>
  <c r="C878" i="96"/>
  <c r="C877" i="96" s="1"/>
  <c r="E704" i="96"/>
  <c r="E713" i="96" s="1"/>
  <c r="L37" i="87"/>
  <c r="D701" i="96"/>
  <c r="C646" i="96"/>
  <c r="C662" i="96" s="1"/>
  <c r="C519" i="96"/>
  <c r="D797" i="96"/>
  <c r="G116" i="91"/>
  <c r="E35" i="123"/>
  <c r="E764" i="96"/>
  <c r="E170" i="66"/>
  <c r="B805" i="96"/>
  <c r="E752" i="96"/>
  <c r="F191" i="68"/>
  <c r="F181" i="68"/>
  <c r="E43" i="123"/>
  <c r="E42" i="123" s="1"/>
  <c r="P49" i="123"/>
  <c r="P48" i="123" s="1"/>
  <c r="B803" i="96"/>
  <c r="B853" i="96"/>
  <c r="B861" i="96"/>
  <c r="H569" i="96"/>
  <c r="P37" i="123"/>
  <c r="P36" i="123" s="1"/>
  <c r="U43" i="123"/>
  <c r="U42" i="123" s="1"/>
  <c r="D37" i="123"/>
  <c r="D31" i="123" s="1"/>
  <c r="P43" i="123"/>
  <c r="P42" i="123" s="1"/>
  <c r="Q43" i="123"/>
  <c r="Q42" i="123" s="1"/>
  <c r="E797" i="96"/>
  <c r="E160" i="70"/>
  <c r="E848" i="96"/>
  <c r="E856" i="96" s="1"/>
  <c r="F104" i="68"/>
  <c r="D848" i="96"/>
  <c r="D856" i="96" s="1"/>
  <c r="R49" i="123"/>
  <c r="R48" i="123" s="1"/>
  <c r="P55" i="123"/>
  <c r="P54" i="123" s="1"/>
  <c r="B862" i="96"/>
  <c r="B854" i="96"/>
  <c r="B860" i="96"/>
  <c r="B852" i="96"/>
  <c r="N143" i="87"/>
  <c r="Q37" i="123"/>
  <c r="R55" i="123"/>
  <c r="R54" i="123" s="1"/>
  <c r="C43" i="123"/>
  <c r="C31" i="123" s="1"/>
  <c r="R37" i="123"/>
  <c r="R36" i="123" s="1"/>
  <c r="R43" i="123"/>
  <c r="R42" i="123" s="1"/>
  <c r="E197" i="68"/>
  <c r="F756" i="96"/>
  <c r="E804" i="96"/>
  <c r="F801" i="96"/>
  <c r="E801" i="96"/>
  <c r="C458" i="96"/>
  <c r="D440" i="96"/>
  <c r="B806" i="96"/>
  <c r="C444" i="96"/>
  <c r="C443" i="96"/>
  <c r="C160" i="96"/>
  <c r="C562" i="96"/>
  <c r="C574" i="96"/>
  <c r="D402" i="96"/>
  <c r="D446" i="96"/>
  <c r="K35" i="87"/>
  <c r="F161" i="69"/>
  <c r="E176" i="68"/>
  <c r="D239" i="96"/>
  <c r="D876" i="96"/>
  <c r="C527" i="96"/>
  <c r="I561" i="96"/>
  <c r="G561" i="96"/>
  <c r="D878" i="96"/>
  <c r="D877" i="96" s="1"/>
  <c r="K561" i="96"/>
  <c r="H561" i="96"/>
  <c r="D160" i="96"/>
  <c r="J561" i="96"/>
  <c r="C875" i="96"/>
  <c r="D561" i="96"/>
  <c r="D875" i="96"/>
  <c r="F146" i="68"/>
  <c r="B657" i="96"/>
  <c r="F197" i="68"/>
  <c r="D212" i="70" s="1"/>
  <c r="F182" i="69"/>
  <c r="F197" i="69"/>
  <c r="B815" i="96"/>
  <c r="E141" i="66"/>
  <c r="E146" i="66"/>
  <c r="E191" i="66"/>
  <c r="E156" i="66"/>
  <c r="F168" i="66"/>
  <c r="F141" i="66"/>
  <c r="E168" i="66"/>
  <c r="F146" i="66"/>
  <c r="F196" i="66"/>
  <c r="F196" i="69"/>
  <c r="E169" i="70"/>
  <c r="G128" i="66"/>
  <c r="G130" i="66"/>
  <c r="M80" i="66"/>
  <c r="L80" i="66"/>
  <c r="H110" i="66"/>
  <c r="B661" i="96"/>
  <c r="C240" i="96"/>
  <c r="E141" i="69"/>
  <c r="F189" i="66"/>
  <c r="E150" i="66"/>
  <c r="F106" i="69"/>
  <c r="L38" i="87"/>
  <c r="E123" i="66"/>
  <c r="F105" i="66"/>
  <c r="F171" i="66" s="1"/>
  <c r="F90" i="66"/>
  <c r="F182" i="68"/>
  <c r="C447" i="96"/>
  <c r="C146" i="96"/>
  <c r="E77" i="66"/>
  <c r="E143" i="66" s="1"/>
  <c r="E123" i="69"/>
  <c r="F118" i="66"/>
  <c r="F184" i="66" s="1"/>
  <c r="E105" i="66"/>
  <c r="E171" i="66" s="1"/>
  <c r="F99" i="66"/>
  <c r="F165" i="66" s="1"/>
  <c r="F105" i="69"/>
  <c r="F90" i="69"/>
  <c r="F156" i="69" s="1"/>
  <c r="G77" i="66"/>
  <c r="F189" i="68"/>
  <c r="D152" i="96"/>
  <c r="F178" i="68"/>
  <c r="F183" i="68"/>
  <c r="E185" i="68"/>
  <c r="E146" i="68"/>
  <c r="E177" i="68"/>
  <c r="L35" i="87"/>
  <c r="F141" i="69"/>
  <c r="F186" i="68"/>
  <c r="C156" i="96"/>
  <c r="F172" i="66"/>
  <c r="F152" i="66"/>
  <c r="F174" i="68"/>
  <c r="D327" i="96"/>
  <c r="D204" i="70"/>
  <c r="F185" i="69"/>
  <c r="E166" i="69"/>
  <c r="F167" i="69"/>
  <c r="F166" i="69"/>
  <c r="F172" i="68"/>
  <c r="E193" i="68"/>
  <c r="E174" i="68"/>
  <c r="F176" i="68"/>
  <c r="E149" i="68"/>
  <c r="E169" i="68"/>
  <c r="F142" i="68"/>
  <c r="D161" i="70"/>
  <c r="F192" i="68"/>
  <c r="C362" i="96"/>
  <c r="C248" i="96"/>
  <c r="C204" i="70"/>
  <c r="E142" i="69"/>
  <c r="C162" i="70"/>
  <c r="F166" i="68"/>
  <c r="F193" i="68"/>
  <c r="F149" i="68"/>
  <c r="F153" i="68"/>
  <c r="D160" i="70"/>
  <c r="F190" i="66"/>
  <c r="E143" i="69"/>
  <c r="F163" i="66"/>
  <c r="F167" i="66"/>
  <c r="E151" i="66"/>
  <c r="F144" i="66"/>
  <c r="F159" i="66"/>
  <c r="F168" i="68"/>
  <c r="E151" i="68"/>
  <c r="V245" i="96"/>
  <c r="V247" i="96" s="1"/>
  <c r="E142" i="68"/>
  <c r="E156" i="69"/>
  <c r="F149" i="66"/>
  <c r="E161" i="68"/>
  <c r="E190" i="68"/>
  <c r="C161" i="70"/>
  <c r="E189" i="68"/>
  <c r="G125" i="91"/>
  <c r="G109" i="91"/>
  <c r="E162" i="70"/>
  <c r="F152" i="91"/>
  <c r="E146" i="69"/>
  <c r="C202" i="70"/>
  <c r="C205" i="70" s="1"/>
  <c r="F146" i="69"/>
  <c r="D129" i="96"/>
  <c r="G104" i="91"/>
  <c r="G99" i="91"/>
  <c r="E190" i="69"/>
  <c r="F150" i="69"/>
  <c r="G102" i="66"/>
  <c r="E161" i="70"/>
  <c r="E159" i="68"/>
  <c r="E757" i="96"/>
  <c r="E102" i="68"/>
  <c r="E106" i="68"/>
  <c r="F142" i="66"/>
  <c r="F161" i="66"/>
  <c r="D146" i="96"/>
  <c r="L44" i="87" s="1"/>
  <c r="E83" i="68"/>
  <c r="D162" i="70"/>
  <c r="D362" i="96"/>
  <c r="F142" i="69"/>
  <c r="F183" i="66"/>
  <c r="C649" i="96"/>
  <c r="E166" i="66"/>
  <c r="D202" i="70"/>
  <c r="E152" i="69"/>
  <c r="E154" i="66"/>
  <c r="E202" i="70"/>
  <c r="I793" i="96"/>
  <c r="F173" i="68"/>
  <c r="F148" i="69"/>
  <c r="F152" i="69"/>
  <c r="E183" i="66"/>
  <c r="E184" i="68"/>
  <c r="C160" i="70"/>
  <c r="D458" i="96"/>
  <c r="E184" i="66"/>
  <c r="L226" i="96"/>
  <c r="G791" i="96"/>
  <c r="G112" i="66"/>
  <c r="D294" i="96"/>
  <c r="G75" i="66"/>
  <c r="G127" i="66"/>
  <c r="G87" i="66"/>
  <c r="K106" i="66"/>
  <c r="M106" i="66"/>
  <c r="E106" i="69"/>
  <c r="E106" i="66"/>
  <c r="E172" i="66" s="1"/>
  <c r="F116" i="69"/>
  <c r="F116" i="66"/>
  <c r="F182" i="66" s="1"/>
  <c r="E97" i="69"/>
  <c r="E97" i="66"/>
  <c r="E163" i="66" s="1"/>
  <c r="H105" i="66"/>
  <c r="F170" i="66"/>
  <c r="E78" i="69"/>
  <c r="E78" i="66"/>
  <c r="E144" i="66" s="1"/>
  <c r="E193" i="66"/>
  <c r="F193" i="66"/>
  <c r="G126" i="66"/>
  <c r="I105" i="66"/>
  <c r="E82" i="69"/>
  <c r="E148" i="69" s="1"/>
  <c r="E82" i="66"/>
  <c r="G129" i="66"/>
  <c r="G106" i="66"/>
  <c r="G81" i="66"/>
  <c r="F103" i="69"/>
  <c r="F103" i="66"/>
  <c r="G119" i="66"/>
  <c r="H108" i="66"/>
  <c r="G89" i="66"/>
  <c r="E83" i="69"/>
  <c r="E149" i="69" s="1"/>
  <c r="E83" i="66"/>
  <c r="E149" i="66" s="1"/>
  <c r="E101" i="69"/>
  <c r="E167" i="69" s="1"/>
  <c r="E101" i="66"/>
  <c r="E167" i="66" s="1"/>
  <c r="E104" i="69"/>
  <c r="E104" i="66"/>
  <c r="E182" i="66"/>
  <c r="E152" i="66"/>
  <c r="G94" i="66"/>
  <c r="G84" i="66"/>
  <c r="G110" i="66"/>
  <c r="G113" i="66"/>
  <c r="I132" i="66"/>
  <c r="G109" i="66"/>
  <c r="J106" i="66"/>
  <c r="M105" i="66"/>
  <c r="H124" i="66"/>
  <c r="K105" i="66"/>
  <c r="F114" i="69"/>
  <c r="F114" i="66"/>
  <c r="F81" i="69"/>
  <c r="F147" i="69" s="1"/>
  <c r="F81" i="66"/>
  <c r="F107" i="69"/>
  <c r="F107" i="66"/>
  <c r="E99" i="69"/>
  <c r="E99" i="66"/>
  <c r="E165" i="66" s="1"/>
  <c r="F88" i="69"/>
  <c r="F88" i="66"/>
  <c r="F154" i="66" s="1"/>
  <c r="F94" i="69"/>
  <c r="F94" i="66"/>
  <c r="E87" i="69"/>
  <c r="E87" i="66"/>
  <c r="E153" i="66" s="1"/>
  <c r="E159" i="66"/>
  <c r="G111" i="66"/>
  <c r="G118" i="66"/>
  <c r="G115" i="66"/>
  <c r="G125" i="66"/>
  <c r="G97" i="66"/>
  <c r="G83" i="66"/>
  <c r="E102" i="69"/>
  <c r="E102" i="66"/>
  <c r="F113" i="69"/>
  <c r="F113" i="66"/>
  <c r="F115" i="69"/>
  <c r="F115" i="66"/>
  <c r="H113" i="66"/>
  <c r="L105" i="66"/>
  <c r="H125" i="66"/>
  <c r="L106" i="66"/>
  <c r="G124" i="66"/>
  <c r="E189" i="66"/>
  <c r="F109" i="66"/>
  <c r="F109" i="69"/>
  <c r="E159" i="69"/>
  <c r="F209" i="96"/>
  <c r="J105" i="66"/>
  <c r="H103" i="66"/>
  <c r="H119" i="66"/>
  <c r="H99" i="66"/>
  <c r="C211" i="70"/>
  <c r="E175" i="68"/>
  <c r="C118" i="70"/>
  <c r="F170" i="69"/>
  <c r="E203" i="70"/>
  <c r="C213" i="70"/>
  <c r="E171" i="70"/>
  <c r="D519" i="96"/>
  <c r="C369" i="96"/>
  <c r="D370" i="96" s="1"/>
  <c r="U245" i="96"/>
  <c r="U247" i="96" s="1"/>
  <c r="U248" i="96"/>
  <c r="K38" i="87"/>
  <c r="D298" i="96"/>
  <c r="D299" i="96" s="1"/>
  <c r="D678" i="96"/>
  <c r="G144" i="96"/>
  <c r="G151" i="91"/>
  <c r="F150" i="91"/>
  <c r="F561" i="96"/>
  <c r="B812" i="96"/>
  <c r="B802" i="96"/>
  <c r="B654" i="96"/>
  <c r="B670" i="96"/>
  <c r="D289" i="96"/>
  <c r="E574" i="96"/>
  <c r="D528" i="96"/>
  <c r="D287" i="96"/>
  <c r="D288" i="96"/>
  <c r="D295" i="96"/>
  <c r="C171" i="70"/>
  <c r="D563" i="96"/>
  <c r="C409" i="96"/>
  <c r="C401" i="96"/>
  <c r="C440" i="96"/>
  <c r="C445" i="96"/>
  <c r="D153" i="96"/>
  <c r="D131" i="96"/>
  <c r="D156" i="96"/>
  <c r="L40" i="87"/>
  <c r="C558" i="96"/>
  <c r="C563" i="96"/>
  <c r="C561" i="96"/>
  <c r="D171" i="70"/>
  <c r="D646" i="96"/>
  <c r="N129" i="87"/>
  <c r="H118" i="91"/>
  <c r="F572" i="96"/>
  <c r="F564" i="96" s="1"/>
  <c r="M41" i="87"/>
  <c r="E153" i="96"/>
  <c r="E812" i="96"/>
  <c r="E817" i="96" s="1"/>
  <c r="G152" i="91"/>
  <c r="E756" i="96"/>
  <c r="E455" i="96"/>
  <c r="M111" i="87"/>
  <c r="E277" i="96"/>
  <c r="E398" i="96"/>
  <c r="E211" i="96"/>
  <c r="E357" i="96"/>
  <c r="E438" i="96"/>
  <c r="E447" i="96" s="1"/>
  <c r="M120" i="87"/>
  <c r="E555" i="96"/>
  <c r="M127" i="87"/>
  <c r="M136" i="87"/>
  <c r="E638" i="96"/>
  <c r="E654" i="96" s="1"/>
  <c r="E453" i="96"/>
  <c r="E210" i="96"/>
  <c r="E323" i="96"/>
  <c r="M110" i="87"/>
  <c r="D566" i="96"/>
  <c r="D237" i="96"/>
  <c r="D241" i="96"/>
  <c r="D235" i="96"/>
  <c r="V246" i="96"/>
  <c r="V248" i="96" s="1"/>
  <c r="D231" i="96"/>
  <c r="D242" i="96"/>
  <c r="D240" i="96"/>
  <c r="D233" i="96"/>
  <c r="D236" i="96"/>
  <c r="D234" i="96"/>
  <c r="D232" i="96"/>
  <c r="D230" i="96"/>
  <c r="D229" i="96"/>
  <c r="E408" i="96"/>
  <c r="M115" i="87"/>
  <c r="F151" i="68" l="1"/>
  <c r="F162" i="68"/>
  <c r="F159" i="68"/>
  <c r="F147" i="68"/>
  <c r="F177" i="68"/>
  <c r="F161" i="68"/>
  <c r="F185" i="68"/>
  <c r="D213" i="70"/>
  <c r="D662" i="96"/>
  <c r="K216" i="96"/>
  <c r="D169" i="70"/>
  <c r="F131" i="66"/>
  <c r="F197" i="66" s="1"/>
  <c r="E152" i="68"/>
  <c r="E165" i="68"/>
  <c r="E164" i="68"/>
  <c r="F184" i="68"/>
  <c r="D807" i="96"/>
  <c r="D148" i="96"/>
  <c r="B674" i="96"/>
  <c r="E173" i="68"/>
  <c r="F179" i="68"/>
  <c r="F164" i="68"/>
  <c r="F167" i="68"/>
  <c r="F150" i="68"/>
  <c r="F131" i="68"/>
  <c r="J4" i="71"/>
  <c r="H557" i="96"/>
  <c r="C212" i="70"/>
  <c r="D170" i="70"/>
  <c r="E166" i="68"/>
  <c r="E162" i="68"/>
  <c r="E163" i="70"/>
  <c r="Q31" i="123" l="1"/>
  <c r="E211" i="70"/>
  <c r="P30" i="123"/>
  <c r="C715" i="96"/>
  <c r="D705" i="96"/>
  <c r="D710" i="96"/>
  <c r="F565" i="96"/>
  <c r="C647" i="96"/>
  <c r="D647" i="96"/>
  <c r="E563" i="96"/>
  <c r="E700" i="96"/>
  <c r="E709" i="96" s="1"/>
  <c r="D363" i="96"/>
  <c r="B813" i="96"/>
  <c r="B677" i="96"/>
  <c r="D449" i="96"/>
  <c r="C566" i="96"/>
  <c r="R30" i="123"/>
  <c r="D211" i="70"/>
  <c r="D214" i="70" s="1"/>
  <c r="C169" i="70"/>
  <c r="G860" i="96"/>
  <c r="D36" i="123"/>
  <c r="D30" i="123" s="1"/>
  <c r="B763" i="96"/>
  <c r="B757" i="96"/>
  <c r="B762" i="96"/>
  <c r="B756" i="96"/>
  <c r="B673" i="96"/>
  <c r="K844" i="96"/>
  <c r="R31" i="123"/>
  <c r="P31" i="123"/>
  <c r="C449" i="96"/>
  <c r="W41" i="123"/>
  <c r="W43" i="123" s="1"/>
  <c r="W42" i="123" s="1"/>
  <c r="L845" i="96"/>
  <c r="G811" i="96"/>
  <c r="C42" i="123"/>
  <c r="C30" i="123" s="1"/>
  <c r="Q36" i="123"/>
  <c r="Q30" i="123" s="1"/>
  <c r="B804" i="96"/>
  <c r="B814" i="96"/>
  <c r="B801" i="96"/>
  <c r="B811" i="96"/>
  <c r="E37" i="123"/>
  <c r="E31" i="123" s="1"/>
  <c r="C723" i="96"/>
  <c r="C714" i="96" s="1"/>
  <c r="H811" i="96"/>
  <c r="O143" i="87"/>
  <c r="P143" i="87"/>
  <c r="D205" i="70"/>
  <c r="B666" i="96"/>
  <c r="E213" i="70"/>
  <c r="D147" i="96"/>
  <c r="E212" i="70"/>
  <c r="C214" i="70"/>
  <c r="D163" i="70"/>
  <c r="C163" i="70"/>
  <c r="E170" i="70"/>
  <c r="E172" i="70" s="1"/>
  <c r="F5" i="91"/>
  <c r="G126" i="91"/>
  <c r="B668" i="96"/>
  <c r="B652" i="96"/>
  <c r="C170" i="70"/>
  <c r="B665" i="96"/>
  <c r="G95" i="91"/>
  <c r="B653" i="96"/>
  <c r="B669" i="96"/>
  <c r="C127" i="70"/>
  <c r="D520" i="96"/>
  <c r="M78" i="91"/>
  <c r="K127" i="96"/>
  <c r="E204" i="70"/>
  <c r="E205" i="70" s="1"/>
  <c r="D723" i="96"/>
  <c r="B656" i="96"/>
  <c r="B672" i="96"/>
  <c r="B671" i="96"/>
  <c r="B655" i="96"/>
  <c r="E175" i="69"/>
  <c r="U249" i="96"/>
  <c r="D292" i="96"/>
  <c r="I228" i="91"/>
  <c r="J793" i="96"/>
  <c r="D296" i="96"/>
  <c r="H791" i="96"/>
  <c r="G116" i="66"/>
  <c r="G107" i="66"/>
  <c r="G100" i="66"/>
  <c r="G90" i="66"/>
  <c r="G95" i="66"/>
  <c r="G91" i="66"/>
  <c r="H109" i="66"/>
  <c r="E214" i="70"/>
  <c r="F158" i="66"/>
  <c r="E158" i="69"/>
  <c r="F175" i="68"/>
  <c r="D559" i="96"/>
  <c r="D172" i="70"/>
  <c r="E403" i="96"/>
  <c r="I557" i="96"/>
  <c r="G223" i="91"/>
  <c r="E517" i="96"/>
  <c r="E671" i="96"/>
  <c r="C245" i="70"/>
  <c r="E807" i="96"/>
  <c r="E157" i="96"/>
  <c r="M42" i="87"/>
  <c r="F554" i="96"/>
  <c r="N126" i="87"/>
  <c r="H115" i="91"/>
  <c r="E639" i="96"/>
  <c r="E525" i="96"/>
  <c r="M137" i="87"/>
  <c r="M116" i="87"/>
  <c r="E452" i="96"/>
  <c r="E139" i="96"/>
  <c r="E457" i="96"/>
  <c r="M121" i="87"/>
  <c r="M106" i="87"/>
  <c r="F119" i="96"/>
  <c r="F280" i="96"/>
  <c r="F218" i="96"/>
  <c r="V249" i="96"/>
  <c r="D238" i="96"/>
  <c r="C172" i="70" l="1"/>
  <c r="E876" i="96"/>
  <c r="E655" i="96"/>
  <c r="L216" i="96"/>
  <c r="L127" i="96"/>
  <c r="D714" i="96"/>
  <c r="M793" i="96" l="1"/>
  <c r="E36" i="123"/>
  <c r="E30" i="123" s="1"/>
  <c r="H801" i="96"/>
  <c r="X41" i="123"/>
  <c r="X43" i="123" s="1"/>
  <c r="X42" i="123" s="1"/>
  <c r="G801" i="96"/>
  <c r="L844" i="96"/>
  <c r="G864" i="96"/>
  <c r="F562" i="96"/>
  <c r="C277" i="96"/>
  <c r="E71" i="91"/>
  <c r="N78" i="91"/>
  <c r="D118" i="70"/>
  <c r="C120" i="96"/>
  <c r="C129" i="96" s="1"/>
  <c r="K73" i="87"/>
  <c r="K101" i="87"/>
  <c r="I125" i="66"/>
  <c r="E90" i="91"/>
  <c r="C246" i="70"/>
  <c r="F180" i="66"/>
  <c r="D127" i="70" s="1"/>
  <c r="E70" i="91"/>
  <c r="K793" i="96"/>
  <c r="J125" i="66"/>
  <c r="I791" i="96"/>
  <c r="G86" i="66"/>
  <c r="G96" i="66"/>
  <c r="G117" i="66"/>
  <c r="C209" i="96"/>
  <c r="C242" i="96" s="1"/>
  <c r="G101" i="66"/>
  <c r="H106" i="66"/>
  <c r="F158" i="69"/>
  <c r="F175" i="69"/>
  <c r="E458" i="96"/>
  <c r="J557" i="96"/>
  <c r="E443" i="96"/>
  <c r="E145" i="91" l="1"/>
  <c r="E146" i="91"/>
  <c r="E81" i="66"/>
  <c r="E81" i="68"/>
  <c r="Z41" i="123"/>
  <c r="Z43" i="123" s="1"/>
  <c r="Z42" i="123" s="1"/>
  <c r="M557" i="96"/>
  <c r="C288" i="96"/>
  <c r="Y41" i="123"/>
  <c r="Y43" i="123" s="1"/>
  <c r="Y42" i="123" s="1"/>
  <c r="C295" i="96"/>
  <c r="C289" i="96"/>
  <c r="Q143" i="87"/>
  <c r="K36" i="87"/>
  <c r="K44" i="87"/>
  <c r="C152" i="96"/>
  <c r="C287" i="96"/>
  <c r="C298" i="96"/>
  <c r="C299" i="96" s="1"/>
  <c r="C294" i="96"/>
  <c r="E81" i="69"/>
  <c r="E147" i="69" s="1"/>
  <c r="C237" i="96"/>
  <c r="C231" i="96"/>
  <c r="I811" i="96"/>
  <c r="C232" i="96"/>
  <c r="E147" i="66"/>
  <c r="L793" i="96"/>
  <c r="E70" i="66"/>
  <c r="C234" i="96"/>
  <c r="C230" i="96"/>
  <c r="C229" i="96"/>
  <c r="C233" i="96"/>
  <c r="C241" i="96"/>
  <c r="C236" i="96"/>
  <c r="C235" i="96"/>
  <c r="C239" i="96"/>
  <c r="J791" i="96"/>
  <c r="E157" i="66"/>
  <c r="K557" i="96"/>
  <c r="D130" i="96"/>
  <c r="E180" i="68"/>
  <c r="C119" i="70"/>
  <c r="E160" i="68"/>
  <c r="E70" i="68"/>
  <c r="E29" i="71" s="1"/>
  <c r="C282" i="70"/>
  <c r="E147" i="68" l="1"/>
  <c r="E202" i="68" s="1"/>
  <c r="M791" i="96"/>
  <c r="E70" i="69"/>
  <c r="C292" i="96"/>
  <c r="J811" i="96"/>
  <c r="J801" i="96" s="1"/>
  <c r="C296" i="96"/>
  <c r="I801" i="96"/>
  <c r="R143" i="87"/>
  <c r="E202" i="66"/>
  <c r="E34" i="71" s="1"/>
  <c r="K125" i="66"/>
  <c r="C238" i="96"/>
  <c r="C32" i="70"/>
  <c r="E28" i="71"/>
  <c r="E31" i="71" s="1"/>
  <c r="K791" i="96"/>
  <c r="F157" i="66"/>
  <c r="F70" i="66"/>
  <c r="E157" i="69"/>
  <c r="C128" i="70"/>
  <c r="L557" i="96"/>
  <c r="C33" i="70"/>
  <c r="F180" i="68"/>
  <c r="D119" i="70"/>
  <c r="E160" i="69"/>
  <c r="C283" i="70"/>
  <c r="E30" i="71"/>
  <c r="D282" i="70"/>
  <c r="F70" i="68"/>
  <c r="F29" i="71" s="1"/>
  <c r="F160" i="68"/>
  <c r="E35" i="71"/>
  <c r="E32" i="71" s="1"/>
  <c r="E180" i="69"/>
  <c r="C120" i="70"/>
  <c r="C121" i="70" s="1"/>
  <c r="O134" i="91" l="1"/>
  <c r="M811" i="96"/>
  <c r="M801" i="96" s="1"/>
  <c r="E136" i="66"/>
  <c r="S143" i="87"/>
  <c r="C41" i="70"/>
  <c r="K811" i="96"/>
  <c r="L125" i="66"/>
  <c r="F28" i="71"/>
  <c r="L791" i="96"/>
  <c r="F202" i="66"/>
  <c r="F157" i="69"/>
  <c r="D32" i="70"/>
  <c r="C129" i="70"/>
  <c r="C130" i="70" s="1"/>
  <c r="C131" i="70" s="1"/>
  <c r="D128" i="70"/>
  <c r="C42" i="70"/>
  <c r="F180" i="69"/>
  <c r="D120" i="70"/>
  <c r="D121" i="70" s="1"/>
  <c r="E202" i="69"/>
  <c r="F160" i="69"/>
  <c r="D283" i="70"/>
  <c r="F70" i="69"/>
  <c r="F30" i="71" s="1"/>
  <c r="F202" i="68"/>
  <c r="F35" i="71" s="1"/>
  <c r="F32" i="71" s="1"/>
  <c r="C34" i="70"/>
  <c r="C35" i="70" s="1"/>
  <c r="D33" i="70"/>
  <c r="E136" i="68"/>
  <c r="O141" i="91" l="1"/>
  <c r="M860" i="96"/>
  <c r="U150" i="87"/>
  <c r="U143" i="87"/>
  <c r="L811" i="96"/>
  <c r="L801" i="96" s="1"/>
  <c r="K801" i="96"/>
  <c r="T143" i="87"/>
  <c r="M125" i="66"/>
  <c r="E36" i="71"/>
  <c r="E33" i="71" s="1"/>
  <c r="F34" i="71"/>
  <c r="F31" i="71" s="1"/>
  <c r="F136" i="66"/>
  <c r="D41" i="70"/>
  <c r="D129" i="70"/>
  <c r="D130" i="70" s="1"/>
  <c r="D131" i="70" s="1"/>
  <c r="E136" i="69"/>
  <c r="C43" i="70"/>
  <c r="C44" i="70" s="1"/>
  <c r="F136" i="68"/>
  <c r="F202" i="69"/>
  <c r="D42" i="70"/>
  <c r="D34" i="70"/>
  <c r="D35" i="70" s="1"/>
  <c r="D122" i="70"/>
  <c r="M852" i="96" l="1"/>
  <c r="O132" i="66"/>
  <c r="O125" i="66"/>
  <c r="N125" i="66"/>
  <c r="F136" i="69"/>
  <c r="F36" i="71"/>
  <c r="F33" i="71" s="1"/>
  <c r="D286" i="70"/>
  <c r="D290" i="70" s="1"/>
  <c r="D43" i="70"/>
  <c r="D44" i="70" s="1"/>
  <c r="D36" i="70"/>
  <c r="E448" i="96"/>
  <c r="E406" i="96"/>
  <c r="M95" i="87"/>
  <c r="M72" i="87" s="1"/>
  <c r="E208" i="96"/>
  <c r="E276" i="96"/>
  <c r="E324" i="96"/>
  <c r="C247" i="70"/>
  <c r="D247" i="70"/>
  <c r="G107" i="91" l="1"/>
  <c r="G108" i="91"/>
  <c r="G132" i="91"/>
  <c r="E367" i="96"/>
  <c r="G82" i="66"/>
  <c r="G93" i="66"/>
  <c r="D287" i="70"/>
  <c r="D291" i="70" s="1"/>
  <c r="D45" i="70"/>
  <c r="C248" i="70"/>
  <c r="M98" i="87"/>
  <c r="E437" i="96"/>
  <c r="M119" i="87"/>
  <c r="E360" i="96"/>
  <c r="E518" i="96"/>
  <c r="E645" i="96"/>
  <c r="E661" i="96" s="1"/>
  <c r="M141" i="87"/>
  <c r="F212" i="96"/>
  <c r="E677" i="96"/>
  <c r="E245" i="70"/>
  <c r="E436" i="96"/>
  <c r="E359" i="96"/>
  <c r="G73" i="91"/>
  <c r="E221" i="96"/>
  <c r="E368" i="96"/>
  <c r="E122" i="96"/>
  <c r="M38" i="87" s="1"/>
  <c r="M118" i="87"/>
  <c r="E401" i="96"/>
  <c r="E409" i="96"/>
  <c r="D248" i="70"/>
  <c r="G148" i="91" l="1"/>
  <c r="E878" i="96"/>
  <c r="E877" i="96" s="1"/>
  <c r="G71" i="91"/>
  <c r="E369" i="96"/>
  <c r="E370" i="96" s="1"/>
  <c r="G94" i="91"/>
  <c r="G97" i="91"/>
  <c r="G114" i="91"/>
  <c r="G101" i="91"/>
  <c r="G98" i="66"/>
  <c r="G99" i="66"/>
  <c r="G123" i="66"/>
  <c r="G78" i="66"/>
  <c r="E362" i="96"/>
  <c r="E363" i="96" s="1"/>
  <c r="M96" i="87"/>
  <c r="M83" i="87" s="1"/>
  <c r="E136" i="96"/>
  <c r="E246" i="70"/>
  <c r="E247" i="70" s="1"/>
  <c r="E120" i="96"/>
  <c r="E219" i="96"/>
  <c r="E281" i="96"/>
  <c r="M105" i="87"/>
  <c r="E514" i="96"/>
  <c r="E213" i="96"/>
  <c r="E245" i="96" s="1"/>
  <c r="M125" i="87"/>
  <c r="E553" i="96"/>
  <c r="E278" i="96"/>
  <c r="E524" i="96"/>
  <c r="M108" i="87"/>
  <c r="E445" i="96"/>
  <c r="E440" i="96"/>
  <c r="E449" i="96" s="1"/>
  <c r="E137" i="96"/>
  <c r="M100" i="87"/>
  <c r="F483" i="96"/>
  <c r="H111" i="91"/>
  <c r="N122" i="87"/>
  <c r="G72" i="91"/>
  <c r="M112" i="87"/>
  <c r="E325" i="96"/>
  <c r="E326" i="96" s="1"/>
  <c r="E327" i="96" s="1"/>
  <c r="E220" i="96"/>
  <c r="E121" i="96"/>
  <c r="E875" i="96" l="1"/>
  <c r="G123" i="91"/>
  <c r="G146" i="91"/>
  <c r="E526" i="96"/>
  <c r="E527" i="96" s="1"/>
  <c r="G92" i="66"/>
  <c r="G76" i="66"/>
  <c r="G80" i="66"/>
  <c r="G85" i="66"/>
  <c r="G88" i="66"/>
  <c r="G105" i="66"/>
  <c r="E283" i="70"/>
  <c r="E287" i="70" s="1"/>
  <c r="E291" i="70" s="1"/>
  <c r="H102" i="66"/>
  <c r="E282" i="96"/>
  <c r="E288" i="96" s="1"/>
  <c r="E516" i="96"/>
  <c r="E519" i="96" s="1"/>
  <c r="E636" i="96"/>
  <c r="E223" i="96"/>
  <c r="E558" i="96"/>
  <c r="E561" i="96"/>
  <c r="M36" i="87"/>
  <c r="E138" i="96"/>
  <c r="E160" i="96" s="1"/>
  <c r="G222" i="91"/>
  <c r="G70" i="91"/>
  <c r="E124" i="96"/>
  <c r="E152" i="96" s="1"/>
  <c r="M35" i="87"/>
  <c r="E255" i="70"/>
  <c r="E248" i="70"/>
  <c r="G75" i="91"/>
  <c r="W245" i="96"/>
  <c r="E239" i="96"/>
  <c r="W246" i="96" l="1"/>
  <c r="W248" i="96" s="1"/>
  <c r="E246" i="96"/>
  <c r="E247" i="96" s="1"/>
  <c r="E703" i="96"/>
  <c r="G147" i="91"/>
  <c r="E706" i="96"/>
  <c r="E289" i="96"/>
  <c r="E229" i="96"/>
  <c r="G70" i="68"/>
  <c r="G29" i="71" s="1"/>
  <c r="E290" i="96"/>
  <c r="E298" i="96"/>
  <c r="E299" i="96" s="1"/>
  <c r="E287" i="96"/>
  <c r="E237" i="96"/>
  <c r="E240" i="96"/>
  <c r="E235" i="96"/>
  <c r="E291" i="96"/>
  <c r="E241" i="96"/>
  <c r="E294" i="96"/>
  <c r="E282" i="70"/>
  <c r="E286" i="70" s="1"/>
  <c r="E290" i="70" s="1"/>
  <c r="G70" i="66"/>
  <c r="G28" i="71" s="1"/>
  <c r="E119" i="70"/>
  <c r="E295" i="96"/>
  <c r="E236" i="96"/>
  <c r="E230" i="96"/>
  <c r="E233" i="96"/>
  <c r="E120" i="70"/>
  <c r="E118" i="70"/>
  <c r="E231" i="96"/>
  <c r="G30" i="71"/>
  <c r="E234" i="96"/>
  <c r="W247" i="96"/>
  <c r="W249" i="96" s="1"/>
  <c r="E248" i="96"/>
  <c r="G145" i="91"/>
  <c r="E242" i="96"/>
  <c r="M37" i="87"/>
  <c r="E131" i="96"/>
  <c r="E566" i="96"/>
  <c r="E559" i="96"/>
  <c r="E520" i="96"/>
  <c r="E646" i="96"/>
  <c r="E232" i="96"/>
  <c r="E668" i="96"/>
  <c r="E721" i="96" s="1"/>
  <c r="G225" i="91"/>
  <c r="E141" i="96"/>
  <c r="M40" i="87" s="1"/>
  <c r="E528" i="96"/>
  <c r="E256" i="70"/>
  <c r="E129" i="96"/>
  <c r="M134" i="87"/>
  <c r="E712" i="96" l="1"/>
  <c r="E652" i="96"/>
  <c r="G150" i="91"/>
  <c r="E724" i="96"/>
  <c r="E715" i="96" s="1"/>
  <c r="E33" i="70"/>
  <c r="E705" i="96"/>
  <c r="E647" i="96"/>
  <c r="E292" i="96"/>
  <c r="E296" i="96"/>
  <c r="E32" i="70"/>
  <c r="E34" i="70"/>
  <c r="E129" i="70"/>
  <c r="E121" i="70"/>
  <c r="E127" i="70"/>
  <c r="G34" i="71"/>
  <c r="G31" i="71" s="1"/>
  <c r="G202" i="69"/>
  <c r="G114" i="66"/>
  <c r="E238" i="96"/>
  <c r="E148" i="96"/>
  <c r="E130" i="96"/>
  <c r="E678" i="96"/>
  <c r="E662" i="96" s="1"/>
  <c r="E156" i="96"/>
  <c r="E146" i="96"/>
  <c r="E723" i="96" l="1"/>
  <c r="E714" i="96" s="1"/>
  <c r="E35" i="70"/>
  <c r="E36" i="70" s="1"/>
  <c r="G136" i="66"/>
  <c r="E41" i="70"/>
  <c r="G136" i="69"/>
  <c r="G36" i="71"/>
  <c r="G33" i="71" s="1"/>
  <c r="E128" i="70"/>
  <c r="E130" i="70" s="1"/>
  <c r="E122" i="70"/>
  <c r="E43" i="70"/>
  <c r="M44" i="87"/>
  <c r="E147" i="96"/>
  <c r="E131" i="70" l="1"/>
  <c r="G35" i="71"/>
  <c r="G32" i="71" s="1"/>
  <c r="E42" i="70"/>
  <c r="E44" i="70" s="1"/>
  <c r="E45" i="70" s="1"/>
  <c r="F215" i="96" l="1"/>
  <c r="S35" i="123"/>
  <c r="F792" i="96"/>
  <c r="F279" i="96"/>
  <c r="F284" i="96" l="1"/>
  <c r="S41" i="123"/>
  <c r="S43" i="123" s="1"/>
  <c r="S42" i="123" s="1"/>
  <c r="S53" i="123"/>
  <c r="S55" i="123" s="1"/>
  <c r="S54" i="123" s="1"/>
  <c r="F41" i="123"/>
  <c r="S37" i="123"/>
  <c r="S36" i="123" s="1"/>
  <c r="J845" i="96"/>
  <c r="F793" i="96"/>
  <c r="F795" i="96"/>
  <c r="G99" i="102"/>
  <c r="F796" i="96"/>
  <c r="F634" i="96"/>
  <c r="F43" i="123" l="1"/>
  <c r="F42" i="123" s="1"/>
  <c r="G215" i="96"/>
  <c r="T35" i="123"/>
  <c r="G792" i="96"/>
  <c r="F202" i="70"/>
  <c r="T37" i="123" l="1"/>
  <c r="H215" i="96"/>
  <c r="U35" i="123"/>
  <c r="U37" i="123" s="1"/>
  <c r="H792" i="96"/>
  <c r="I792" i="96" l="1"/>
  <c r="I215" i="96"/>
  <c r="V35" i="123"/>
  <c r="V37" i="123" s="1"/>
  <c r="T36" i="123"/>
  <c r="J215" i="96"/>
  <c r="U36" i="123"/>
  <c r="J792" i="96" l="1"/>
  <c r="V36" i="123"/>
  <c r="W35" i="123"/>
  <c r="W37" i="123" s="1"/>
  <c r="K215" i="96"/>
  <c r="L215" i="96" l="1"/>
  <c r="X35" i="123"/>
  <c r="X37" i="123" s="1"/>
  <c r="W36" i="123"/>
  <c r="K792" i="96"/>
  <c r="N29" i="71" l="1"/>
  <c r="L792" i="96"/>
  <c r="N30" i="71"/>
  <c r="Y35" i="123"/>
  <c r="Y37" i="123" s="1"/>
  <c r="N28" i="71"/>
  <c r="M792" i="96"/>
  <c r="M215" i="96"/>
  <c r="X36" i="123"/>
  <c r="O29" i="71"/>
  <c r="U146" i="87"/>
  <c r="Z35" i="123"/>
  <c r="Y36" i="123" l="1"/>
  <c r="O137" i="91"/>
  <c r="O128" i="66" s="1"/>
  <c r="M812" i="96"/>
  <c r="M802" i="96" s="1"/>
  <c r="O28" i="71"/>
  <c r="O30" i="71"/>
  <c r="Z37" i="123"/>
  <c r="P29" i="71"/>
  <c r="P28" i="71" l="1"/>
  <c r="O37" i="71"/>
  <c r="O31" i="71"/>
  <c r="O38" i="71" s="1"/>
  <c r="O40" i="71"/>
  <c r="P30" i="71"/>
  <c r="Z36" i="123"/>
  <c r="Q29" i="71"/>
  <c r="Q28" i="71" l="1"/>
  <c r="Q30" i="71"/>
  <c r="P31" i="71"/>
  <c r="P38" i="71" s="1"/>
  <c r="P37" i="71"/>
  <c r="P40" i="71"/>
  <c r="R29" i="71"/>
  <c r="F815" i="96"/>
  <c r="F805" i="96" s="1"/>
  <c r="N148" i="87"/>
  <c r="H139" i="91"/>
  <c r="F816" i="96"/>
  <c r="F806" i="96" s="1"/>
  <c r="N149" i="87"/>
  <c r="H140" i="91"/>
  <c r="R28" i="71" l="1"/>
  <c r="P43" i="71"/>
  <c r="Q37" i="71"/>
  <c r="Q40" i="71"/>
  <c r="Q31" i="71"/>
  <c r="Q38" i="71" s="1"/>
  <c r="R30" i="71"/>
  <c r="S29" i="71"/>
  <c r="H130" i="66"/>
  <c r="H131" i="66"/>
  <c r="S30" i="71" l="1"/>
  <c r="Q43" i="71"/>
  <c r="R31" i="71"/>
  <c r="R38" i="71" s="1"/>
  <c r="R40" i="71"/>
  <c r="R37" i="71"/>
  <c r="S28" i="71"/>
  <c r="G816" i="96"/>
  <c r="S31" i="71" l="1"/>
  <c r="S38" i="71" s="1"/>
  <c r="S40" i="71"/>
  <c r="S43" i="71" s="1"/>
  <c r="S37" i="71"/>
  <c r="R43" i="71"/>
  <c r="F210" i="96" l="1"/>
  <c r="F323" i="96"/>
  <c r="F324" i="96" l="1"/>
  <c r="H72" i="91" l="1"/>
  <c r="F121" i="96"/>
  <c r="F325" i="96"/>
  <c r="F326" i="96" s="1"/>
  <c r="F327" i="96" s="1"/>
  <c r="F220" i="96"/>
  <c r="H76" i="91" l="1"/>
  <c r="F224" i="96"/>
  <c r="F125" i="96"/>
  <c r="F245" i="70"/>
  <c r="F524" i="96"/>
  <c r="F638" i="96"/>
  <c r="F751" i="96"/>
  <c r="G97" i="102"/>
  <c r="J226" i="96" l="1"/>
  <c r="F637" i="96"/>
  <c r="H77" i="91"/>
  <c r="F35" i="123"/>
  <c r="F37" i="123" s="1"/>
  <c r="F36" i="123" s="1"/>
  <c r="F794" i="96"/>
  <c r="F797" i="96" s="1"/>
  <c r="G98" i="102"/>
  <c r="J846" i="96"/>
  <c r="F47" i="123"/>
  <c r="F752" i="96"/>
  <c r="F53" i="123"/>
  <c r="F55" i="123" s="1"/>
  <c r="F54" i="123" s="1"/>
  <c r="F225" i="96"/>
  <c r="S47" i="123"/>
  <c r="F126" i="96"/>
  <c r="F153" i="96" s="1"/>
  <c r="J127" i="96"/>
  <c r="L78" i="91"/>
  <c r="F640" i="96"/>
  <c r="F642" i="96"/>
  <c r="F515" i="96"/>
  <c r="F633" i="96"/>
  <c r="F525" i="96"/>
  <c r="F518" i="96"/>
  <c r="F645" i="96"/>
  <c r="F661" i="96" s="1"/>
  <c r="F517" i="96"/>
  <c r="F639" i="96"/>
  <c r="F358" i="96"/>
  <c r="F434" i="96"/>
  <c r="F221" i="96"/>
  <c r="F361" i="96"/>
  <c r="F439" i="96"/>
  <c r="F357" i="96"/>
  <c r="F398" i="96"/>
  <c r="F438" i="96"/>
  <c r="F360" i="96"/>
  <c r="F396" i="96"/>
  <c r="F277" i="96"/>
  <c r="F368" i="96"/>
  <c r="H73" i="91"/>
  <c r="F211" i="96"/>
  <c r="F356" i="96"/>
  <c r="F122" i="96"/>
  <c r="F397" i="96"/>
  <c r="F359" i="96"/>
  <c r="F367" i="96"/>
  <c r="N117" i="87"/>
  <c r="H106" i="91"/>
  <c r="F555" i="96"/>
  <c r="F278" i="96"/>
  <c r="F213" i="96"/>
  <c r="F245" i="96" s="1"/>
  <c r="F514" i="96"/>
  <c r="F436" i="96"/>
  <c r="F704" i="96" l="1"/>
  <c r="F702" i="96"/>
  <c r="F701" i="96"/>
  <c r="F160" i="70"/>
  <c r="F169" i="70"/>
  <c r="F124" i="96"/>
  <c r="F878" i="96"/>
  <c r="F877" i="96" s="1"/>
  <c r="F875" i="96"/>
  <c r="F700" i="96"/>
  <c r="S49" i="123"/>
  <c r="S31" i="123" s="1"/>
  <c r="F161" i="70"/>
  <c r="F171" i="70"/>
  <c r="F49" i="123"/>
  <c r="F48" i="123" s="1"/>
  <c r="F876" i="96"/>
  <c r="F162" i="70"/>
  <c r="F223" i="96"/>
  <c r="F246" i="96" s="1"/>
  <c r="F247" i="96" s="1"/>
  <c r="F282" i="96"/>
  <c r="F516" i="96"/>
  <c r="F519" i="96" s="1"/>
  <c r="F520" i="96" s="1"/>
  <c r="H75" i="91"/>
  <c r="F636" i="96"/>
  <c r="F526" i="96"/>
  <c r="F527" i="96" s="1"/>
  <c r="H97" i="66"/>
  <c r="N134" i="87"/>
  <c r="F558" i="96"/>
  <c r="F362" i="96"/>
  <c r="F363" i="96" s="1"/>
  <c r="H123" i="91"/>
  <c r="F239" i="96"/>
  <c r="X245" i="96"/>
  <c r="F369" i="96"/>
  <c r="F370" i="96" s="1"/>
  <c r="F668" i="96"/>
  <c r="F721" i="96" s="1"/>
  <c r="F440" i="96"/>
  <c r="F119" i="70" l="1"/>
  <c r="F703" i="96"/>
  <c r="F712" i="96" s="1"/>
  <c r="F652" i="96"/>
  <c r="F163" i="70"/>
  <c r="F164" i="70" s="1"/>
  <c r="F118" i="70"/>
  <c r="S48" i="123"/>
  <c r="S30" i="123" s="1"/>
  <c r="F706" i="96"/>
  <c r="F646" i="96"/>
  <c r="F30" i="123"/>
  <c r="F31" i="123"/>
  <c r="F120" i="70"/>
  <c r="H114" i="66"/>
  <c r="F528" i="96"/>
  <c r="F559" i="96"/>
  <c r="F121" i="70" l="1"/>
  <c r="F122" i="70" s="1"/>
  <c r="F705" i="96"/>
  <c r="F647" i="96"/>
  <c r="E37" i="71" l="1"/>
  <c r="E40" i="71"/>
  <c r="E43" i="71" s="1"/>
  <c r="F37" i="71" l="1"/>
  <c r="F40" i="71"/>
  <c r="G37" i="71" l="1"/>
  <c r="G40" i="71"/>
  <c r="G43" i="71" s="1"/>
  <c r="F43" i="71"/>
  <c r="N137" i="87" l="1"/>
  <c r="F671" i="96"/>
  <c r="F655" i="96" s="1"/>
  <c r="H126" i="91"/>
  <c r="H117" i="66" l="1"/>
  <c r="F670" i="96"/>
  <c r="F654" i="96" s="1"/>
  <c r="H125" i="91"/>
  <c r="N136" i="87"/>
  <c r="N138" i="87"/>
  <c r="F672" i="96"/>
  <c r="F656" i="96" s="1"/>
  <c r="H127" i="91"/>
  <c r="F669" i="96"/>
  <c r="F653" i="96" s="1"/>
  <c r="H124" i="91"/>
  <c r="N135" i="87"/>
  <c r="F722" i="96" l="1"/>
  <c r="F713" i="96" s="1"/>
  <c r="H116" i="66"/>
  <c r="H118" i="66"/>
  <c r="H115" i="66"/>
  <c r="F813" i="96" l="1"/>
  <c r="F803" i="96" s="1"/>
  <c r="V90" i="87"/>
  <c r="N147" i="87"/>
  <c r="H138" i="91"/>
  <c r="H129" i="66" l="1"/>
  <c r="F142" i="96" l="1"/>
  <c r="H226" i="91"/>
  <c r="N98" i="87"/>
  <c r="H87" i="91"/>
  <c r="H86" i="91"/>
  <c r="N97" i="87"/>
  <c r="F763" i="96"/>
  <c r="N144" i="87"/>
  <c r="H135" i="91"/>
  <c r="G70" i="102" l="1"/>
  <c r="H227" i="91"/>
  <c r="F143" i="96"/>
  <c r="N42" i="87" s="1"/>
  <c r="N145" i="87"/>
  <c r="F764" i="96"/>
  <c r="F758" i="96" s="1"/>
  <c r="F757" i="96"/>
  <c r="F814" i="96"/>
  <c r="H151" i="91"/>
  <c r="N41" i="87"/>
  <c r="H136" i="91"/>
  <c r="V89" i="87"/>
  <c r="H137" i="91"/>
  <c r="H78" i="66"/>
  <c r="H77" i="66"/>
  <c r="H126" i="66"/>
  <c r="H93" i="91"/>
  <c r="N104" i="87"/>
  <c r="N100" i="87"/>
  <c r="H89" i="91"/>
  <c r="N103" i="87"/>
  <c r="H92" i="91"/>
  <c r="H96" i="91"/>
  <c r="N107" i="87"/>
  <c r="N102" i="87"/>
  <c r="H91" i="91"/>
  <c r="F455" i="96"/>
  <c r="N111" i="87"/>
  <c r="H100" i="91"/>
  <c r="H84" i="91"/>
  <c r="N95" i="87"/>
  <c r="N72" i="87" s="1"/>
  <c r="F136" i="96"/>
  <c r="H94" i="91"/>
  <c r="N105" i="87"/>
  <c r="N101" i="87"/>
  <c r="H90" i="91"/>
  <c r="N96" i="87"/>
  <c r="N83" i="87" s="1"/>
  <c r="H85" i="91"/>
  <c r="N110" i="87"/>
  <c r="H99" i="91"/>
  <c r="F812" i="96"/>
  <c r="N146" i="87"/>
  <c r="N132" i="87"/>
  <c r="F666" i="96"/>
  <c r="F650" i="96" s="1"/>
  <c r="H121" i="91"/>
  <c r="H152" i="91" l="1"/>
  <c r="F720" i="96"/>
  <c r="F711" i="96" s="1"/>
  <c r="F817" i="96"/>
  <c r="F807" i="96" s="1"/>
  <c r="F804" i="96"/>
  <c r="F170" i="70"/>
  <c r="F172" i="70" s="1"/>
  <c r="H127" i="66"/>
  <c r="H75" i="68"/>
  <c r="H128" i="66"/>
  <c r="H91" i="66"/>
  <c r="H76" i="66"/>
  <c r="H81" i="66"/>
  <c r="H85" i="66"/>
  <c r="H82" i="66"/>
  <c r="H75" i="66"/>
  <c r="H83" i="66"/>
  <c r="H80" i="66"/>
  <c r="H90" i="66"/>
  <c r="H87" i="66"/>
  <c r="H112" i="66"/>
  <c r="H84" i="66"/>
  <c r="N35" i="87"/>
  <c r="F407" i="96"/>
  <c r="F402" i="96" s="1"/>
  <c r="N114" i="87"/>
  <c r="H103" i="91"/>
  <c r="F454" i="96"/>
  <c r="H107" i="91"/>
  <c r="N118" i="87"/>
  <c r="F139" i="96"/>
  <c r="N38" i="87" s="1"/>
  <c r="F406" i="96"/>
  <c r="H223" i="91"/>
  <c r="N113" i="87"/>
  <c r="H102" i="91"/>
  <c r="F408" i="96"/>
  <c r="F403" i="96" s="1"/>
  <c r="N115" i="87"/>
  <c r="H104" i="91"/>
  <c r="F456" i="96"/>
  <c r="F447" i="96" s="1"/>
  <c r="H109" i="91"/>
  <c r="N120" i="87"/>
  <c r="F452" i="96"/>
  <c r="N116" i="87"/>
  <c r="H105" i="91"/>
  <c r="F457" i="96"/>
  <c r="F448" i="96" s="1"/>
  <c r="N121" i="87"/>
  <c r="H110" i="91"/>
  <c r="F571" i="96"/>
  <c r="H116" i="91"/>
  <c r="N127" i="87"/>
  <c r="F665" i="96"/>
  <c r="F649" i="96" s="1"/>
  <c r="H120" i="91"/>
  <c r="N131" i="87"/>
  <c r="F157" i="96"/>
  <c r="F718" i="96" l="1"/>
  <c r="F719" i="96"/>
  <c r="F710" i="96" s="1"/>
  <c r="H148" i="91"/>
  <c r="H221" i="91"/>
  <c r="F709" i="96"/>
  <c r="H100" i="66"/>
  <c r="H107" i="66"/>
  <c r="H101" i="66"/>
  <c r="H96" i="66"/>
  <c r="H93" i="66"/>
  <c r="H98" i="66"/>
  <c r="H111" i="66"/>
  <c r="H94" i="66"/>
  <c r="H95" i="66"/>
  <c r="F211" i="70"/>
  <c r="F443" i="96"/>
  <c r="F458" i="96"/>
  <c r="F449" i="96" s="1"/>
  <c r="F445" i="96"/>
  <c r="N106" i="87"/>
  <c r="H95" i="91"/>
  <c r="F137" i="96"/>
  <c r="F574" i="96"/>
  <c r="F566" i="96" s="1"/>
  <c r="F563" i="96"/>
  <c r="F409" i="96"/>
  <c r="F401" i="96"/>
  <c r="F173" i="70"/>
  <c r="H86" i="66" l="1"/>
  <c r="N112" i="87" l="1"/>
  <c r="H101" i="91"/>
  <c r="H222" i="91"/>
  <c r="F138" i="96"/>
  <c r="H147" i="91" l="1"/>
  <c r="H92" i="66"/>
  <c r="N37" i="87"/>
  <c r="E32" i="76" l="1"/>
  <c r="G42" i="71" l="1"/>
  <c r="G41" i="71" s="1"/>
  <c r="F42" i="71"/>
  <c r="F41" i="71" s="1"/>
  <c r="G38" i="71" l="1"/>
  <c r="G39" i="71"/>
  <c r="F38" i="71"/>
  <c r="F39" i="71"/>
  <c r="H129" i="91" l="1"/>
  <c r="F674" i="96"/>
  <c r="F658" i="96" s="1"/>
  <c r="N140" i="87"/>
  <c r="H120" i="66" l="1"/>
  <c r="F129" i="70" l="1"/>
  <c r="F128" i="70" l="1"/>
  <c r="E42" i="71" l="1"/>
  <c r="E41" i="71" s="1"/>
  <c r="E38" i="71" l="1"/>
  <c r="E39" i="71"/>
  <c r="H74" i="91" l="1"/>
  <c r="F485" i="96"/>
  <c r="F123" i="96"/>
  <c r="F222" i="96"/>
  <c r="N124" i="87"/>
  <c r="F848" i="96" l="1"/>
  <c r="F856" i="96" s="1"/>
  <c r="X246" i="96"/>
  <c r="X248" i="96" s="1"/>
  <c r="F248" i="96"/>
  <c r="X247" i="96"/>
  <c r="F486" i="96"/>
  <c r="H149" i="91"/>
  <c r="F140" i="96"/>
  <c r="H104" i="66"/>
  <c r="F131" i="96"/>
  <c r="N39" i="87"/>
  <c r="F160" i="96" l="1"/>
  <c r="X249" i="96"/>
  <c r="F246" i="70" l="1"/>
  <c r="F247" i="70" s="1"/>
  <c r="F120" i="96" l="1"/>
  <c r="F248" i="70"/>
  <c r="N108" i="87" l="1"/>
  <c r="F219" i="96"/>
  <c r="F240" i="96" s="1"/>
  <c r="H71" i="91"/>
  <c r="F281" i="96"/>
  <c r="F294" i="96" s="1"/>
  <c r="H97" i="91"/>
  <c r="H70" i="91"/>
  <c r="F152" i="96"/>
  <c r="F129" i="96"/>
  <c r="N36" i="87"/>
  <c r="H146" i="91" l="1"/>
  <c r="H88" i="66"/>
  <c r="H70" i="66"/>
  <c r="F229" i="96"/>
  <c r="F234" i="96"/>
  <c r="F232" i="96"/>
  <c r="F290" i="96"/>
  <c r="F233" i="96"/>
  <c r="F242" i="96"/>
  <c r="F237" i="96"/>
  <c r="F235" i="96"/>
  <c r="F230" i="96"/>
  <c r="F231" i="96"/>
  <c r="F236" i="96"/>
  <c r="F241" i="96"/>
  <c r="F295" i="96"/>
  <c r="F296" i="96" s="1"/>
  <c r="F291" i="96"/>
  <c r="F288" i="96"/>
  <c r="F298" i="96"/>
  <c r="F299" i="96" s="1"/>
  <c r="F289" i="96"/>
  <c r="F287" i="96"/>
  <c r="H30" i="71"/>
  <c r="F130" i="96"/>
  <c r="H29" i="71"/>
  <c r="H28" i="71"/>
  <c r="F32" i="70" l="1"/>
  <c r="F238" i="96"/>
  <c r="F292" i="96"/>
  <c r="H40" i="71"/>
  <c r="H43" i="71" s="1"/>
  <c r="H37" i="71"/>
  <c r="H34" i="71" l="1"/>
  <c r="H31" i="71" l="1"/>
  <c r="H38" i="71" l="1"/>
  <c r="I119" i="91" l="1"/>
  <c r="O130" i="87"/>
  <c r="G573" i="96"/>
  <c r="I110" i="66" l="1"/>
  <c r="P130" i="87" l="1"/>
  <c r="H573" i="96"/>
  <c r="J119" i="91"/>
  <c r="J110" i="66" l="1"/>
  <c r="I573" i="96"/>
  <c r="Q130" i="87"/>
  <c r="K119" i="91"/>
  <c r="J573" i="96" l="1"/>
  <c r="R130" i="87"/>
  <c r="L119" i="91"/>
  <c r="K110" i="66"/>
  <c r="M573" i="96" l="1"/>
  <c r="O119" i="91"/>
  <c r="U130" i="87"/>
  <c r="L110" i="66"/>
  <c r="S130" i="87"/>
  <c r="K573" i="96"/>
  <c r="M119" i="91"/>
  <c r="O110" i="66" l="1"/>
  <c r="T130" i="87"/>
  <c r="L573" i="96"/>
  <c r="N119" i="91"/>
  <c r="M110" i="66"/>
  <c r="N110" i="66" l="1"/>
  <c r="I117" i="91" l="1"/>
  <c r="O128" i="87"/>
  <c r="I108" i="66" l="1"/>
  <c r="P128" i="87" l="1"/>
  <c r="J117" i="91"/>
  <c r="J108" i="66" l="1"/>
  <c r="K117" i="91"/>
  <c r="Q128" i="87"/>
  <c r="K108" i="66" l="1"/>
  <c r="R128" i="87"/>
  <c r="L117" i="91"/>
  <c r="M117" i="91" l="1"/>
  <c r="S128" i="87"/>
  <c r="L108" i="66"/>
  <c r="O117" i="91" l="1"/>
  <c r="U128" i="87"/>
  <c r="N117" i="91"/>
  <c r="T128" i="87"/>
  <c r="M108" i="66"/>
  <c r="O108" i="66" l="1"/>
  <c r="N108" i="66"/>
  <c r="I30" i="71" l="1"/>
  <c r="I29" i="71"/>
  <c r="I28" i="71"/>
  <c r="I40" i="71" l="1"/>
  <c r="I43" i="71" s="1"/>
  <c r="I37" i="71"/>
  <c r="J30" i="71"/>
  <c r="J29" i="71"/>
  <c r="J28" i="71"/>
  <c r="K28" i="71" l="1"/>
  <c r="K30" i="71"/>
  <c r="J37" i="71"/>
  <c r="J40" i="71"/>
  <c r="J43" i="71" s="1"/>
  <c r="K29" i="71"/>
  <c r="L30" i="71" l="1"/>
  <c r="L29" i="71"/>
  <c r="L28" i="71"/>
  <c r="K40" i="71"/>
  <c r="K43" i="71" s="1"/>
  <c r="K37" i="71"/>
  <c r="M28" i="71" l="1"/>
  <c r="M29" i="71"/>
  <c r="L40" i="71"/>
  <c r="L43" i="71" s="1"/>
  <c r="L37" i="71"/>
  <c r="M30" i="71"/>
  <c r="M37" i="71" l="1"/>
  <c r="M40" i="71"/>
  <c r="M43" i="71" s="1"/>
  <c r="N37" i="71" l="1"/>
  <c r="N40" i="71"/>
  <c r="N43" i="71" l="1"/>
  <c r="O43" i="71"/>
  <c r="J137" i="91" l="1"/>
  <c r="K137" i="91"/>
  <c r="L137" i="91"/>
  <c r="J141" i="91" l="1"/>
  <c r="K141" i="91"/>
  <c r="I860" i="96"/>
  <c r="I852" i="96" s="1"/>
  <c r="I812" i="96"/>
  <c r="Q146" i="87"/>
  <c r="H860" i="96"/>
  <c r="P150" i="87"/>
  <c r="Q150" i="87"/>
  <c r="P146" i="87"/>
  <c r="H812" i="96"/>
  <c r="J812" i="96"/>
  <c r="R146" i="87"/>
  <c r="I31" i="71"/>
  <c r="I38" i="71" s="1"/>
  <c r="K128" i="66" l="1"/>
  <c r="I802" i="96"/>
  <c r="H852" i="96"/>
  <c r="J132" i="66"/>
  <c r="Y79" i="87"/>
  <c r="M137" i="91"/>
  <c r="K132" i="66"/>
  <c r="J128" i="66"/>
  <c r="H802" i="96"/>
  <c r="J802" i="96"/>
  <c r="L128" i="66"/>
  <c r="M141" i="91" l="1"/>
  <c r="L141" i="91"/>
  <c r="K860" i="96"/>
  <c r="K852" i="96" s="1"/>
  <c r="J860" i="96"/>
  <c r="K812" i="96"/>
  <c r="S146" i="87"/>
  <c r="S150" i="87"/>
  <c r="R150" i="87"/>
  <c r="J31" i="71"/>
  <c r="K31" i="71"/>
  <c r="K38" i="71" s="1"/>
  <c r="N137" i="91"/>
  <c r="N141" i="91" l="1"/>
  <c r="M128" i="66"/>
  <c r="K802" i="96"/>
  <c r="L860" i="96"/>
  <c r="J852" i="96"/>
  <c r="T150" i="87"/>
  <c r="M132" i="66"/>
  <c r="L132" i="66"/>
  <c r="L812" i="96"/>
  <c r="T146" i="87"/>
  <c r="J38" i="71"/>
  <c r="L852" i="96" l="1"/>
  <c r="N132" i="66"/>
  <c r="L802" i="96"/>
  <c r="M31" i="71"/>
  <c r="N128" i="66"/>
  <c r="L31" i="71" l="1"/>
  <c r="M38" i="71"/>
  <c r="L38" i="71" l="1"/>
  <c r="N31" i="71" l="1"/>
  <c r="N38" i="71" l="1"/>
  <c r="G635" i="96" l="1"/>
  <c r="G667" i="96" l="1"/>
  <c r="G651" i="96" s="1"/>
  <c r="I122" i="91"/>
  <c r="O133" i="87"/>
  <c r="I635" i="96"/>
  <c r="H635" i="96"/>
  <c r="H667" i="96" l="1"/>
  <c r="H651" i="96" s="1"/>
  <c r="J635" i="96"/>
  <c r="P133" i="87"/>
  <c r="I113" i="66"/>
  <c r="J122" i="91"/>
  <c r="K122" i="91" l="1"/>
  <c r="I667" i="96"/>
  <c r="I651" i="96" s="1"/>
  <c r="J667" i="96"/>
  <c r="J651" i="96" s="1"/>
  <c r="J113" i="66"/>
  <c r="Q133" i="87"/>
  <c r="K635" i="96"/>
  <c r="K113" i="66" l="1"/>
  <c r="M635" i="96"/>
  <c r="L122" i="91"/>
  <c r="L635" i="96"/>
  <c r="R133" i="87"/>
  <c r="K667" i="96"/>
  <c r="M667" i="96" l="1"/>
  <c r="M651" i="96" s="1"/>
  <c r="K651" i="96"/>
  <c r="O122" i="91"/>
  <c r="U133" i="87"/>
  <c r="L113" i="66"/>
  <c r="S133" i="87"/>
  <c r="M122" i="91"/>
  <c r="L667" i="96" l="1"/>
  <c r="L651" i="96" s="1"/>
  <c r="O113" i="66"/>
  <c r="N122" i="91"/>
  <c r="T133" i="87"/>
  <c r="M113" i="66"/>
  <c r="N113" i="66" l="1"/>
  <c r="E758" i="96" l="1"/>
  <c r="H36" i="71" l="1"/>
  <c r="H33" i="71" s="1"/>
  <c r="F204" i="70" l="1"/>
  <c r="F283" i="70"/>
  <c r="F287" i="70" s="1"/>
  <c r="H35" i="71" l="1"/>
  <c r="H32" i="71" s="1"/>
  <c r="H39" i="71" s="1"/>
  <c r="F203" i="70"/>
  <c r="F205" i="70" s="1"/>
  <c r="F34" i="70"/>
  <c r="F291" i="70"/>
  <c r="F213" i="70"/>
  <c r="H202" i="69"/>
  <c r="F282" i="70"/>
  <c r="F286" i="70" s="1"/>
  <c r="H70" i="68"/>
  <c r="H42" i="71" l="1"/>
  <c r="H41" i="71" s="1"/>
  <c r="H136" i="69"/>
  <c r="F206" i="70"/>
  <c r="F33" i="70"/>
  <c r="F290" i="70"/>
  <c r="F43" i="70"/>
  <c r="F212" i="70"/>
  <c r="F214" i="70" s="1"/>
  <c r="F42" i="70" l="1"/>
  <c r="F215" i="70"/>
  <c r="F35" i="70"/>
  <c r="F36" i="70" l="1"/>
  <c r="G644" i="96" l="1"/>
  <c r="G676" i="96"/>
  <c r="G643" i="96"/>
  <c r="G675" i="96"/>
  <c r="I643" i="96"/>
  <c r="I135" i="91"/>
  <c r="I126" i="91"/>
  <c r="I132" i="91"/>
  <c r="G671" i="96"/>
  <c r="I129" i="91"/>
  <c r="I125" i="91"/>
  <c r="I139" i="91"/>
  <c r="I138" i="91"/>
  <c r="G677" i="96"/>
  <c r="G246" i="70"/>
  <c r="G660" i="96" l="1"/>
  <c r="G659" i="96"/>
  <c r="G280" i="96"/>
  <c r="H643" i="96"/>
  <c r="I127" i="91"/>
  <c r="I128" i="91"/>
  <c r="I130" i="91"/>
  <c r="H70" i="102"/>
  <c r="I133" i="91"/>
  <c r="O124" i="87"/>
  <c r="I131" i="91"/>
  <c r="I137" i="91"/>
  <c r="I644" i="96"/>
  <c r="J643" i="96"/>
  <c r="G485" i="96"/>
  <c r="J113" i="91"/>
  <c r="G641" i="96"/>
  <c r="O139" i="87"/>
  <c r="G555" i="96"/>
  <c r="G213" i="96"/>
  <c r="G514" i="96"/>
  <c r="G35" i="123"/>
  <c r="G37" i="123" s="1"/>
  <c r="G397" i="96"/>
  <c r="I96" i="91"/>
  <c r="O107" i="87"/>
  <c r="H98" i="102"/>
  <c r="T47" i="123"/>
  <c r="G794" i="96"/>
  <c r="O101" i="87"/>
  <c r="I90" i="91"/>
  <c r="G456" i="96"/>
  <c r="I212" i="96"/>
  <c r="G453" i="96"/>
  <c r="I91" i="91"/>
  <c r="O102" i="87"/>
  <c r="G284" i="96"/>
  <c r="O132" i="87"/>
  <c r="I121" i="91"/>
  <c r="G41" i="123"/>
  <c r="G43" i="123" s="1"/>
  <c r="G42" i="123" s="1"/>
  <c r="G634" i="96"/>
  <c r="G639" i="96"/>
  <c r="G655" i="96" s="1"/>
  <c r="O137" i="87"/>
  <c r="G525" i="96"/>
  <c r="G672" i="96"/>
  <c r="G722" i="96" s="1"/>
  <c r="O100" i="87"/>
  <c r="G209" i="96"/>
  <c r="G277" i="96"/>
  <c r="I89" i="91"/>
  <c r="G763" i="96"/>
  <c r="I72" i="91"/>
  <c r="G210" i="96"/>
  <c r="G323" i="96"/>
  <c r="G121" i="96"/>
  <c r="G278" i="96"/>
  <c r="G211" i="96"/>
  <c r="G368" i="96"/>
  <c r="G356" i="96"/>
  <c r="G122" i="96"/>
  <c r="G396" i="96"/>
  <c r="I73" i="91"/>
  <c r="G793" i="96"/>
  <c r="T41" i="123"/>
  <c r="T43" i="123" s="1"/>
  <c r="T42" i="123" s="1"/>
  <c r="G452" i="96"/>
  <c r="I94" i="91"/>
  <c r="O105" i="87"/>
  <c r="G515" i="96"/>
  <c r="G633" i="96"/>
  <c r="G47" i="123"/>
  <c r="O135" i="87"/>
  <c r="G637" i="96"/>
  <c r="I124" i="91"/>
  <c r="O119" i="87"/>
  <c r="I108" i="91"/>
  <c r="G437" i="96"/>
  <c r="G360" i="96"/>
  <c r="G325" i="96"/>
  <c r="O112" i="87"/>
  <c r="I101" i="91"/>
  <c r="G359" i="96"/>
  <c r="G367" i="96"/>
  <c r="O117" i="87"/>
  <c r="I106" i="91"/>
  <c r="G361" i="96"/>
  <c r="G439" i="96"/>
  <c r="G408" i="96"/>
  <c r="I76" i="91"/>
  <c r="G125" i="96"/>
  <c r="G750" i="96"/>
  <c r="H97" i="102"/>
  <c r="G214" i="96"/>
  <c r="G669" i="96"/>
  <c r="G670" i="96"/>
  <c r="G642" i="96"/>
  <c r="O140" i="87"/>
  <c r="I87" i="91"/>
  <c r="O98" i="87"/>
  <c r="O129" i="87"/>
  <c r="G556" i="96"/>
  <c r="I118" i="91"/>
  <c r="G218" i="96"/>
  <c r="I85" i="91"/>
  <c r="O96" i="87"/>
  <c r="O83" i="87" s="1"/>
  <c r="G53" i="123"/>
  <c r="G55" i="123" s="1"/>
  <c r="G54" i="123" s="1"/>
  <c r="G640" i="96"/>
  <c r="G656" i="96" s="1"/>
  <c r="O138" i="87"/>
  <c r="I140" i="91"/>
  <c r="G815" i="96"/>
  <c r="G398" i="96"/>
  <c r="G357" i="96"/>
  <c r="I104" i="91"/>
  <c r="O115" i="87"/>
  <c r="O104" i="87"/>
  <c r="I93" i="91"/>
  <c r="G455" i="96"/>
  <c r="G673" i="96"/>
  <c r="G222" i="96"/>
  <c r="O123" i="87"/>
  <c r="G484" i="96"/>
  <c r="G219" i="96"/>
  <c r="G572" i="96"/>
  <c r="G795" i="96"/>
  <c r="O148" i="87"/>
  <c r="G666" i="96"/>
  <c r="G720" i="96" s="1"/>
  <c r="I222" i="96"/>
  <c r="G436" i="96"/>
  <c r="G638" i="96"/>
  <c r="G517" i="96"/>
  <c r="G524" i="96"/>
  <c r="O136" i="87"/>
  <c r="I92" i="91"/>
  <c r="O103" i="87"/>
  <c r="G358" i="96"/>
  <c r="I105" i="91"/>
  <c r="O116" i="87"/>
  <c r="G221" i="96"/>
  <c r="G434" i="96"/>
  <c r="G279" i="96"/>
  <c r="I74" i="91"/>
  <c r="G123" i="96"/>
  <c r="G212" i="96"/>
  <c r="G483" i="96"/>
  <c r="G645" i="96"/>
  <c r="G661" i="96" s="1"/>
  <c r="G518" i="96"/>
  <c r="O141" i="87"/>
  <c r="I86" i="91"/>
  <c r="O97" i="87"/>
  <c r="I100" i="91"/>
  <c r="G324" i="96"/>
  <c r="G220" i="96"/>
  <c r="O111" i="87"/>
  <c r="G282" i="96"/>
  <c r="G224" i="96"/>
  <c r="O144" i="87"/>
  <c r="G751" i="96"/>
  <c r="G757" i="96" s="1"/>
  <c r="G245" i="70"/>
  <c r="G247" i="70" s="1"/>
  <c r="O120" i="87"/>
  <c r="I109" i="91"/>
  <c r="G438" i="96"/>
  <c r="G447" i="96" s="1"/>
  <c r="G654" i="96" l="1"/>
  <c r="I34" i="71"/>
  <c r="H644" i="96"/>
  <c r="G245" i="96"/>
  <c r="H676" i="96"/>
  <c r="G653" i="96"/>
  <c r="G650" i="96"/>
  <c r="G657" i="96"/>
  <c r="I136" i="91"/>
  <c r="J130" i="91"/>
  <c r="H675" i="96"/>
  <c r="H659" i="96" s="1"/>
  <c r="G486" i="96"/>
  <c r="J131" i="91"/>
  <c r="I220" i="91"/>
  <c r="J112" i="91"/>
  <c r="J126" i="91"/>
  <c r="I113" i="91"/>
  <c r="I122" i="66"/>
  <c r="J644" i="96"/>
  <c r="I121" i="66"/>
  <c r="I676" i="96"/>
  <c r="I660" i="96" s="1"/>
  <c r="I221" i="91"/>
  <c r="J128" i="91"/>
  <c r="K643" i="96"/>
  <c r="G120" i="96"/>
  <c r="G126" i="96"/>
  <c r="I75" i="91"/>
  <c r="G706" i="96" s="1"/>
  <c r="O142" i="87"/>
  <c r="W78" i="87" s="1"/>
  <c r="G137" i="96"/>
  <c r="G805" i="96"/>
  <c r="G403" i="96"/>
  <c r="G248" i="70"/>
  <c r="I129" i="66"/>
  <c r="H245" i="70"/>
  <c r="I123" i="66"/>
  <c r="G443" i="96"/>
  <c r="G440" i="96"/>
  <c r="H209" i="96"/>
  <c r="H277" i="96"/>
  <c r="I116" i="66"/>
  <c r="G876" i="96"/>
  <c r="H484" i="96"/>
  <c r="P123" i="87"/>
  <c r="H222" i="96"/>
  <c r="H641" i="96"/>
  <c r="H438" i="96"/>
  <c r="H437" i="96"/>
  <c r="H360" i="96"/>
  <c r="J108" i="91"/>
  <c r="P119" i="87"/>
  <c r="I76" i="66"/>
  <c r="G161" i="70"/>
  <c r="H524" i="96"/>
  <c r="H638" i="96"/>
  <c r="H517" i="96"/>
  <c r="G571" i="96"/>
  <c r="H398" i="96"/>
  <c r="H357" i="96"/>
  <c r="H41" i="123"/>
  <c r="H43" i="123" s="1"/>
  <c r="H42" i="123" s="1"/>
  <c r="H634" i="96"/>
  <c r="H284" i="96"/>
  <c r="G406" i="96"/>
  <c r="P98" i="87"/>
  <c r="O146" i="87"/>
  <c r="G812" i="96"/>
  <c r="I642" i="96"/>
  <c r="P113" i="87"/>
  <c r="J73" i="91"/>
  <c r="H368" i="96"/>
  <c r="H211" i="96"/>
  <c r="H396" i="96"/>
  <c r="H356" i="96"/>
  <c r="H122" i="96"/>
  <c r="I102" i="91"/>
  <c r="I80" i="66"/>
  <c r="I82" i="66"/>
  <c r="H633" i="96"/>
  <c r="H515" i="96"/>
  <c r="H434" i="96"/>
  <c r="H221" i="96"/>
  <c r="H358" i="96"/>
  <c r="I81" i="66"/>
  <c r="I77" i="91"/>
  <c r="O127" i="87"/>
  <c r="H795" i="96"/>
  <c r="K113" i="91"/>
  <c r="I126" i="66"/>
  <c r="H640" i="96"/>
  <c r="H53" i="123"/>
  <c r="H55" i="123" s="1"/>
  <c r="H54" i="123" s="1"/>
  <c r="G878" i="96"/>
  <c r="G877" i="96" s="1"/>
  <c r="I96" i="66"/>
  <c r="J133" i="91"/>
  <c r="K112" i="91"/>
  <c r="I673" i="96"/>
  <c r="I641" i="96"/>
  <c r="I95" i="91"/>
  <c r="O106" i="87"/>
  <c r="H224" i="96"/>
  <c r="H751" i="96"/>
  <c r="I118" i="66"/>
  <c r="G704" i="96"/>
  <c r="G713" i="96" s="1"/>
  <c r="G813" i="96"/>
  <c r="G803" i="96" s="1"/>
  <c r="W90" i="87"/>
  <c r="G564" i="96"/>
  <c r="G565" i="96" s="1"/>
  <c r="I78" i="66"/>
  <c r="I120" i="66"/>
  <c r="G153" i="96"/>
  <c r="I638" i="96"/>
  <c r="I92" i="66"/>
  <c r="I99" i="66"/>
  <c r="G49" i="123"/>
  <c r="G48" i="123" s="1"/>
  <c r="G701" i="96"/>
  <c r="H246" i="70"/>
  <c r="O108" i="87"/>
  <c r="I97" i="91"/>
  <c r="J87" i="91"/>
  <c r="J96" i="91"/>
  <c r="P107" i="87"/>
  <c r="O147" i="87"/>
  <c r="G401" i="96"/>
  <c r="Y245" i="96"/>
  <c r="J106" i="91"/>
  <c r="H367" i="96"/>
  <c r="H369" i="96" s="1"/>
  <c r="P117" i="87"/>
  <c r="H359" i="96"/>
  <c r="I71" i="91"/>
  <c r="I677" i="96"/>
  <c r="I645" i="96"/>
  <c r="I637" i="96"/>
  <c r="T49" i="123"/>
  <c r="T48" i="123" s="1"/>
  <c r="I116" i="91"/>
  <c r="I104" i="66"/>
  <c r="G848" i="96"/>
  <c r="H525" i="96"/>
  <c r="H639" i="96"/>
  <c r="P137" i="87"/>
  <c r="H214" i="96"/>
  <c r="H125" i="96"/>
  <c r="H750" i="96"/>
  <c r="J76" i="91"/>
  <c r="I97" i="102"/>
  <c r="G762" i="96"/>
  <c r="I226" i="91"/>
  <c r="G142" i="96"/>
  <c r="O41" i="87" s="1"/>
  <c r="H397" i="96"/>
  <c r="I130" i="66"/>
  <c r="I84" i="66"/>
  <c r="I109" i="66"/>
  <c r="G254" i="70"/>
  <c r="G160" i="70"/>
  <c r="I97" i="66"/>
  <c r="H526" i="96"/>
  <c r="H556" i="96"/>
  <c r="G814" i="96"/>
  <c r="G804" i="96" s="1"/>
  <c r="I227" i="91"/>
  <c r="G143" i="96"/>
  <c r="O42" i="87" s="1"/>
  <c r="G225" i="96"/>
  <c r="H210" i="96"/>
  <c r="H323" i="96"/>
  <c r="H278" i="96"/>
  <c r="G362" i="96"/>
  <c r="G363" i="96" s="1"/>
  <c r="I117" i="66"/>
  <c r="H324" i="96"/>
  <c r="G702" i="96"/>
  <c r="G711" i="96" s="1"/>
  <c r="I112" i="66"/>
  <c r="J132" i="91"/>
  <c r="H212" i="96"/>
  <c r="H123" i="96"/>
  <c r="J74" i="91"/>
  <c r="H483" i="96"/>
  <c r="H279" i="96"/>
  <c r="G674" i="96"/>
  <c r="G658" i="96" s="1"/>
  <c r="I87" i="66"/>
  <c r="H436" i="96"/>
  <c r="H555" i="96"/>
  <c r="H35" i="123"/>
  <c r="H514" i="96"/>
  <c r="H213" i="96"/>
  <c r="H245" i="96" s="1"/>
  <c r="J75" i="91"/>
  <c r="J116" i="91"/>
  <c r="P127" i="87"/>
  <c r="G36" i="123"/>
  <c r="G875" i="96"/>
  <c r="G558" i="96"/>
  <c r="G700" i="96"/>
  <c r="G563" i="96"/>
  <c r="I119" i="66"/>
  <c r="P124" i="87"/>
  <c r="H485" i="96"/>
  <c r="I100" i="66"/>
  <c r="O95" i="87"/>
  <c r="O72" i="87" s="1"/>
  <c r="I84" i="91"/>
  <c r="G276" i="96"/>
  <c r="G208" i="96"/>
  <c r="G119" i="96"/>
  <c r="I70" i="91"/>
  <c r="H671" i="96"/>
  <c r="I77" i="66"/>
  <c r="I671" i="96"/>
  <c r="I639" i="96"/>
  <c r="I91" i="66"/>
  <c r="I640" i="96"/>
  <c r="I672" i="96"/>
  <c r="H794" i="96"/>
  <c r="U47" i="123"/>
  <c r="I98" i="102"/>
  <c r="G281" i="96"/>
  <c r="I83" i="66"/>
  <c r="H673" i="96"/>
  <c r="I103" i="66"/>
  <c r="I224" i="96"/>
  <c r="I95" i="66"/>
  <c r="T53" i="123"/>
  <c r="G796" i="96"/>
  <c r="G806" i="96" s="1"/>
  <c r="O149" i="87"/>
  <c r="G162" i="70"/>
  <c r="G752" i="96"/>
  <c r="G756" i="96"/>
  <c r="H361" i="96"/>
  <c r="H439" i="96"/>
  <c r="G369" i="96"/>
  <c r="G370" i="96" s="1"/>
  <c r="G516" i="96"/>
  <c r="G519" i="96" s="1"/>
  <c r="G520" i="96" s="1"/>
  <c r="G636" i="96"/>
  <c r="G119" i="70"/>
  <c r="I123" i="91"/>
  <c r="O134" i="87"/>
  <c r="I115" i="66"/>
  <c r="G223" i="96"/>
  <c r="G246" i="96" s="1"/>
  <c r="I85" i="66"/>
  <c r="H280" i="96"/>
  <c r="H218" i="96"/>
  <c r="H642" i="96"/>
  <c r="H99" i="102"/>
  <c r="I210" i="96"/>
  <c r="O113" i="87"/>
  <c r="G326" i="96"/>
  <c r="G327" i="96" s="1"/>
  <c r="W89" i="87"/>
  <c r="H645" i="96"/>
  <c r="H518" i="96"/>
  <c r="H637" i="96"/>
  <c r="H47" i="123"/>
  <c r="H49" i="123" s="1"/>
  <c r="H48" i="123" s="1"/>
  <c r="G136" i="96"/>
  <c r="O145" i="87"/>
  <c r="G124" i="96"/>
  <c r="G131" i="96" s="1"/>
  <c r="G526" i="96"/>
  <c r="G527" i="96" s="1"/>
  <c r="G31" i="123" l="1"/>
  <c r="G30" i="123"/>
  <c r="H660" i="96"/>
  <c r="I213" i="96"/>
  <c r="I656" i="96"/>
  <c r="G247" i="96"/>
  <c r="I634" i="96"/>
  <c r="I284" i="96"/>
  <c r="I209" i="96"/>
  <c r="I655" i="96"/>
  <c r="I657" i="96"/>
  <c r="J222" i="96"/>
  <c r="I211" i="96"/>
  <c r="I218" i="96"/>
  <c r="K130" i="91"/>
  <c r="I675" i="96"/>
  <c r="I659" i="96" s="1"/>
  <c r="I221" i="96"/>
  <c r="G646" i="96"/>
  <c r="H655" i="96"/>
  <c r="J212" i="96"/>
  <c r="I633" i="96"/>
  <c r="I661" i="96"/>
  <c r="H657" i="96"/>
  <c r="H878" i="96"/>
  <c r="H877" i="96" s="1"/>
  <c r="O36" i="87"/>
  <c r="K128" i="91"/>
  <c r="K127" i="91"/>
  <c r="K132" i="91"/>
  <c r="J139" i="91"/>
  <c r="J127" i="91"/>
  <c r="K126" i="91"/>
  <c r="K131" i="91"/>
  <c r="K644" i="96"/>
  <c r="G171" i="70"/>
  <c r="G230" i="96"/>
  <c r="G120" i="70"/>
  <c r="P141" i="87"/>
  <c r="G139" i="96"/>
  <c r="O38" i="87" s="1"/>
  <c r="H124" i="96"/>
  <c r="P139" i="87"/>
  <c r="P96" i="87"/>
  <c r="P83" i="87" s="1"/>
  <c r="G288" i="96"/>
  <c r="H527" i="96"/>
  <c r="H528" i="96" s="1"/>
  <c r="H219" i="96"/>
  <c r="J105" i="91"/>
  <c r="I146" i="91"/>
  <c r="I151" i="91"/>
  <c r="J102" i="91"/>
  <c r="Y247" i="96"/>
  <c r="G797" i="96"/>
  <c r="G237" i="96"/>
  <c r="H247" i="70"/>
  <c r="H248" i="70" s="1"/>
  <c r="G290" i="96"/>
  <c r="H486" i="96"/>
  <c r="I225" i="91"/>
  <c r="J71" i="91"/>
  <c r="G232" i="96"/>
  <c r="G528" i="96"/>
  <c r="I514" i="96"/>
  <c r="I35" i="123"/>
  <c r="I37" i="123" s="1"/>
  <c r="I555" i="96"/>
  <c r="I436" i="96"/>
  <c r="P103" i="87"/>
  <c r="J123" i="66"/>
  <c r="J72" i="91"/>
  <c r="H325" i="96"/>
  <c r="H326" i="96" s="1"/>
  <c r="H327" i="96" s="1"/>
  <c r="G703" i="96"/>
  <c r="G705" i="96" s="1"/>
  <c r="G753" i="96"/>
  <c r="I751" i="96"/>
  <c r="J77" i="91"/>
  <c r="Q137" i="87"/>
  <c r="I525" i="96"/>
  <c r="I75" i="66"/>
  <c r="I75" i="68"/>
  <c r="I795" i="96"/>
  <c r="H875" i="96"/>
  <c r="H700" i="96"/>
  <c r="H558" i="96"/>
  <c r="H559" i="96" s="1"/>
  <c r="I127" i="66"/>
  <c r="H677" i="96"/>
  <c r="H661" i="96" s="1"/>
  <c r="Q98" i="87"/>
  <c r="K87" i="91"/>
  <c r="I666" i="96"/>
  <c r="I650" i="96" s="1"/>
  <c r="G169" i="70"/>
  <c r="G295" i="96"/>
  <c r="J124" i="66"/>
  <c r="H161" i="70"/>
  <c r="H160" i="70"/>
  <c r="H281" i="96"/>
  <c r="I518" i="96"/>
  <c r="Q141" i="87"/>
  <c r="I88" i="66"/>
  <c r="G668" i="96"/>
  <c r="G721" i="96" s="1"/>
  <c r="G454" i="96"/>
  <c r="O118" i="87"/>
  <c r="I107" i="91"/>
  <c r="Q119" i="87"/>
  <c r="K108" i="91"/>
  <c r="I437" i="96"/>
  <c r="I360" i="96"/>
  <c r="I438" i="96"/>
  <c r="I86" i="66"/>
  <c r="I484" i="96"/>
  <c r="Q123" i="87"/>
  <c r="I485" i="96"/>
  <c r="Q124" i="87"/>
  <c r="H225" i="96"/>
  <c r="I220" i="96"/>
  <c r="I93" i="66"/>
  <c r="H362" i="96"/>
  <c r="H363" i="96" s="1"/>
  <c r="I128" i="66"/>
  <c r="I280" i="96"/>
  <c r="H702" i="96"/>
  <c r="G235" i="96"/>
  <c r="G242" i="96"/>
  <c r="I219" i="96"/>
  <c r="J119" i="66"/>
  <c r="P148" i="87"/>
  <c r="H815" i="96"/>
  <c r="H805" i="96" s="1"/>
  <c r="Q107" i="87"/>
  <c r="K96" i="91"/>
  <c r="I556" i="96"/>
  <c r="I225" i="96"/>
  <c r="G203" i="70"/>
  <c r="I131" i="66"/>
  <c r="U49" i="123"/>
  <c r="U48" i="123" s="1"/>
  <c r="G233" i="96"/>
  <c r="J671" i="96"/>
  <c r="G282" i="70"/>
  <c r="G286" i="70" s="1"/>
  <c r="G290" i="70" s="1"/>
  <c r="I70" i="68"/>
  <c r="I70" i="66"/>
  <c r="J107" i="66"/>
  <c r="Q103" i="87"/>
  <c r="K92" i="91"/>
  <c r="G291" i="96"/>
  <c r="H282" i="96"/>
  <c r="G236" i="96"/>
  <c r="J211" i="96"/>
  <c r="J85" i="91"/>
  <c r="H672" i="96"/>
  <c r="H722" i="96" s="1"/>
  <c r="H516" i="96"/>
  <c r="H519" i="96" s="1"/>
  <c r="H520" i="96" s="1"/>
  <c r="H636" i="96"/>
  <c r="G764" i="96"/>
  <c r="G765" i="96" s="1"/>
  <c r="I107" i="66"/>
  <c r="J677" i="96"/>
  <c r="G298" i="96"/>
  <c r="G299" i="96" s="1"/>
  <c r="J97" i="66"/>
  <c r="I357" i="96"/>
  <c r="I398" i="96"/>
  <c r="I524" i="96"/>
  <c r="I517" i="96"/>
  <c r="P142" i="87"/>
  <c r="X78" i="87" s="1"/>
  <c r="H762" i="96"/>
  <c r="I277" i="96"/>
  <c r="K71" i="91"/>
  <c r="I120" i="96"/>
  <c r="P138" i="87"/>
  <c r="H704" i="96"/>
  <c r="H440" i="96"/>
  <c r="H406" i="96"/>
  <c r="H401" i="96" s="1"/>
  <c r="G574" i="96"/>
  <c r="G566" i="96" s="1"/>
  <c r="G718" i="96"/>
  <c r="G709" i="96" s="1"/>
  <c r="G240" i="96"/>
  <c r="G457" i="96"/>
  <c r="G448" i="96" s="1"/>
  <c r="I110" i="91"/>
  <c r="O121" i="87"/>
  <c r="J99" i="66"/>
  <c r="H120" i="96"/>
  <c r="J90" i="91"/>
  <c r="I208" i="96"/>
  <c r="I323" i="96"/>
  <c r="I278" i="96"/>
  <c r="K72" i="91"/>
  <c r="H796" i="96"/>
  <c r="H797" i="96" s="1"/>
  <c r="U53" i="123"/>
  <c r="U55" i="123" s="1"/>
  <c r="U54" i="123" s="1"/>
  <c r="T55" i="123"/>
  <c r="T54" i="123" s="1"/>
  <c r="T30" i="123" s="1"/>
  <c r="J224" i="96"/>
  <c r="H126" i="96"/>
  <c r="H153" i="96" s="1"/>
  <c r="I53" i="123"/>
  <c r="I55" i="123" s="1"/>
  <c r="I54" i="123" s="1"/>
  <c r="Q138" i="87"/>
  <c r="G239" i="96"/>
  <c r="G241" i="96"/>
  <c r="G229" i="96"/>
  <c r="J104" i="66"/>
  <c r="H848" i="96"/>
  <c r="I100" i="102" s="1"/>
  <c r="I434" i="96"/>
  <c r="I358" i="96"/>
  <c r="H220" i="96"/>
  <c r="K106" i="91"/>
  <c r="I367" i="96"/>
  <c r="I359" i="96"/>
  <c r="Q117" i="87"/>
  <c r="H121" i="96"/>
  <c r="G204" i="70"/>
  <c r="I396" i="96"/>
  <c r="I368" i="96"/>
  <c r="K73" i="91"/>
  <c r="I122" i="96"/>
  <c r="I356" i="96"/>
  <c r="I124" i="66"/>
  <c r="H171" i="70"/>
  <c r="H162" i="70"/>
  <c r="G856" i="96"/>
  <c r="H100" i="102"/>
  <c r="G234" i="96"/>
  <c r="J92" i="91"/>
  <c r="J637" i="96"/>
  <c r="H370" i="96"/>
  <c r="G231" i="96"/>
  <c r="J78" i="66"/>
  <c r="J673" i="96"/>
  <c r="J641" i="96"/>
  <c r="G665" i="96"/>
  <c r="G649" i="96" s="1"/>
  <c r="I120" i="91"/>
  <c r="O131" i="87"/>
  <c r="J130" i="66"/>
  <c r="J36" i="71"/>
  <c r="J33" i="71" s="1"/>
  <c r="I152" i="91"/>
  <c r="H701" i="96"/>
  <c r="Z245" i="96"/>
  <c r="G817" i="96"/>
  <c r="G818" i="96" s="1"/>
  <c r="I439" i="96"/>
  <c r="I361" i="96"/>
  <c r="H876" i="96"/>
  <c r="I794" i="96"/>
  <c r="V47" i="123"/>
  <c r="J98" i="102"/>
  <c r="K77" i="91"/>
  <c r="I126" i="96"/>
  <c r="H276" i="96"/>
  <c r="H208" i="96"/>
  <c r="H119" i="96"/>
  <c r="J70" i="91"/>
  <c r="G798" i="96"/>
  <c r="J97" i="91"/>
  <c r="P108" i="87"/>
  <c r="I114" i="66"/>
  <c r="I397" i="96"/>
  <c r="I722" i="96"/>
  <c r="G407" i="96"/>
  <c r="G402" i="96" s="1"/>
  <c r="I103" i="91"/>
  <c r="O114" i="87"/>
  <c r="O35" i="87"/>
  <c r="G129" i="96"/>
  <c r="G152" i="96"/>
  <c r="G287" i="96"/>
  <c r="G294" i="96"/>
  <c r="G283" i="70"/>
  <c r="G287" i="70" s="1"/>
  <c r="G291" i="70" s="1"/>
  <c r="G559" i="96"/>
  <c r="G118" i="70"/>
  <c r="G121" i="70" s="1"/>
  <c r="H706" i="96"/>
  <c r="H37" i="123"/>
  <c r="H31" i="123" s="1"/>
  <c r="G289" i="96"/>
  <c r="I41" i="123"/>
  <c r="I43" i="123" s="1"/>
  <c r="I42" i="123" s="1"/>
  <c r="Q132" i="87"/>
  <c r="G163" i="70"/>
  <c r="G157" i="96"/>
  <c r="H752" i="96"/>
  <c r="H756" i="96"/>
  <c r="J117" i="66"/>
  <c r="H452" i="96"/>
  <c r="I123" i="96"/>
  <c r="I483" i="96"/>
  <c r="I486" i="96" s="1"/>
  <c r="K74" i="91"/>
  <c r="I515" i="96"/>
  <c r="I47" i="123"/>
  <c r="I49" i="123" s="1"/>
  <c r="I48" i="123" s="1"/>
  <c r="G248" i="96"/>
  <c r="J87" i="66"/>
  <c r="Q139" i="87"/>
  <c r="L112" i="91"/>
  <c r="Y246" i="96"/>
  <c r="Y248" i="96" s="1"/>
  <c r="L113" i="91"/>
  <c r="I99" i="102"/>
  <c r="P116" i="87"/>
  <c r="H223" i="96"/>
  <c r="H246" i="96" s="1"/>
  <c r="H247" i="96" s="1"/>
  <c r="I324" i="96"/>
  <c r="G202" i="70"/>
  <c r="J93" i="66"/>
  <c r="J642" i="96"/>
  <c r="W79" i="87"/>
  <c r="X79" i="87"/>
  <c r="I223" i="91"/>
  <c r="G141" i="96"/>
  <c r="O40" i="87" s="1"/>
  <c r="G138" i="96"/>
  <c r="I222" i="91"/>
  <c r="I99" i="91"/>
  <c r="O110" i="87"/>
  <c r="J103" i="66"/>
  <c r="P101" i="87"/>
  <c r="H571" i="96"/>
  <c r="H563" i="96" s="1"/>
  <c r="J657" i="96" l="1"/>
  <c r="J96" i="66"/>
  <c r="K121" i="66"/>
  <c r="J221" i="96"/>
  <c r="J517" i="96"/>
  <c r="J638" i="96"/>
  <c r="J524" i="96"/>
  <c r="J514" i="96"/>
  <c r="J213" i="96"/>
  <c r="J210" i="96"/>
  <c r="J278" i="96"/>
  <c r="J634" i="96"/>
  <c r="J284" i="96"/>
  <c r="J645" i="96"/>
  <c r="J661" i="96" s="1"/>
  <c r="J518" i="96"/>
  <c r="H656" i="96"/>
  <c r="K222" i="96"/>
  <c r="J280" i="96"/>
  <c r="J218" i="96"/>
  <c r="L127" i="91"/>
  <c r="J640" i="96"/>
  <c r="J277" i="96"/>
  <c r="J209" i="96"/>
  <c r="L131" i="91"/>
  <c r="J676" i="96"/>
  <c r="J660" i="96" s="1"/>
  <c r="L130" i="91"/>
  <c r="J675" i="96"/>
  <c r="J659" i="96" s="1"/>
  <c r="J633" i="96"/>
  <c r="J515" i="96"/>
  <c r="K212" i="96"/>
  <c r="J639" i="96"/>
  <c r="J655" i="96" s="1"/>
  <c r="J525" i="96"/>
  <c r="J672" i="96"/>
  <c r="J722" i="96" s="1"/>
  <c r="G652" i="96"/>
  <c r="H233" i="96"/>
  <c r="H298" i="96"/>
  <c r="H299" i="96" s="1"/>
  <c r="K140" i="91"/>
  <c r="L132" i="91"/>
  <c r="P112" i="87"/>
  <c r="J125" i="91"/>
  <c r="L126" i="91"/>
  <c r="L128" i="91"/>
  <c r="J138" i="91"/>
  <c r="J140" i="91"/>
  <c r="J129" i="91"/>
  <c r="K676" i="96"/>
  <c r="K660" i="96" s="1"/>
  <c r="L644" i="96"/>
  <c r="J122" i="66"/>
  <c r="K675" i="96"/>
  <c r="K659" i="96" s="1"/>
  <c r="J121" i="66"/>
  <c r="M643" i="96"/>
  <c r="I147" i="91"/>
  <c r="Q127" i="87"/>
  <c r="G724" i="96"/>
  <c r="G715" i="96" s="1"/>
  <c r="I148" i="91"/>
  <c r="K90" i="91"/>
  <c r="K81" i="66" s="1"/>
  <c r="I281" i="96"/>
  <c r="I452" i="96"/>
  <c r="I443" i="96" s="1"/>
  <c r="I816" i="96"/>
  <c r="Y249" i="96"/>
  <c r="H713" i="96"/>
  <c r="K121" i="91"/>
  <c r="H118" i="70"/>
  <c r="G205" i="70"/>
  <c r="G206" i="70" s="1"/>
  <c r="P140" i="87"/>
  <c r="G807" i="96"/>
  <c r="G808" i="96" s="1"/>
  <c r="G712" i="96"/>
  <c r="I150" i="91"/>
  <c r="H232" i="96"/>
  <c r="U30" i="123"/>
  <c r="H295" i="96"/>
  <c r="H36" i="123"/>
  <c r="H30" i="123" s="1"/>
  <c r="H120" i="70"/>
  <c r="J452" i="96"/>
  <c r="G122" i="70"/>
  <c r="I90" i="66"/>
  <c r="K642" i="96"/>
  <c r="J484" i="96"/>
  <c r="R123" i="87"/>
  <c r="J438" i="96"/>
  <c r="G647" i="96"/>
  <c r="G164" i="70"/>
  <c r="H674" i="96"/>
  <c r="H658" i="96" s="1"/>
  <c r="H798" i="96"/>
  <c r="J323" i="96"/>
  <c r="H283" i="70"/>
  <c r="H287" i="70" s="1"/>
  <c r="H291" i="70" s="1"/>
  <c r="G719" i="96"/>
  <c r="G710" i="96" s="1"/>
  <c r="G678" i="96"/>
  <c r="G662" i="96" s="1"/>
  <c r="K673" i="96"/>
  <c r="K641" i="96"/>
  <c r="J483" i="96"/>
  <c r="J123" i="96"/>
  <c r="L74" i="91"/>
  <c r="H131" i="96"/>
  <c r="K97" i="66"/>
  <c r="H408" i="96"/>
  <c r="H403" i="96" s="1"/>
  <c r="J104" i="91"/>
  <c r="P115" i="87"/>
  <c r="K105" i="91"/>
  <c r="I440" i="96"/>
  <c r="H456" i="96"/>
  <c r="H447" i="96" s="1"/>
  <c r="P120" i="87"/>
  <c r="J109" i="91"/>
  <c r="J81" i="66"/>
  <c r="H202" i="70"/>
  <c r="P134" i="87"/>
  <c r="H646" i="96"/>
  <c r="H703" i="96"/>
  <c r="H705" i="96" s="1"/>
  <c r="H289" i="96"/>
  <c r="K83" i="66"/>
  <c r="H119" i="70"/>
  <c r="R137" i="87"/>
  <c r="Q149" i="87"/>
  <c r="V53" i="123"/>
  <c r="I796" i="96"/>
  <c r="H230" i="96"/>
  <c r="J439" i="96"/>
  <c r="J361" i="96"/>
  <c r="K85" i="91"/>
  <c r="H204" i="70"/>
  <c r="R101" i="87"/>
  <c r="G445" i="96"/>
  <c r="G458" i="96"/>
  <c r="G449" i="96" s="1"/>
  <c r="J357" i="96"/>
  <c r="J398" i="96"/>
  <c r="G296" i="96"/>
  <c r="K78" i="66"/>
  <c r="G758" i="96"/>
  <c r="K97" i="91"/>
  <c r="Q108" i="87"/>
  <c r="K138" i="91"/>
  <c r="H670" i="96"/>
  <c r="H654" i="96" s="1"/>
  <c r="P136" i="87"/>
  <c r="K119" i="66"/>
  <c r="I701" i="96"/>
  <c r="H753" i="96"/>
  <c r="H668" i="96"/>
  <c r="H721" i="96" s="1"/>
  <c r="I702" i="96"/>
  <c r="H231" i="96"/>
  <c r="R103" i="87"/>
  <c r="L92" i="91"/>
  <c r="G34" i="70"/>
  <c r="H816" i="96"/>
  <c r="H806" i="96" s="1"/>
  <c r="H152" i="96"/>
  <c r="H129" i="96"/>
  <c r="H294" i="96"/>
  <c r="H287" i="96"/>
  <c r="K637" i="96"/>
  <c r="I362" i="96"/>
  <c r="I363" i="96" s="1"/>
  <c r="Q116" i="87"/>
  <c r="K224" i="96"/>
  <c r="P149" i="87"/>
  <c r="H203" i="70"/>
  <c r="R107" i="87"/>
  <c r="L96" i="91"/>
  <c r="I71" i="102"/>
  <c r="I101" i="66"/>
  <c r="J324" i="96"/>
  <c r="J34" i="71"/>
  <c r="Q101" i="87"/>
  <c r="I876" i="96"/>
  <c r="J396" i="96"/>
  <c r="J356" i="96"/>
  <c r="J122" i="96"/>
  <c r="J368" i="96"/>
  <c r="L73" i="91"/>
  <c r="L139" i="91"/>
  <c r="G33" i="70"/>
  <c r="J53" i="123"/>
  <c r="J55" i="123" s="1"/>
  <c r="J54" i="123" s="1"/>
  <c r="R138" i="87"/>
  <c r="J100" i="91"/>
  <c r="P111" i="87"/>
  <c r="Q96" i="87"/>
  <c r="Q83" i="87" s="1"/>
  <c r="J93" i="91"/>
  <c r="P104" i="87"/>
  <c r="I878" i="96"/>
  <c r="I877" i="96" s="1"/>
  <c r="H163" i="70"/>
  <c r="I70" i="102"/>
  <c r="H234" i="96"/>
  <c r="I36" i="123"/>
  <c r="I30" i="123" s="1"/>
  <c r="I31" i="123"/>
  <c r="H290" i="96"/>
  <c r="H718" i="96"/>
  <c r="J94" i="91"/>
  <c r="P105" i="87"/>
  <c r="M113" i="91"/>
  <c r="M112" i="91"/>
  <c r="H443" i="96"/>
  <c r="K112" i="66"/>
  <c r="I406" i="96"/>
  <c r="I401" i="96" s="1"/>
  <c r="H248" i="96"/>
  <c r="G292" i="96"/>
  <c r="G130" i="96"/>
  <c r="I94" i="66"/>
  <c r="J88" i="66"/>
  <c r="J70" i="66"/>
  <c r="V49" i="123"/>
  <c r="V48" i="123" s="1"/>
  <c r="I111" i="66"/>
  <c r="R139" i="87"/>
  <c r="J83" i="66"/>
  <c r="J41" i="123"/>
  <c r="J43" i="123" s="1"/>
  <c r="J42" i="123" s="1"/>
  <c r="L87" i="91"/>
  <c r="R98" i="87"/>
  <c r="K102" i="91"/>
  <c r="G238" i="96"/>
  <c r="I704" i="96"/>
  <c r="I713" i="96" s="1"/>
  <c r="H240" i="96"/>
  <c r="R119" i="87"/>
  <c r="L108" i="91"/>
  <c r="J437" i="96"/>
  <c r="J360" i="96"/>
  <c r="K677" i="96"/>
  <c r="K671" i="96"/>
  <c r="U31" i="123"/>
  <c r="G211" i="70"/>
  <c r="I571" i="96"/>
  <c r="I563" i="96" s="1"/>
  <c r="H291" i="96"/>
  <c r="G212" i="70"/>
  <c r="I121" i="96"/>
  <c r="I325" i="96"/>
  <c r="I326" i="96" s="1"/>
  <c r="I327" i="96" s="1"/>
  <c r="Q112" i="87"/>
  <c r="K101" i="91"/>
  <c r="Z246" i="96"/>
  <c r="Z248" i="96" s="1"/>
  <c r="H236" i="96"/>
  <c r="K104" i="66"/>
  <c r="I848" i="96"/>
  <c r="K103" i="66"/>
  <c r="K99" i="66"/>
  <c r="T31" i="123"/>
  <c r="H169" i="70"/>
  <c r="I202" i="70"/>
  <c r="J397" i="96"/>
  <c r="J436" i="96"/>
  <c r="J35" i="123"/>
  <c r="J555" i="96"/>
  <c r="K116" i="91"/>
  <c r="J794" i="96"/>
  <c r="W47" i="123"/>
  <c r="K98" i="102"/>
  <c r="O37" i="87"/>
  <c r="R124" i="87"/>
  <c r="J485" i="96"/>
  <c r="J118" i="66"/>
  <c r="H666" i="96"/>
  <c r="H650" i="96" s="1"/>
  <c r="J121" i="91"/>
  <c r="P132" i="87"/>
  <c r="H235" i="96"/>
  <c r="L106" i="91"/>
  <c r="J359" i="96"/>
  <c r="J367" i="96"/>
  <c r="R117" i="87"/>
  <c r="K118" i="66"/>
  <c r="J556" i="96"/>
  <c r="H239" i="96"/>
  <c r="H241" i="96"/>
  <c r="H229" i="96"/>
  <c r="H282" i="70"/>
  <c r="H286" i="70" s="1"/>
  <c r="H290" i="70" s="1"/>
  <c r="J70" i="68"/>
  <c r="H288" i="96"/>
  <c r="G409" i="96"/>
  <c r="Z247" i="96"/>
  <c r="J47" i="123"/>
  <c r="J49" i="123" s="1"/>
  <c r="J48" i="123" s="1"/>
  <c r="J666" i="96"/>
  <c r="Q113" i="87"/>
  <c r="I369" i="96"/>
  <c r="I370" i="96" s="1"/>
  <c r="J751" i="96"/>
  <c r="H242" i="96"/>
  <c r="H813" i="96"/>
  <c r="P147" i="87"/>
  <c r="X90" i="87"/>
  <c r="I276" i="96"/>
  <c r="I119" i="96"/>
  <c r="R141" i="87"/>
  <c r="G127" i="70"/>
  <c r="J123" i="91"/>
  <c r="J76" i="66"/>
  <c r="L105" i="91"/>
  <c r="J434" i="96"/>
  <c r="J358" i="96"/>
  <c r="R116" i="87"/>
  <c r="J795" i="96"/>
  <c r="G32" i="70"/>
  <c r="K672" i="96"/>
  <c r="K87" i="66"/>
  <c r="H237" i="96"/>
  <c r="L90" i="91"/>
  <c r="I98" i="66"/>
  <c r="K123" i="66"/>
  <c r="P135" i="87"/>
  <c r="H669" i="96"/>
  <c r="H653" i="96" s="1"/>
  <c r="J124" i="91"/>
  <c r="H709" i="96"/>
  <c r="J99" i="102"/>
  <c r="K117" i="66"/>
  <c r="J101" i="91"/>
  <c r="I558" i="96"/>
  <c r="I559" i="96" s="1"/>
  <c r="I700" i="96"/>
  <c r="I875" i="96"/>
  <c r="I203" i="70" l="1"/>
  <c r="J219" i="96"/>
  <c r="L121" i="66"/>
  <c r="L643" i="96"/>
  <c r="K517" i="96"/>
  <c r="K638" i="96"/>
  <c r="K524" i="96"/>
  <c r="K639" i="96"/>
  <c r="K655" i="96" s="1"/>
  <c r="K525" i="96"/>
  <c r="J281" i="96"/>
  <c r="J656" i="96"/>
  <c r="J650" i="96"/>
  <c r="K645" i="96"/>
  <c r="K661" i="96" s="1"/>
  <c r="K518" i="96"/>
  <c r="K213" i="96"/>
  <c r="K514" i="96"/>
  <c r="K221" i="96"/>
  <c r="K284" i="96"/>
  <c r="K634" i="96"/>
  <c r="K211" i="96"/>
  <c r="J225" i="96"/>
  <c r="K640" i="96"/>
  <c r="K656" i="96" s="1"/>
  <c r="L212" i="96"/>
  <c r="L123" i="96"/>
  <c r="K278" i="96"/>
  <c r="K210" i="96"/>
  <c r="K280" i="96"/>
  <c r="K218" i="96"/>
  <c r="K657" i="96"/>
  <c r="H652" i="96"/>
  <c r="J220" i="96"/>
  <c r="K633" i="96"/>
  <c r="K515" i="96"/>
  <c r="L222" i="96"/>
  <c r="K129" i="91"/>
  <c r="I674" i="96"/>
  <c r="I658" i="96" s="1"/>
  <c r="K209" i="96"/>
  <c r="K277" i="96"/>
  <c r="J276" i="96"/>
  <c r="J208" i="96"/>
  <c r="R148" i="87"/>
  <c r="M128" i="91"/>
  <c r="M126" i="91"/>
  <c r="L140" i="91"/>
  <c r="M132" i="91"/>
  <c r="K139" i="91"/>
  <c r="M131" i="91"/>
  <c r="J136" i="91"/>
  <c r="M130" i="91"/>
  <c r="M127" i="91"/>
  <c r="J142" i="91"/>
  <c r="J143" i="91"/>
  <c r="G129" i="70"/>
  <c r="K122" i="66"/>
  <c r="M644" i="96"/>
  <c r="L71" i="91"/>
  <c r="G723" i="96"/>
  <c r="G714" i="96" s="1"/>
  <c r="J369" i="96"/>
  <c r="I204" i="70"/>
  <c r="I205" i="70" s="1"/>
  <c r="J816" i="96"/>
  <c r="J815" i="96"/>
  <c r="J126" i="96"/>
  <c r="L102" i="91"/>
  <c r="L72" i="91"/>
  <c r="R96" i="87"/>
  <c r="R83" i="87" s="1"/>
  <c r="K84" i="91"/>
  <c r="L116" i="91"/>
  <c r="J486" i="96"/>
  <c r="J120" i="96"/>
  <c r="R127" i="87"/>
  <c r="H254" i="70"/>
  <c r="H712" i="96"/>
  <c r="Z249" i="96"/>
  <c r="Q140" i="87"/>
  <c r="H296" i="96"/>
  <c r="J120" i="66"/>
  <c r="H121" i="70"/>
  <c r="H122" i="70" s="1"/>
  <c r="J92" i="66"/>
  <c r="J443" i="96"/>
  <c r="J440" i="96"/>
  <c r="J114" i="66"/>
  <c r="J878" i="96"/>
  <c r="J877" i="96" s="1"/>
  <c r="K483" i="96"/>
  <c r="K123" i="96"/>
  <c r="M74" i="91"/>
  <c r="K795" i="96"/>
  <c r="L85" i="91"/>
  <c r="J702" i="96"/>
  <c r="H572" i="96"/>
  <c r="P129" i="87"/>
  <c r="J118" i="91"/>
  <c r="J225" i="91"/>
  <c r="H141" i="96"/>
  <c r="P40" i="87" s="1"/>
  <c r="H32" i="70"/>
  <c r="K438" i="96"/>
  <c r="S123" i="87"/>
  <c r="K484" i="96"/>
  <c r="N113" i="91"/>
  <c r="P145" i="87"/>
  <c r="H814" i="96"/>
  <c r="H804" i="96" s="1"/>
  <c r="J227" i="91"/>
  <c r="M90" i="91"/>
  <c r="K361" i="96"/>
  <c r="K439" i="96"/>
  <c r="M105" i="91"/>
  <c r="K452" i="96"/>
  <c r="L87" i="66"/>
  <c r="L224" i="96"/>
  <c r="K556" i="96"/>
  <c r="I813" i="96"/>
  <c r="Y90" i="87"/>
  <c r="Q147" i="87"/>
  <c r="K88" i="66"/>
  <c r="J876" i="96"/>
  <c r="K131" i="66"/>
  <c r="L117" i="66"/>
  <c r="J100" i="66"/>
  <c r="H34" i="70"/>
  <c r="J121" i="96"/>
  <c r="M106" i="91"/>
  <c r="K359" i="96"/>
  <c r="K367" i="96"/>
  <c r="S117" i="87"/>
  <c r="J571" i="96"/>
  <c r="J563" i="96" s="1"/>
  <c r="L81" i="66"/>
  <c r="K722" i="96"/>
  <c r="S107" i="87"/>
  <c r="M96" i="91"/>
  <c r="H33" i="70"/>
  <c r="J370" i="96"/>
  <c r="H720" i="96"/>
  <c r="H711" i="96" s="1"/>
  <c r="L104" i="66"/>
  <c r="J848" i="96"/>
  <c r="L77" i="91"/>
  <c r="L138" i="91"/>
  <c r="Q104" i="87"/>
  <c r="K93" i="91"/>
  <c r="J100" i="102"/>
  <c r="I849" i="96"/>
  <c r="P121" i="87"/>
  <c r="H457" i="96"/>
  <c r="H448" i="96" s="1"/>
  <c r="J110" i="91"/>
  <c r="S137" i="87"/>
  <c r="I665" i="96"/>
  <c r="L78" i="66"/>
  <c r="R132" i="87"/>
  <c r="G170" i="70"/>
  <c r="G172" i="70" s="1"/>
  <c r="G128" i="70"/>
  <c r="H454" i="96"/>
  <c r="P118" i="87"/>
  <c r="J107" i="91"/>
  <c r="K485" i="96"/>
  <c r="S124" i="87"/>
  <c r="K143" i="91"/>
  <c r="H164" i="70"/>
  <c r="L118" i="66"/>
  <c r="J704" i="96"/>
  <c r="J713" i="96" s="1"/>
  <c r="K358" i="96"/>
  <c r="K434" i="96"/>
  <c r="S116" i="87"/>
  <c r="R113" i="87"/>
  <c r="H861" i="96"/>
  <c r="H144" i="96"/>
  <c r="P43" i="87" s="1"/>
  <c r="J228" i="91"/>
  <c r="I408" i="96"/>
  <c r="I403" i="96" s="1"/>
  <c r="Q115" i="87"/>
  <c r="K104" i="91"/>
  <c r="K666" i="96"/>
  <c r="L637" i="96"/>
  <c r="H292" i="96"/>
  <c r="K323" i="96"/>
  <c r="J116" i="66"/>
  <c r="I815" i="96"/>
  <c r="I805" i="96" s="1"/>
  <c r="Q148" i="87"/>
  <c r="I669" i="96"/>
  <c r="I653" i="96" s="1"/>
  <c r="V55" i="123"/>
  <c r="V54" i="123" s="1"/>
  <c r="V30" i="123" s="1"/>
  <c r="K122" i="96"/>
  <c r="M73" i="91"/>
  <c r="K396" i="96"/>
  <c r="K356" i="96"/>
  <c r="K368" i="96"/>
  <c r="J119" i="96"/>
  <c r="J95" i="66"/>
  <c r="S139" i="87"/>
  <c r="I136" i="96"/>
  <c r="K225" i="96"/>
  <c r="S138" i="87"/>
  <c r="K53" i="123"/>
  <c r="K55" i="123" s="1"/>
  <c r="K54" i="123" s="1"/>
  <c r="G35" i="70"/>
  <c r="S119" i="87"/>
  <c r="K360" i="96"/>
  <c r="M108" i="91"/>
  <c r="K437" i="96"/>
  <c r="H803" i="96"/>
  <c r="H238" i="96"/>
  <c r="J112" i="66"/>
  <c r="X47" i="123"/>
  <c r="X49" i="123" s="1"/>
  <c r="L98" i="102"/>
  <c r="K794" i="96"/>
  <c r="W49" i="123"/>
  <c r="W48" i="123" s="1"/>
  <c r="Q105" i="87"/>
  <c r="K94" i="91"/>
  <c r="K107" i="66"/>
  <c r="R108" i="87"/>
  <c r="L97" i="91"/>
  <c r="K398" i="96"/>
  <c r="K357" i="96"/>
  <c r="I718" i="96"/>
  <c r="Q111" i="87"/>
  <c r="K100" i="91"/>
  <c r="S141" i="87"/>
  <c r="J325" i="96"/>
  <c r="J326" i="96" s="1"/>
  <c r="J327" i="96" s="1"/>
  <c r="K93" i="66"/>
  <c r="L121" i="91"/>
  <c r="L119" i="66"/>
  <c r="N112" i="91"/>
  <c r="I670" i="96"/>
  <c r="I654" i="96" s="1"/>
  <c r="K555" i="96"/>
  <c r="K35" i="123"/>
  <c r="K37" i="123" s="1"/>
  <c r="K397" i="96"/>
  <c r="I36" i="71"/>
  <c r="I33" i="71" s="1"/>
  <c r="G213" i="70"/>
  <c r="G214" i="70" s="1"/>
  <c r="P95" i="87"/>
  <c r="P72" i="87" s="1"/>
  <c r="H136" i="96"/>
  <c r="J84" i="91"/>
  <c r="J91" i="66"/>
  <c r="J95" i="91"/>
  <c r="P106" i="87"/>
  <c r="K324" i="96"/>
  <c r="I456" i="96"/>
  <c r="I447" i="96" s="1"/>
  <c r="Q120" i="87"/>
  <c r="K109" i="91"/>
  <c r="K41" i="123"/>
  <c r="K43" i="123" s="1"/>
  <c r="K42" i="123" s="1"/>
  <c r="K47" i="123"/>
  <c r="J91" i="91"/>
  <c r="P102" i="87"/>
  <c r="H137" i="96"/>
  <c r="P36" i="87" s="1"/>
  <c r="J221" i="91"/>
  <c r="K436" i="96"/>
  <c r="H862" i="96"/>
  <c r="H854" i="96" s="1"/>
  <c r="K76" i="66"/>
  <c r="L641" i="96"/>
  <c r="L642" i="96"/>
  <c r="J115" i="66"/>
  <c r="W53" i="123"/>
  <c r="W55" i="123" s="1"/>
  <c r="W54" i="123" s="1"/>
  <c r="R149" i="87"/>
  <c r="J796" i="96"/>
  <c r="K99" i="102"/>
  <c r="L96" i="66"/>
  <c r="J406" i="96"/>
  <c r="L123" i="66"/>
  <c r="K75" i="66"/>
  <c r="K75" i="68"/>
  <c r="J129" i="66"/>
  <c r="L97" i="66"/>
  <c r="J700" i="96"/>
  <c r="J558" i="96"/>
  <c r="J559" i="96" s="1"/>
  <c r="J875" i="96"/>
  <c r="J37" i="123"/>
  <c r="J31" i="123" s="1"/>
  <c r="J86" i="91"/>
  <c r="P97" i="87"/>
  <c r="K92" i="66"/>
  <c r="I35" i="71"/>
  <c r="L99" i="66"/>
  <c r="H665" i="96"/>
  <c r="H649" i="96" s="1"/>
  <c r="P131" i="87"/>
  <c r="J120" i="91"/>
  <c r="Q95" i="87"/>
  <c r="Q72" i="87" s="1"/>
  <c r="J131" i="66"/>
  <c r="J85" i="66"/>
  <c r="J84" i="66"/>
  <c r="K281" i="96"/>
  <c r="J805" i="96"/>
  <c r="J362" i="96"/>
  <c r="J363" i="96" s="1"/>
  <c r="K751" i="96"/>
  <c r="J701" i="96"/>
  <c r="H130" i="96"/>
  <c r="H143" i="96"/>
  <c r="P42" i="87" s="1"/>
  <c r="L83" i="66"/>
  <c r="H205" i="70"/>
  <c r="I797" i="96"/>
  <c r="I806" i="96"/>
  <c r="H647" i="96"/>
  <c r="K96" i="66"/>
  <c r="M87" i="91"/>
  <c r="S98" i="87"/>
  <c r="S103" i="87"/>
  <c r="M92" i="91"/>
  <c r="L103" i="66"/>
  <c r="I206" i="70" l="1"/>
  <c r="G130" i="70"/>
  <c r="K142" i="91"/>
  <c r="J71" i="102"/>
  <c r="K136" i="91"/>
  <c r="J70" i="102"/>
  <c r="N131" i="91"/>
  <c r="L676" i="96"/>
  <c r="L660" i="96" s="1"/>
  <c r="K650" i="96"/>
  <c r="L129" i="91"/>
  <c r="J674" i="96"/>
  <c r="J658" i="96" s="1"/>
  <c r="L218" i="96"/>
  <c r="L280" i="96"/>
  <c r="L210" i="96"/>
  <c r="L278" i="96"/>
  <c r="L633" i="96"/>
  <c r="L515" i="96"/>
  <c r="I649" i="96"/>
  <c r="M212" i="96"/>
  <c r="M483" i="96"/>
  <c r="N130" i="91"/>
  <c r="L675" i="96"/>
  <c r="L659" i="96" s="1"/>
  <c r="M484" i="96"/>
  <c r="L638" i="96"/>
  <c r="L517" i="96"/>
  <c r="L524" i="96"/>
  <c r="L211" i="96"/>
  <c r="L122" i="96"/>
  <c r="L639" i="96"/>
  <c r="L525" i="96"/>
  <c r="J806" i="96"/>
  <c r="K276" i="96"/>
  <c r="K208" i="96"/>
  <c r="L221" i="96"/>
  <c r="L514" i="96"/>
  <c r="L213" i="96"/>
  <c r="K219" i="96"/>
  <c r="K220" i="96"/>
  <c r="L634" i="96"/>
  <c r="L284" i="96"/>
  <c r="L209" i="96"/>
  <c r="L277" i="96"/>
  <c r="L645" i="96"/>
  <c r="L518" i="96"/>
  <c r="L640" i="96"/>
  <c r="M121" i="66"/>
  <c r="J146" i="91"/>
  <c r="M77" i="91"/>
  <c r="M140" i="91"/>
  <c r="J135" i="91"/>
  <c r="K125" i="91"/>
  <c r="J153" i="91"/>
  <c r="M139" i="91"/>
  <c r="J152" i="91"/>
  <c r="H127" i="70"/>
  <c r="M123" i="96"/>
  <c r="V31" i="123"/>
  <c r="L93" i="66"/>
  <c r="L122" i="66"/>
  <c r="L130" i="66"/>
  <c r="L34" i="71" s="1"/>
  <c r="L107" i="66"/>
  <c r="K816" i="96"/>
  <c r="K815" i="96"/>
  <c r="K805" i="96" s="1"/>
  <c r="M85" i="91"/>
  <c r="M121" i="91"/>
  <c r="S101" i="87"/>
  <c r="K126" i="96"/>
  <c r="M102" i="91"/>
  <c r="K227" i="91"/>
  <c r="K152" i="91" s="1"/>
  <c r="H817" i="96"/>
  <c r="H807" i="96" s="1"/>
  <c r="H808" i="96" s="1"/>
  <c r="S132" i="87"/>
  <c r="R140" i="87"/>
  <c r="K120" i="66"/>
  <c r="S148" i="87"/>
  <c r="J36" i="123"/>
  <c r="J30" i="123" s="1"/>
  <c r="G41" i="70"/>
  <c r="I136" i="66"/>
  <c r="G215" i="70"/>
  <c r="L359" i="96"/>
  <c r="L367" i="96"/>
  <c r="N106" i="91"/>
  <c r="T117" i="87"/>
  <c r="M452" i="96"/>
  <c r="J456" i="96"/>
  <c r="J447" i="96" s="1"/>
  <c r="R120" i="87"/>
  <c r="L109" i="91"/>
  <c r="L396" i="96"/>
  <c r="N73" i="91"/>
  <c r="L356" i="96"/>
  <c r="L368" i="96"/>
  <c r="Q106" i="87"/>
  <c r="K95" i="91"/>
  <c r="L361" i="96"/>
  <c r="L439" i="96"/>
  <c r="L143" i="91"/>
  <c r="R111" i="87"/>
  <c r="L100" i="91"/>
  <c r="H213" i="70"/>
  <c r="L131" i="66"/>
  <c r="M642" i="96"/>
  <c r="M641" i="96"/>
  <c r="M673" i="96"/>
  <c r="J134" i="66"/>
  <c r="J82" i="66"/>
  <c r="M112" i="66"/>
  <c r="J408" i="96"/>
  <c r="J403" i="96" s="1"/>
  <c r="L104" i="91"/>
  <c r="R115" i="87"/>
  <c r="H407" i="96"/>
  <c r="J103" i="91"/>
  <c r="P114" i="87"/>
  <c r="J223" i="91"/>
  <c r="H139" i="96"/>
  <c r="P38" i="87" s="1"/>
  <c r="L434" i="96"/>
  <c r="L358" i="96"/>
  <c r="P35" i="87"/>
  <c r="K36" i="123"/>
  <c r="O112" i="91"/>
  <c r="R112" i="87"/>
  <c r="W31" i="123"/>
  <c r="J203" i="70"/>
  <c r="K704" i="96"/>
  <c r="K713" i="96" s="1"/>
  <c r="L225" i="96"/>
  <c r="S113" i="87"/>
  <c r="K130" i="66"/>
  <c r="K121" i="96"/>
  <c r="I862" i="96"/>
  <c r="I854" i="96" s="1"/>
  <c r="J665" i="96"/>
  <c r="J649" i="96" s="1"/>
  <c r="K100" i="102"/>
  <c r="J849" i="96"/>
  <c r="I572" i="96"/>
  <c r="K118" i="91"/>
  <c r="Q129" i="87"/>
  <c r="K129" i="66"/>
  <c r="L436" i="96"/>
  <c r="L323" i="96"/>
  <c r="J401" i="96"/>
  <c r="J127" i="66"/>
  <c r="M397" i="96"/>
  <c r="H724" i="96"/>
  <c r="J150" i="91"/>
  <c r="H564" i="96"/>
  <c r="H565" i="96" s="1"/>
  <c r="H574" i="96"/>
  <c r="H566" i="96" s="1"/>
  <c r="L76" i="66"/>
  <c r="K486" i="96"/>
  <c r="J202" i="70"/>
  <c r="L53" i="123"/>
  <c r="L55" i="123" s="1"/>
  <c r="L54" i="123" s="1"/>
  <c r="I798" i="96"/>
  <c r="L41" i="123"/>
  <c r="L43" i="123" s="1"/>
  <c r="L42" i="123" s="1"/>
  <c r="M83" i="66"/>
  <c r="M78" i="66"/>
  <c r="K406" i="96"/>
  <c r="K401" i="96" s="1"/>
  <c r="M138" i="91"/>
  <c r="N96" i="91"/>
  <c r="T107" i="87"/>
  <c r="J204" i="70"/>
  <c r="L673" i="96"/>
  <c r="L657" i="96" s="1"/>
  <c r="L556" i="96"/>
  <c r="K100" i="66"/>
  <c r="J86" i="66"/>
  <c r="J75" i="68"/>
  <c r="J75" i="66"/>
  <c r="K120" i="96"/>
  <c r="K135" i="91"/>
  <c r="K875" i="96"/>
  <c r="K558" i="96"/>
  <c r="K559" i="96" s="1"/>
  <c r="K700" i="96"/>
  <c r="Q136" i="87"/>
  <c r="L484" i="96"/>
  <c r="T123" i="87"/>
  <c r="M438" i="96"/>
  <c r="K878" i="96"/>
  <c r="K877" i="96" s="1"/>
  <c r="M123" i="66"/>
  <c r="M795" i="96"/>
  <c r="I709" i="96"/>
  <c r="L88" i="66"/>
  <c r="K85" i="66"/>
  <c r="X48" i="123"/>
  <c r="M118" i="66"/>
  <c r="Q97" i="87"/>
  <c r="K86" i="91"/>
  <c r="R95" i="87"/>
  <c r="R72" i="87" s="1"/>
  <c r="L84" i="91"/>
  <c r="Q135" i="87"/>
  <c r="K124" i="91"/>
  <c r="L47" i="123"/>
  <c r="L49" i="123" s="1"/>
  <c r="L48" i="123" s="1"/>
  <c r="M637" i="96"/>
  <c r="H853" i="96"/>
  <c r="H864" i="96"/>
  <c r="H856" i="96" s="1"/>
  <c r="I143" i="96"/>
  <c r="Q42" i="87" s="1"/>
  <c r="I814" i="96"/>
  <c r="I804" i="96" s="1"/>
  <c r="Q145" i="87"/>
  <c r="J98" i="66"/>
  <c r="J101" i="66"/>
  <c r="J813" i="96"/>
  <c r="R147" i="87"/>
  <c r="K369" i="96"/>
  <c r="K370" i="96" s="1"/>
  <c r="T96" i="87"/>
  <c r="T83" i="87" s="1"/>
  <c r="L220" i="96"/>
  <c r="L485" i="96"/>
  <c r="T124" i="87"/>
  <c r="M103" i="66"/>
  <c r="J797" i="96"/>
  <c r="K701" i="96"/>
  <c r="R105" i="87"/>
  <c r="L94" i="91"/>
  <c r="L437" i="96"/>
  <c r="T119" i="87"/>
  <c r="L360" i="96"/>
  <c r="N108" i="91"/>
  <c r="T139" i="87"/>
  <c r="M84" i="91"/>
  <c r="S95" i="87"/>
  <c r="S72" i="87" s="1"/>
  <c r="K119" i="96"/>
  <c r="J669" i="96"/>
  <c r="J653" i="96" s="1"/>
  <c r="I861" i="96"/>
  <c r="I144" i="96"/>
  <c r="Q43" i="87" s="1"/>
  <c r="K228" i="91"/>
  <c r="K153" i="91" s="1"/>
  <c r="K49" i="123"/>
  <c r="K48" i="123" s="1"/>
  <c r="K702" i="96"/>
  <c r="M71" i="91"/>
  <c r="L438" i="96"/>
  <c r="L112" i="66"/>
  <c r="L795" i="96"/>
  <c r="R104" i="87"/>
  <c r="L93" i="91"/>
  <c r="J222" i="91"/>
  <c r="H138" i="96"/>
  <c r="J99" i="91"/>
  <c r="P110" i="87"/>
  <c r="Q35" i="87"/>
  <c r="G36" i="70"/>
  <c r="M119" i="66"/>
  <c r="S96" i="87"/>
  <c r="S83" i="87" s="1"/>
  <c r="K362" i="96"/>
  <c r="K363" i="96" s="1"/>
  <c r="K95" i="66"/>
  <c r="J133" i="66"/>
  <c r="K440" i="96"/>
  <c r="K443" i="96"/>
  <c r="G173" i="70"/>
  <c r="K120" i="91"/>
  <c r="Q131" i="87"/>
  <c r="K84" i="66"/>
  <c r="M87" i="66"/>
  <c r="J718" i="96"/>
  <c r="J709" i="96" s="1"/>
  <c r="M97" i="66"/>
  <c r="M436" i="96"/>
  <c r="L751" i="96"/>
  <c r="L324" i="96"/>
  <c r="M96" i="66"/>
  <c r="L397" i="96"/>
  <c r="L555" i="96"/>
  <c r="L35" i="123"/>
  <c r="L37" i="123" s="1"/>
  <c r="Q102" i="87"/>
  <c r="K91" i="91"/>
  <c r="I137" i="96"/>
  <c r="Q36" i="87" s="1"/>
  <c r="K221" i="91"/>
  <c r="K146" i="91" s="1"/>
  <c r="J109" i="66"/>
  <c r="S108" i="87"/>
  <c r="M97" i="91"/>
  <c r="M98" i="102"/>
  <c r="Y47" i="123"/>
  <c r="L794" i="96"/>
  <c r="H206" i="70"/>
  <c r="M72" i="91"/>
  <c r="K325" i="96"/>
  <c r="K326" i="96" s="1"/>
  <c r="K327" i="96" s="1"/>
  <c r="M101" i="91"/>
  <c r="S112" i="87"/>
  <c r="I454" i="96"/>
  <c r="Q118" i="87"/>
  <c r="K107" i="91"/>
  <c r="J111" i="66"/>
  <c r="H719" i="96"/>
  <c r="H710" i="96" s="1"/>
  <c r="H678" i="96"/>
  <c r="H662" i="96" s="1"/>
  <c r="M671" i="96"/>
  <c r="I32" i="71"/>
  <c r="I39" i="71" s="1"/>
  <c r="I42" i="71"/>
  <c r="I41" i="71" s="1"/>
  <c r="J77" i="66"/>
  <c r="M81" i="66"/>
  <c r="L101" i="91"/>
  <c r="K91" i="66"/>
  <c r="I457" i="96"/>
  <c r="I448" i="96" s="1"/>
  <c r="K110" i="91"/>
  <c r="Q121" i="87"/>
  <c r="W30" i="123"/>
  <c r="M99" i="66"/>
  <c r="K796" i="96"/>
  <c r="K806" i="96" s="1"/>
  <c r="X53" i="123"/>
  <c r="X55" i="123" s="1"/>
  <c r="X54" i="123" s="1"/>
  <c r="S149" i="87"/>
  <c r="K848" i="96"/>
  <c r="M104" i="66"/>
  <c r="H445" i="96"/>
  <c r="H458" i="96"/>
  <c r="H449" i="96" s="1"/>
  <c r="M117" i="66"/>
  <c r="K876" i="96"/>
  <c r="L398" i="96"/>
  <c r="L357" i="96"/>
  <c r="L483" i="96"/>
  <c r="N74" i="91"/>
  <c r="I803" i="96"/>
  <c r="H35" i="70"/>
  <c r="L99" i="102"/>
  <c r="H763" i="96"/>
  <c r="X89" i="87"/>
  <c r="P144" i="87"/>
  <c r="H142" i="96"/>
  <c r="J226" i="91"/>
  <c r="M672" i="96"/>
  <c r="M722" i="96" s="1"/>
  <c r="L142" i="91" l="1"/>
  <c r="K71" i="102"/>
  <c r="L281" i="96"/>
  <c r="L136" i="91"/>
  <c r="K70" i="102"/>
  <c r="M657" i="96"/>
  <c r="M437" i="96"/>
  <c r="M360" i="96"/>
  <c r="M677" i="96"/>
  <c r="M556" i="96"/>
  <c r="M361" i="96"/>
  <c r="M439" i="96"/>
  <c r="M634" i="96"/>
  <c r="M284" i="96"/>
  <c r="M324" i="96"/>
  <c r="M209" i="96"/>
  <c r="M277" i="96"/>
  <c r="M129" i="91"/>
  <c r="K674" i="96"/>
  <c r="K658" i="96" s="1"/>
  <c r="L120" i="96"/>
  <c r="L219" i="96"/>
  <c r="M218" i="96"/>
  <c r="M280" i="96"/>
  <c r="M639" i="96"/>
  <c r="M655" i="96" s="1"/>
  <c r="M525" i="96"/>
  <c r="M211" i="96"/>
  <c r="M122" i="96"/>
  <c r="M368" i="96"/>
  <c r="M396" i="96"/>
  <c r="M356" i="96"/>
  <c r="N132" i="91"/>
  <c r="L677" i="96"/>
  <c r="L661" i="96" s="1"/>
  <c r="T101" i="87"/>
  <c r="M517" i="96"/>
  <c r="M638" i="96"/>
  <c r="M524" i="96"/>
  <c r="M633" i="96"/>
  <c r="M515" i="96"/>
  <c r="N126" i="91"/>
  <c r="L671" i="96"/>
  <c r="T132" i="87"/>
  <c r="L666" i="96"/>
  <c r="L650" i="96" s="1"/>
  <c r="O130" i="91"/>
  <c r="M675" i="96"/>
  <c r="M659" i="96" s="1"/>
  <c r="M222" i="96"/>
  <c r="M640" i="96"/>
  <c r="L208" i="96"/>
  <c r="L276" i="96"/>
  <c r="L119" i="96"/>
  <c r="L125" i="91"/>
  <c r="J670" i="96"/>
  <c r="J654" i="96" s="1"/>
  <c r="M645" i="96"/>
  <c r="M518" i="96"/>
  <c r="M555" i="96"/>
  <c r="M514" i="96"/>
  <c r="M213" i="96"/>
  <c r="M751" i="96"/>
  <c r="M224" i="96"/>
  <c r="M210" i="96"/>
  <c r="M323" i="96"/>
  <c r="M278" i="96"/>
  <c r="M358" i="96"/>
  <c r="M221" i="96"/>
  <c r="M434" i="96"/>
  <c r="M357" i="96"/>
  <c r="M398" i="96"/>
  <c r="M367" i="96"/>
  <c r="M359" i="96"/>
  <c r="O131" i="91"/>
  <c r="M676" i="96"/>
  <c r="M660" i="96" s="1"/>
  <c r="L126" i="96"/>
  <c r="L121" i="96"/>
  <c r="K202" i="70"/>
  <c r="M794" i="96"/>
  <c r="M485" i="96"/>
  <c r="M486" i="96" s="1"/>
  <c r="L655" i="96"/>
  <c r="L878" i="96"/>
  <c r="L877" i="96" s="1"/>
  <c r="M93" i="66"/>
  <c r="O126" i="91"/>
  <c r="O128" i="91"/>
  <c r="O132" i="91"/>
  <c r="J148" i="91"/>
  <c r="J151" i="91"/>
  <c r="O127" i="91"/>
  <c r="N128" i="91"/>
  <c r="N119" i="66" s="1"/>
  <c r="J147" i="91"/>
  <c r="H818" i="96"/>
  <c r="O113" i="91"/>
  <c r="N122" i="66"/>
  <c r="M122" i="66"/>
  <c r="N90" i="91"/>
  <c r="N85" i="91"/>
  <c r="M76" i="66"/>
  <c r="I817" i="96"/>
  <c r="I818" i="96" s="1"/>
  <c r="N71" i="91"/>
  <c r="X30" i="123"/>
  <c r="M99" i="102"/>
  <c r="T103" i="87"/>
  <c r="L876" i="96"/>
  <c r="H129" i="70"/>
  <c r="S140" i="87"/>
  <c r="L120" i="66"/>
  <c r="L486" i="96"/>
  <c r="M130" i="66"/>
  <c r="M34" i="71" s="1"/>
  <c r="M53" i="123"/>
  <c r="M55" i="123" s="1"/>
  <c r="M54" i="123" s="1"/>
  <c r="U138" i="87"/>
  <c r="H157" i="96"/>
  <c r="P41" i="87"/>
  <c r="K797" i="96"/>
  <c r="R97" i="87"/>
  <c r="L86" i="91"/>
  <c r="U137" i="87"/>
  <c r="L135" i="91"/>
  <c r="M92" i="66"/>
  <c r="U141" i="87"/>
  <c r="N87" i="91"/>
  <c r="K111" i="66"/>
  <c r="P37" i="87"/>
  <c r="I864" i="96"/>
  <c r="I853" i="96"/>
  <c r="T106" i="87"/>
  <c r="K203" i="70"/>
  <c r="M35" i="123"/>
  <c r="N76" i="66"/>
  <c r="K572" i="96"/>
  <c r="K564" i="96" s="1"/>
  <c r="K565" i="96" s="1"/>
  <c r="S129" i="87"/>
  <c r="M118" i="91"/>
  <c r="N103" i="66"/>
  <c r="K408" i="96"/>
  <c r="K403" i="96" s="1"/>
  <c r="S115" i="87"/>
  <c r="M104" i="91"/>
  <c r="L672" i="96"/>
  <c r="L656" i="96" s="1"/>
  <c r="M100" i="91"/>
  <c r="S111" i="87"/>
  <c r="J136" i="96"/>
  <c r="L702" i="96"/>
  <c r="T113" i="87"/>
  <c r="L406" i="96"/>
  <c r="L91" i="91"/>
  <c r="R102" i="87"/>
  <c r="L221" i="91"/>
  <c r="L146" i="91" s="1"/>
  <c r="J137" i="96"/>
  <c r="R36" i="87" s="1"/>
  <c r="K30" i="123"/>
  <c r="L440" i="96"/>
  <c r="L91" i="66"/>
  <c r="H212" i="70"/>
  <c r="K86" i="66"/>
  <c r="L362" i="96"/>
  <c r="L100" i="66"/>
  <c r="L369" i="96"/>
  <c r="H757" i="96"/>
  <c r="H764" i="96"/>
  <c r="Z47" i="123"/>
  <c r="H36" i="70"/>
  <c r="U119" i="87"/>
  <c r="O108" i="91"/>
  <c r="N138" i="91"/>
  <c r="K98" i="66"/>
  <c r="L223" i="91"/>
  <c r="L148" i="91" s="1"/>
  <c r="O73" i="91"/>
  <c r="L700" i="96"/>
  <c r="L558" i="96"/>
  <c r="L875" i="96"/>
  <c r="L701" i="96"/>
  <c r="O96" i="91"/>
  <c r="U107" i="87"/>
  <c r="S127" i="87"/>
  <c r="K571" i="96"/>
  <c r="M116" i="91"/>
  <c r="L85" i="66"/>
  <c r="J861" i="96"/>
  <c r="J144" i="96"/>
  <c r="R43" i="87" s="1"/>
  <c r="L228" i="91"/>
  <c r="L153" i="91" s="1"/>
  <c r="M41" i="123"/>
  <c r="M43" i="123" s="1"/>
  <c r="M42" i="123" s="1"/>
  <c r="J803" i="96"/>
  <c r="M47" i="123"/>
  <c r="M49" i="123" s="1"/>
  <c r="M48" i="123" s="1"/>
  <c r="I720" i="96"/>
  <c r="I711" i="96" s="1"/>
  <c r="K116" i="66"/>
  <c r="U116" i="87"/>
  <c r="O105" i="91"/>
  <c r="N87" i="66"/>
  <c r="K99" i="91"/>
  <c r="K222" i="91"/>
  <c r="K147" i="91" s="1"/>
  <c r="I138" i="96"/>
  <c r="Q110" i="87"/>
  <c r="S147" i="87"/>
  <c r="K813" i="96"/>
  <c r="N117" i="66"/>
  <c r="H211" i="70"/>
  <c r="M143" i="91"/>
  <c r="J814" i="96"/>
  <c r="J804" i="96" s="1"/>
  <c r="J143" i="96"/>
  <c r="R42" i="87" s="1"/>
  <c r="L227" i="91"/>
  <c r="L152" i="91" s="1"/>
  <c r="R145" i="87"/>
  <c r="K109" i="66"/>
  <c r="U123" i="87"/>
  <c r="H402" i="96"/>
  <c r="H409" i="96"/>
  <c r="K136" i="96"/>
  <c r="U124" i="87"/>
  <c r="O74" i="91"/>
  <c r="K101" i="66"/>
  <c r="L92" i="66"/>
  <c r="K669" i="96"/>
  <c r="K653" i="96" s="1"/>
  <c r="R136" i="87"/>
  <c r="Y49" i="123"/>
  <c r="Y48" i="123" s="1"/>
  <c r="K204" i="70"/>
  <c r="K82" i="66"/>
  <c r="J90" i="66"/>
  <c r="L84" i="66"/>
  <c r="R135" i="87"/>
  <c r="L124" i="91"/>
  <c r="J798" i="96"/>
  <c r="N72" i="91"/>
  <c r="L325" i="96"/>
  <c r="L326" i="96" s="1"/>
  <c r="T98" i="87"/>
  <c r="L75" i="68"/>
  <c r="L75" i="66"/>
  <c r="X31" i="123"/>
  <c r="J454" i="96"/>
  <c r="R118" i="87"/>
  <c r="L107" i="91"/>
  <c r="J205" i="70"/>
  <c r="T141" i="87"/>
  <c r="L120" i="91"/>
  <c r="R131" i="87"/>
  <c r="N77" i="91"/>
  <c r="L796" i="96"/>
  <c r="L797" i="96" s="1"/>
  <c r="Y53" i="123"/>
  <c r="L202" i="70"/>
  <c r="J572" i="96"/>
  <c r="R129" i="87"/>
  <c r="L118" i="91"/>
  <c r="J94" i="66"/>
  <c r="O106" i="91"/>
  <c r="U117" i="87"/>
  <c r="J126" i="66"/>
  <c r="O87" i="91"/>
  <c r="U98" i="87"/>
  <c r="L100" i="102"/>
  <c r="K849" i="96"/>
  <c r="M131" i="66"/>
  <c r="S104" i="87"/>
  <c r="M93" i="91"/>
  <c r="M94" i="91"/>
  <c r="S105" i="87"/>
  <c r="I445" i="96"/>
  <c r="I458" i="96"/>
  <c r="I449" i="96" s="1"/>
  <c r="M88" i="66"/>
  <c r="L36" i="123"/>
  <c r="L31" i="123"/>
  <c r="I719" i="96"/>
  <c r="U103" i="87"/>
  <c r="O92" i="91"/>
  <c r="K133" i="66"/>
  <c r="L95" i="91"/>
  <c r="R106" i="87"/>
  <c r="M75" i="68"/>
  <c r="M75" i="66"/>
  <c r="N99" i="66"/>
  <c r="M281" i="96"/>
  <c r="I407" i="96"/>
  <c r="Q114" i="87"/>
  <c r="K103" i="91"/>
  <c r="K223" i="91"/>
  <c r="K148" i="91" s="1"/>
  <c r="I139" i="96"/>
  <c r="Q38" i="87" s="1"/>
  <c r="L848" i="96"/>
  <c r="M849" i="96" s="1"/>
  <c r="N104" i="66"/>
  <c r="J213" i="70"/>
  <c r="L129" i="66"/>
  <c r="K127" i="66"/>
  <c r="K115" i="66"/>
  <c r="K77" i="66"/>
  <c r="I763" i="96"/>
  <c r="Y89" i="87"/>
  <c r="Q144" i="87"/>
  <c r="L704" i="96"/>
  <c r="H723" i="96"/>
  <c r="H714" i="96" s="1"/>
  <c r="H715" i="96"/>
  <c r="I564" i="96"/>
  <c r="I565" i="96" s="1"/>
  <c r="I574" i="96"/>
  <c r="I566" i="96" s="1"/>
  <c r="K134" i="66"/>
  <c r="N92" i="91"/>
  <c r="M225" i="96"/>
  <c r="J457" i="96"/>
  <c r="J448" i="96" s="1"/>
  <c r="L110" i="91"/>
  <c r="R121" i="87"/>
  <c r="K31" i="123"/>
  <c r="L95" i="66"/>
  <c r="U139" i="87"/>
  <c r="T137" i="87"/>
  <c r="J862" i="96"/>
  <c r="J854" i="96" s="1"/>
  <c r="K456" i="96"/>
  <c r="K447" i="96" s="1"/>
  <c r="S120" i="87"/>
  <c r="M109" i="91"/>
  <c r="N121" i="91"/>
  <c r="N102" i="91"/>
  <c r="N97" i="66"/>
  <c r="M369" i="96" l="1"/>
  <c r="M370" i="96" s="1"/>
  <c r="N95" i="91"/>
  <c r="M142" i="91"/>
  <c r="L71" i="102"/>
  <c r="M136" i="91"/>
  <c r="L70" i="102"/>
  <c r="M406" i="96"/>
  <c r="M401" i="96" s="1"/>
  <c r="M325" i="96"/>
  <c r="M326" i="96" s="1"/>
  <c r="M125" i="91"/>
  <c r="K670" i="96"/>
  <c r="K654" i="96" s="1"/>
  <c r="M126" i="96"/>
  <c r="M656" i="96"/>
  <c r="M704" i="96"/>
  <c r="M713" i="96" s="1"/>
  <c r="M219" i="96"/>
  <c r="M120" i="96"/>
  <c r="M440" i="96"/>
  <c r="M443" i="96"/>
  <c r="M121" i="96"/>
  <c r="M661" i="96"/>
  <c r="M878" i="96"/>
  <c r="M877" i="96" s="1"/>
  <c r="M701" i="96"/>
  <c r="M362" i="96"/>
  <c r="M220" i="96"/>
  <c r="M816" i="96"/>
  <c r="M571" i="96"/>
  <c r="O121" i="91"/>
  <c r="M666" i="96"/>
  <c r="M650" i="96" s="1"/>
  <c r="M700" i="96"/>
  <c r="M875" i="96"/>
  <c r="M558" i="96"/>
  <c r="M796" i="96"/>
  <c r="M797" i="96" s="1"/>
  <c r="M276" i="96"/>
  <c r="M208" i="96"/>
  <c r="M119" i="96"/>
  <c r="M876" i="96"/>
  <c r="M702" i="96"/>
  <c r="I710" i="96"/>
  <c r="L559" i="96"/>
  <c r="K205" i="70"/>
  <c r="K206" i="70" s="1"/>
  <c r="N81" i="66"/>
  <c r="O140" i="91"/>
  <c r="N139" i="91"/>
  <c r="N127" i="91"/>
  <c r="N140" i="91"/>
  <c r="N131" i="66" s="1"/>
  <c r="I807" i="96"/>
  <c r="I808" i="96" s="1"/>
  <c r="O122" i="66"/>
  <c r="O121" i="66"/>
  <c r="N121" i="66"/>
  <c r="I213" i="70"/>
  <c r="I211" i="70"/>
  <c r="K34" i="71"/>
  <c r="U113" i="87"/>
  <c r="T149" i="87"/>
  <c r="O90" i="91"/>
  <c r="O85" i="91"/>
  <c r="O72" i="91"/>
  <c r="L674" i="96"/>
  <c r="L658" i="96" s="1"/>
  <c r="M120" i="66"/>
  <c r="H214" i="70"/>
  <c r="N112" i="66"/>
  <c r="N83" i="66"/>
  <c r="K126" i="66"/>
  <c r="K36" i="71"/>
  <c r="K33" i="71" s="1"/>
  <c r="M100" i="66"/>
  <c r="S35" i="87"/>
  <c r="T108" i="87"/>
  <c r="L99" i="91"/>
  <c r="J138" i="96"/>
  <c r="L222" i="91"/>
  <c r="L147" i="91" s="1"/>
  <c r="R110" i="87"/>
  <c r="L86" i="66"/>
  <c r="L30" i="123"/>
  <c r="M85" i="66"/>
  <c r="M84" i="66"/>
  <c r="O97" i="66"/>
  <c r="J719" i="96"/>
  <c r="J710" i="96" s="1"/>
  <c r="J206" i="70"/>
  <c r="K814" i="96"/>
  <c r="K804" i="96" s="1"/>
  <c r="M227" i="91"/>
  <c r="M152" i="91" s="1"/>
  <c r="S145" i="87"/>
  <c r="L452" i="96"/>
  <c r="N105" i="91"/>
  <c r="T116" i="87"/>
  <c r="T148" i="87"/>
  <c r="L815" i="96"/>
  <c r="L805" i="96" s="1"/>
  <c r="O104" i="66"/>
  <c r="K861" i="96"/>
  <c r="K144" i="96"/>
  <c r="S43" i="87" s="1"/>
  <c r="M228" i="91"/>
  <c r="M153" i="91" s="1"/>
  <c r="L816" i="96"/>
  <c r="L806" i="96" s="1"/>
  <c r="O71" i="91"/>
  <c r="M129" i="66"/>
  <c r="K213" i="70"/>
  <c r="K90" i="66"/>
  <c r="J817" i="96"/>
  <c r="U132" i="87"/>
  <c r="K718" i="96"/>
  <c r="K574" i="96"/>
  <c r="K566" i="96" s="1"/>
  <c r="K563" i="96"/>
  <c r="O87" i="66"/>
  <c r="L203" i="70"/>
  <c r="T147" i="87"/>
  <c r="L813" i="96"/>
  <c r="M456" i="96"/>
  <c r="M447" i="96" s="1"/>
  <c r="S136" i="87"/>
  <c r="L401" i="96"/>
  <c r="M70" i="102"/>
  <c r="M91" i="66"/>
  <c r="T138" i="87"/>
  <c r="I865" i="96"/>
  <c r="I856" i="96"/>
  <c r="I857" i="96" s="1"/>
  <c r="J763" i="96"/>
  <c r="R144" i="87"/>
  <c r="T95" i="87"/>
  <c r="T72" i="87" s="1"/>
  <c r="K798" i="96"/>
  <c r="O118" i="66"/>
  <c r="L134" i="66"/>
  <c r="S106" i="87"/>
  <c r="M95" i="91"/>
  <c r="L798" i="96"/>
  <c r="M135" i="91"/>
  <c r="L115" i="66"/>
  <c r="L116" i="66"/>
  <c r="H128" i="70"/>
  <c r="H130" i="70" s="1"/>
  <c r="L127" i="66"/>
  <c r="K803" i="96"/>
  <c r="K143" i="96"/>
  <c r="S42" i="87" s="1"/>
  <c r="O96" i="66"/>
  <c r="N123" i="66"/>
  <c r="J853" i="96"/>
  <c r="J864" i="96"/>
  <c r="M107" i="66"/>
  <c r="J407" i="96"/>
  <c r="L103" i="91"/>
  <c r="R114" i="87"/>
  <c r="J139" i="96"/>
  <c r="R38" i="87" s="1"/>
  <c r="H765" i="96"/>
  <c r="H758" i="96"/>
  <c r="L363" i="96"/>
  <c r="K457" i="96"/>
  <c r="K448" i="96" s="1"/>
  <c r="M110" i="91"/>
  <c r="S121" i="87"/>
  <c r="K454" i="96"/>
  <c r="M107" i="91"/>
  <c r="S118" i="87"/>
  <c r="S102" i="87"/>
  <c r="M91" i="91"/>
  <c r="K137" i="96"/>
  <c r="S36" i="87" s="1"/>
  <c r="M221" i="91"/>
  <c r="M146" i="91" s="1"/>
  <c r="U127" i="87"/>
  <c r="O123" i="66"/>
  <c r="O117" i="66"/>
  <c r="L77" i="66"/>
  <c r="O119" i="66"/>
  <c r="O77" i="91"/>
  <c r="M204" i="70"/>
  <c r="U149" i="87"/>
  <c r="Z53" i="123"/>
  <c r="Z55" i="123" s="1"/>
  <c r="Z54" i="123" s="1"/>
  <c r="L571" i="96"/>
  <c r="N116" i="91"/>
  <c r="T127" i="87"/>
  <c r="I757" i="96"/>
  <c r="M100" i="102"/>
  <c r="L849" i="96"/>
  <c r="I402" i="96"/>
  <c r="I409" i="96"/>
  <c r="O95" i="91"/>
  <c r="U106" i="87"/>
  <c r="L101" i="66"/>
  <c r="L669" i="96"/>
  <c r="L653" i="96" s="1"/>
  <c r="J35" i="71"/>
  <c r="L136" i="96"/>
  <c r="J564" i="96"/>
  <c r="J565" i="96" s="1"/>
  <c r="J574" i="96"/>
  <c r="J566" i="96" s="1"/>
  <c r="Y55" i="123"/>
  <c r="Y31" i="123" s="1"/>
  <c r="L111" i="66"/>
  <c r="I212" i="70"/>
  <c r="J458" i="96"/>
  <c r="J449" i="96" s="1"/>
  <c r="J445" i="96"/>
  <c r="U112" i="87"/>
  <c r="L327" i="96"/>
  <c r="O102" i="91"/>
  <c r="S97" i="87"/>
  <c r="M86" i="91"/>
  <c r="O103" i="66"/>
  <c r="U101" i="87"/>
  <c r="Q37" i="87"/>
  <c r="L133" i="66"/>
  <c r="O99" i="66"/>
  <c r="L370" i="96"/>
  <c r="L82" i="66"/>
  <c r="R35" i="87"/>
  <c r="O116" i="91"/>
  <c r="N78" i="66"/>
  <c r="N84" i="91"/>
  <c r="N93" i="66"/>
  <c r="J211" i="70"/>
  <c r="K94" i="66"/>
  <c r="O83" i="66"/>
  <c r="O78" i="66"/>
  <c r="L109" i="66"/>
  <c r="L98" i="66"/>
  <c r="U108" i="87"/>
  <c r="O97" i="91"/>
  <c r="J720" i="96"/>
  <c r="J711" i="96" s="1"/>
  <c r="L204" i="70"/>
  <c r="S135" i="87"/>
  <c r="M124" i="91"/>
  <c r="U96" i="87"/>
  <c r="U83" i="87" s="1"/>
  <c r="K862" i="96"/>
  <c r="K854" i="96" s="1"/>
  <c r="N97" i="91"/>
  <c r="N86" i="66"/>
  <c r="Z49" i="123"/>
  <c r="Z31" i="123" s="1"/>
  <c r="M95" i="66"/>
  <c r="M203" i="70"/>
  <c r="M109" i="66"/>
  <c r="M37" i="123"/>
  <c r="M31" i="123" s="1"/>
  <c r="I214" i="70" l="1"/>
  <c r="J32" i="71"/>
  <c r="J39" i="71" s="1"/>
  <c r="J42" i="71"/>
  <c r="J41" i="71" s="1"/>
  <c r="L205" i="70"/>
  <c r="O81" i="66"/>
  <c r="O112" i="66"/>
  <c r="M363" i="96"/>
  <c r="M327" i="96"/>
  <c r="L137" i="96"/>
  <c r="K665" i="96"/>
  <c r="M718" i="96"/>
  <c r="M709" i="96" s="1"/>
  <c r="M798" i="96"/>
  <c r="N125" i="91"/>
  <c r="L670" i="96"/>
  <c r="L654" i="96" s="1"/>
  <c r="O139" i="91"/>
  <c r="M815" i="96"/>
  <c r="M805" i="96" s="1"/>
  <c r="O138" i="91"/>
  <c r="M813" i="96"/>
  <c r="M803" i="96" s="1"/>
  <c r="M559" i="96"/>
  <c r="M408" i="96"/>
  <c r="M403" i="96" s="1"/>
  <c r="O129" i="91"/>
  <c r="M674" i="96"/>
  <c r="M658" i="96" s="1"/>
  <c r="N142" i="91"/>
  <c r="N136" i="91"/>
  <c r="L143" i="96"/>
  <c r="M563" i="96"/>
  <c r="M806" i="96"/>
  <c r="H215" i="70"/>
  <c r="O76" i="66"/>
  <c r="N129" i="91"/>
  <c r="O84" i="91"/>
  <c r="O75" i="68" s="1"/>
  <c r="O101" i="91"/>
  <c r="L144" i="96"/>
  <c r="T43" i="87" s="1"/>
  <c r="K817" i="96"/>
  <c r="K818" i="96" s="1"/>
  <c r="T140" i="87"/>
  <c r="U140" i="87"/>
  <c r="Y54" i="123"/>
  <c r="L665" i="96"/>
  <c r="M665" i="96"/>
  <c r="U147" i="87"/>
  <c r="M36" i="123"/>
  <c r="M30" i="123" s="1"/>
  <c r="L862" i="96"/>
  <c r="L854" i="96" s="1"/>
  <c r="N109" i="91"/>
  <c r="L456" i="96"/>
  <c r="L447" i="96" s="1"/>
  <c r="T120" i="87"/>
  <c r="M134" i="66"/>
  <c r="K720" i="96"/>
  <c r="K711" i="96" s="1"/>
  <c r="N75" i="68"/>
  <c r="N75" i="66"/>
  <c r="T105" i="87"/>
  <c r="N94" i="91"/>
  <c r="O92" i="66"/>
  <c r="T136" i="87"/>
  <c r="O93" i="66"/>
  <c r="H41" i="70"/>
  <c r="J136" i="66"/>
  <c r="J212" i="70"/>
  <c r="J214" i="70" s="1"/>
  <c r="O131" i="66"/>
  <c r="M82" i="66"/>
  <c r="K445" i="96"/>
  <c r="K458" i="96"/>
  <c r="K449" i="96" s="1"/>
  <c r="J402" i="96"/>
  <c r="J409" i="96"/>
  <c r="J865" i="96"/>
  <c r="J856" i="96"/>
  <c r="J857" i="96" s="1"/>
  <c r="N104" i="91"/>
  <c r="L408" i="96"/>
  <c r="L403" i="96" s="1"/>
  <c r="T115" i="87"/>
  <c r="N118" i="66"/>
  <c r="L814" i="96"/>
  <c r="L817" i="96" s="1"/>
  <c r="N227" i="91"/>
  <c r="N152" i="91" s="1"/>
  <c r="T42" i="87"/>
  <c r="T145" i="87"/>
  <c r="M116" i="66"/>
  <c r="U95" i="87"/>
  <c r="U72" i="87" s="1"/>
  <c r="L803" i="96"/>
  <c r="K211" i="70"/>
  <c r="R37" i="87"/>
  <c r="N88" i="66"/>
  <c r="N91" i="91"/>
  <c r="T102" i="87"/>
  <c r="T36" i="87"/>
  <c r="N221" i="91"/>
  <c r="N146" i="91" s="1"/>
  <c r="H131" i="70"/>
  <c r="K763" i="96"/>
  <c r="S144" i="87"/>
  <c r="J757" i="96"/>
  <c r="S110" i="87"/>
  <c r="K138" i="96"/>
  <c r="M222" i="91"/>
  <c r="M147" i="91" s="1"/>
  <c r="M99" i="91"/>
  <c r="M454" i="96"/>
  <c r="U111" i="87"/>
  <c r="O100" i="91"/>
  <c r="M120" i="91"/>
  <c r="S131" i="87"/>
  <c r="N130" i="66"/>
  <c r="N96" i="66"/>
  <c r="L90" i="66"/>
  <c r="K407" i="96"/>
  <c r="M103" i="91"/>
  <c r="S114" i="87"/>
  <c r="M223" i="91"/>
  <c r="K139" i="96"/>
  <c r="U148" i="87"/>
  <c r="U105" i="87"/>
  <c r="O94" i="91"/>
  <c r="Z48" i="123"/>
  <c r="Z30" i="123" s="1"/>
  <c r="O104" i="91"/>
  <c r="U115" i="87"/>
  <c r="M115" i="66"/>
  <c r="T97" i="87"/>
  <c r="N86" i="91"/>
  <c r="H170" i="70"/>
  <c r="H172" i="70" s="1"/>
  <c r="O86" i="66"/>
  <c r="L718" i="96"/>
  <c r="L709" i="96" s="1"/>
  <c r="L563" i="96"/>
  <c r="O93" i="91"/>
  <c r="U104" i="87"/>
  <c r="N135" i="91"/>
  <c r="M101" i="66"/>
  <c r="L94" i="66"/>
  <c r="L861" i="96"/>
  <c r="N228" i="91"/>
  <c r="N153" i="91" s="1"/>
  <c r="M86" i="66"/>
  <c r="L126" i="66"/>
  <c r="L36" i="71"/>
  <c r="O109" i="91"/>
  <c r="U120" i="87"/>
  <c r="J818" i="96"/>
  <c r="J807" i="96"/>
  <c r="J808" i="96" s="1"/>
  <c r="M137" i="96"/>
  <c r="U36" i="87" s="1"/>
  <c r="M133" i="66"/>
  <c r="P34" i="71"/>
  <c r="P36" i="71"/>
  <c r="P33" i="71" s="1"/>
  <c r="O88" i="66"/>
  <c r="O107" i="66"/>
  <c r="T129" i="87"/>
  <c r="L572" i="96"/>
  <c r="L564" i="96" s="1"/>
  <c r="L565" i="96" s="1"/>
  <c r="N118" i="91"/>
  <c r="T111" i="87"/>
  <c r="N100" i="91"/>
  <c r="M77" i="66"/>
  <c r="I215" i="70"/>
  <c r="T135" i="87"/>
  <c r="N124" i="91"/>
  <c r="N107" i="66"/>
  <c r="M98" i="66"/>
  <c r="T104" i="87"/>
  <c r="N93" i="91"/>
  <c r="M202" i="70"/>
  <c r="M205" i="70" s="1"/>
  <c r="L722" i="96"/>
  <c r="L713" i="96" s="1"/>
  <c r="N129" i="66"/>
  <c r="K709" i="96"/>
  <c r="K853" i="96"/>
  <c r="K864" i="96"/>
  <c r="L443" i="96"/>
  <c r="M127" i="66"/>
  <c r="M136" i="96"/>
  <c r="M669" i="96"/>
  <c r="M653" i="96" s="1"/>
  <c r="K35" i="71"/>
  <c r="K32" i="71" s="1"/>
  <c r="K39" i="71" s="1"/>
  <c r="O75" i="66" l="1"/>
  <c r="L206" i="70"/>
  <c r="K42" i="71"/>
  <c r="K41" i="71" s="1"/>
  <c r="L33" i="71"/>
  <c r="M71" i="102"/>
  <c r="N71" i="102"/>
  <c r="N70" i="102"/>
  <c r="U35" i="87"/>
  <c r="O142" i="91"/>
  <c r="M861" i="96"/>
  <c r="M144" i="96"/>
  <c r="U43" i="87" s="1"/>
  <c r="L138" i="96"/>
  <c r="L649" i="96"/>
  <c r="M445" i="96"/>
  <c r="O125" i="91"/>
  <c r="M670" i="96"/>
  <c r="M654" i="96" s="1"/>
  <c r="M572" i="96"/>
  <c r="L139" i="96"/>
  <c r="M719" i="96"/>
  <c r="M710" i="96" s="1"/>
  <c r="M649" i="96"/>
  <c r="M720" i="96"/>
  <c r="M711" i="96" s="1"/>
  <c r="O143" i="91"/>
  <c r="M862" i="96"/>
  <c r="M854" i="96" s="1"/>
  <c r="M457" i="96"/>
  <c r="M448" i="96" s="1"/>
  <c r="O136" i="91"/>
  <c r="M814" i="96"/>
  <c r="M143" i="96"/>
  <c r="U42" i="87" s="1"/>
  <c r="K649" i="96"/>
  <c r="K807" i="96"/>
  <c r="M148" i="91"/>
  <c r="N143" i="91"/>
  <c r="O227" i="91"/>
  <c r="O152" i="91" s="1"/>
  <c r="N120" i="66"/>
  <c r="O120" i="66"/>
  <c r="Y30" i="123"/>
  <c r="L818" i="96"/>
  <c r="L807" i="96"/>
  <c r="M206" i="70"/>
  <c r="K865" i="96"/>
  <c r="K856" i="96"/>
  <c r="K857" i="96" s="1"/>
  <c r="M138" i="96"/>
  <c r="N91" i="66"/>
  <c r="K212" i="70"/>
  <c r="K214" i="70" s="1"/>
  <c r="O91" i="91"/>
  <c r="U102" i="87"/>
  <c r="O221" i="91"/>
  <c r="O146" i="91" s="1"/>
  <c r="O228" i="91"/>
  <c r="O153" i="91" s="1"/>
  <c r="O84" i="66"/>
  <c r="M94" i="66"/>
  <c r="O91" i="66"/>
  <c r="K757" i="96"/>
  <c r="N127" i="66"/>
  <c r="L457" i="96"/>
  <c r="L448" i="96" s="1"/>
  <c r="T121" i="87"/>
  <c r="N110" i="91"/>
  <c r="N100" i="66"/>
  <c r="N120" i="91"/>
  <c r="T131" i="87"/>
  <c r="O134" i="66"/>
  <c r="N115" i="66"/>
  <c r="N109" i="66"/>
  <c r="L853" i="96"/>
  <c r="L864" i="96"/>
  <c r="L763" i="96"/>
  <c r="T144" i="87"/>
  <c r="L574" i="96"/>
  <c r="T112" i="87"/>
  <c r="N101" i="91"/>
  <c r="O95" i="66"/>
  <c r="O85" i="66"/>
  <c r="K402" i="96"/>
  <c r="K409" i="96"/>
  <c r="M90" i="66"/>
  <c r="M36" i="71"/>
  <c r="M126" i="66"/>
  <c r="T110" i="87"/>
  <c r="N222" i="91"/>
  <c r="N147" i="91" s="1"/>
  <c r="N99" i="91"/>
  <c r="N82" i="66"/>
  <c r="U136" i="87"/>
  <c r="K808" i="96"/>
  <c r="N116" i="66"/>
  <c r="N85" i="66"/>
  <c r="N134" i="66"/>
  <c r="U131" i="87"/>
  <c r="O120" i="91"/>
  <c r="U135" i="87"/>
  <c r="O124" i="91"/>
  <c r="O86" i="91"/>
  <c r="U97" i="87"/>
  <c r="L454" i="96"/>
  <c r="N107" i="91"/>
  <c r="T118" i="87"/>
  <c r="L720" i="96"/>
  <c r="L711" i="96" s="1"/>
  <c r="T35" i="87"/>
  <c r="O100" i="66"/>
  <c r="P35" i="71"/>
  <c r="P32" i="71" s="1"/>
  <c r="P39" i="71" s="1"/>
  <c r="H173" i="70"/>
  <c r="O110" i="91"/>
  <c r="U121" i="87"/>
  <c r="O130" i="66"/>
  <c r="O34" i="71" s="1"/>
  <c r="K719" i="96"/>
  <c r="U145" i="87"/>
  <c r="L407" i="96"/>
  <c r="T114" i="87"/>
  <c r="N103" i="91"/>
  <c r="N223" i="91"/>
  <c r="N148" i="91" s="1"/>
  <c r="O129" i="66"/>
  <c r="N84" i="66"/>
  <c r="J215" i="70"/>
  <c r="L35" i="71"/>
  <c r="L32" i="71" s="1"/>
  <c r="L39" i="71" s="1"/>
  <c r="N133" i="66"/>
  <c r="Q34" i="71"/>
  <c r="Q36" i="71"/>
  <c r="Q33" i="71" s="1"/>
  <c r="N77" i="66"/>
  <c r="N34" i="71"/>
  <c r="M111" i="66"/>
  <c r="O107" i="91"/>
  <c r="U118" i="87"/>
  <c r="S37" i="87"/>
  <c r="O118" i="91"/>
  <c r="U129" i="87"/>
  <c r="L804" i="96"/>
  <c r="N95" i="66"/>
  <c r="L42" i="71" l="1"/>
  <c r="L41" i="71" s="1"/>
  <c r="M33" i="71"/>
  <c r="M407" i="96"/>
  <c r="M139" i="96"/>
  <c r="O135" i="91"/>
  <c r="M763" i="96"/>
  <c r="M757" i="96" s="1"/>
  <c r="M458" i="96"/>
  <c r="M449" i="96" s="1"/>
  <c r="M817" i="96"/>
  <c r="M804" i="96"/>
  <c r="M564" i="96"/>
  <c r="M565" i="96" s="1"/>
  <c r="M574" i="96"/>
  <c r="M566" i="96" s="1"/>
  <c r="U37" i="87"/>
  <c r="M853" i="96"/>
  <c r="M864" i="96"/>
  <c r="K710" i="96"/>
  <c r="L808" i="96"/>
  <c r="P42" i="71"/>
  <c r="P41" i="71" s="1"/>
  <c r="M211" i="70"/>
  <c r="M213" i="70"/>
  <c r="L445" i="96"/>
  <c r="L458" i="96"/>
  <c r="O111" i="66"/>
  <c r="N90" i="66"/>
  <c r="N92" i="66"/>
  <c r="N126" i="66"/>
  <c r="L719" i="96"/>
  <c r="L710" i="96" s="1"/>
  <c r="O109" i="66"/>
  <c r="O98" i="66"/>
  <c r="L402" i="96"/>
  <c r="L409" i="96"/>
  <c r="O77" i="66"/>
  <c r="T37" i="87"/>
  <c r="L566" i="96"/>
  <c r="L865" i="96"/>
  <c r="L856" i="96"/>
  <c r="L211" i="70"/>
  <c r="N101" i="66"/>
  <c r="U144" i="87"/>
  <c r="O133" i="66"/>
  <c r="O222" i="91"/>
  <c r="O147" i="91" s="1"/>
  <c r="O99" i="91"/>
  <c r="U110" i="87"/>
  <c r="U114" i="87"/>
  <c r="O103" i="91"/>
  <c r="O223" i="91"/>
  <c r="O148" i="91" s="1"/>
  <c r="L212" i="70"/>
  <c r="O127" i="66"/>
  <c r="L213" i="70"/>
  <c r="O115" i="66"/>
  <c r="O116" i="66"/>
  <c r="L757" i="96"/>
  <c r="N111" i="66"/>
  <c r="K215" i="70"/>
  <c r="N94" i="66"/>
  <c r="O101" i="66"/>
  <c r="N98" i="66"/>
  <c r="M35" i="71"/>
  <c r="M32" i="71" s="1"/>
  <c r="M39" i="71" s="1"/>
  <c r="O82" i="66"/>
  <c r="M42" i="71" l="1"/>
  <c r="M41" i="71" s="1"/>
  <c r="M402" i="96"/>
  <c r="M409" i="96"/>
  <c r="M865" i="96"/>
  <c r="M856" i="96"/>
  <c r="M857" i="96" s="1"/>
  <c r="M818" i="96"/>
  <c r="M807" i="96"/>
  <c r="M808" i="96" s="1"/>
  <c r="L857" i="96"/>
  <c r="L449" i="96"/>
  <c r="Q35" i="71"/>
  <c r="O90" i="66"/>
  <c r="M212" i="70"/>
  <c r="M214" i="70" s="1"/>
  <c r="L214" i="70"/>
  <c r="S34" i="71"/>
  <c r="S36" i="71"/>
  <c r="S33" i="71" s="1"/>
  <c r="O94" i="66"/>
  <c r="O36" i="71"/>
  <c r="O33" i="71" s="1"/>
  <c r="O126" i="66"/>
  <c r="N36" i="71"/>
  <c r="R34" i="71"/>
  <c r="R36" i="71"/>
  <c r="R33" i="71" s="1"/>
  <c r="N35" i="71"/>
  <c r="N32" i="71" s="1"/>
  <c r="N39" i="71" s="1"/>
  <c r="N33" i="71" l="1"/>
  <c r="N42" i="71"/>
  <c r="N41" i="71" s="1"/>
  <c r="Q32" i="71"/>
  <c r="Q39" i="71" s="1"/>
  <c r="Q42" i="71"/>
  <c r="Q41" i="71" s="1"/>
  <c r="S35" i="71"/>
  <c r="S32" i="71" s="1"/>
  <c r="S39" i="71" s="1"/>
  <c r="O35" i="71"/>
  <c r="O32" i="71" s="1"/>
  <c r="O39" i="71" s="1"/>
  <c r="L215" i="70"/>
  <c r="R35" i="71"/>
  <c r="R32" i="71" s="1"/>
  <c r="R39" i="71" s="1"/>
  <c r="M215" i="70"/>
  <c r="O42" i="71" l="1"/>
  <c r="O41" i="71" s="1"/>
  <c r="S42" i="71"/>
  <c r="S41" i="71" s="1"/>
  <c r="R42" i="71"/>
  <c r="R41" i="71" s="1"/>
  <c r="I246" i="70" l="1"/>
  <c r="I636" i="96" l="1"/>
  <c r="I223" i="96"/>
  <c r="I246" i="96" s="1"/>
  <c r="I668" i="96"/>
  <c r="I678" i="96" s="1"/>
  <c r="Q134" i="87"/>
  <c r="I282" i="96"/>
  <c r="I526" i="96"/>
  <c r="K123" i="91"/>
  <c r="I124" i="96"/>
  <c r="I516" i="96"/>
  <c r="K75" i="91"/>
  <c r="K225" i="91"/>
  <c r="I141" i="96"/>
  <c r="I254" i="70"/>
  <c r="I652" i="96" l="1"/>
  <c r="I646" i="96"/>
  <c r="I703" i="96"/>
  <c r="I152" i="96"/>
  <c r="Q40" i="87"/>
  <c r="I119" i="70"/>
  <c r="I240" i="96"/>
  <c r="AA246" i="96"/>
  <c r="I721" i="96"/>
  <c r="I118" i="70"/>
  <c r="I724" i="96"/>
  <c r="I706" i="96"/>
  <c r="K150" i="91"/>
  <c r="K114" i="66"/>
  <c r="I120" i="70"/>
  <c r="I519" i="96"/>
  <c r="I520" i="96" s="1"/>
  <c r="I527" i="96"/>
  <c r="I647" i="96" l="1"/>
  <c r="I662" i="96"/>
  <c r="I723" i="96"/>
  <c r="I712" i="96"/>
  <c r="I715" i="96"/>
  <c r="I705" i="96"/>
  <c r="I121" i="70"/>
  <c r="I129" i="70"/>
  <c r="I528" i="96"/>
  <c r="I127" i="70"/>
  <c r="I714" i="96" l="1"/>
  <c r="I128" i="70"/>
  <c r="I130" i="70" s="1"/>
  <c r="I122" i="70"/>
  <c r="I131" i="70" l="1"/>
  <c r="K246" i="70" l="1"/>
  <c r="J246" i="70"/>
  <c r="M246" i="70"/>
  <c r="L246" i="70"/>
  <c r="M254" i="70"/>
  <c r="L636" i="96" l="1"/>
  <c r="L516" i="96"/>
  <c r="L519" i="96" s="1"/>
  <c r="L223" i="96"/>
  <c r="L246" i="96" s="1"/>
  <c r="L124" i="96"/>
  <c r="L526" i="96"/>
  <c r="L527" i="96" s="1"/>
  <c r="L282" i="96"/>
  <c r="J636" i="96"/>
  <c r="J516" i="96"/>
  <c r="J519" i="96" s="1"/>
  <c r="J520" i="96" s="1"/>
  <c r="J526" i="96"/>
  <c r="J527" i="96" s="1"/>
  <c r="J223" i="96"/>
  <c r="J246" i="96" s="1"/>
  <c r="J282" i="96"/>
  <c r="M516" i="96"/>
  <c r="M519" i="96" s="1"/>
  <c r="M520" i="96" s="1"/>
  <c r="M636" i="96"/>
  <c r="M223" i="96"/>
  <c r="M246" i="96" s="1"/>
  <c r="M526" i="96"/>
  <c r="M527" i="96" s="1"/>
  <c r="M124" i="96"/>
  <c r="M282" i="96"/>
  <c r="K636" i="96"/>
  <c r="K516" i="96"/>
  <c r="K519" i="96" s="1"/>
  <c r="K526" i="96"/>
  <c r="K527" i="96" s="1"/>
  <c r="K223" i="96"/>
  <c r="K246" i="96" s="1"/>
  <c r="K282" i="96"/>
  <c r="K127" i="70"/>
  <c r="J254" i="70"/>
  <c r="O75" i="91"/>
  <c r="N75" i="91"/>
  <c r="L254" i="70"/>
  <c r="J124" i="96"/>
  <c r="L75" i="91"/>
  <c r="K124" i="96"/>
  <c r="M75" i="91"/>
  <c r="K254" i="70"/>
  <c r="K668" i="96"/>
  <c r="K678" i="96" s="1"/>
  <c r="J119" i="70" l="1"/>
  <c r="K118" i="70"/>
  <c r="K652" i="96"/>
  <c r="K646" i="96"/>
  <c r="AE246" i="96"/>
  <c r="M240" i="96"/>
  <c r="J646" i="96"/>
  <c r="M703" i="96"/>
  <c r="M646" i="96"/>
  <c r="J668" i="96"/>
  <c r="J678" i="96" s="1"/>
  <c r="L668" i="96"/>
  <c r="L678" i="96" s="1"/>
  <c r="L141" i="96"/>
  <c r="M706" i="96"/>
  <c r="L528" i="96"/>
  <c r="K528" i="96"/>
  <c r="M152" i="96"/>
  <c r="J528" i="96"/>
  <c r="M668" i="96"/>
  <c r="M652" i="96" s="1"/>
  <c r="M141" i="96"/>
  <c r="U40" i="87" s="1"/>
  <c r="L520" i="96"/>
  <c r="K520" i="96"/>
  <c r="M528" i="96"/>
  <c r="L646" i="96"/>
  <c r="O123" i="91"/>
  <c r="J706" i="96"/>
  <c r="K141" i="96"/>
  <c r="S40" i="87" s="1"/>
  <c r="M225" i="91"/>
  <c r="K724" i="96" s="1"/>
  <c r="K120" i="70"/>
  <c r="K703" i="96"/>
  <c r="L225" i="91"/>
  <c r="J141" i="96"/>
  <c r="R40" i="87" s="1"/>
  <c r="K240" i="96"/>
  <c r="AC246" i="96"/>
  <c r="S134" i="87"/>
  <c r="J120" i="70"/>
  <c r="L123" i="91"/>
  <c r="T40" i="87"/>
  <c r="N225" i="91"/>
  <c r="L724" i="96" s="1"/>
  <c r="L703" i="96"/>
  <c r="T134" i="87"/>
  <c r="M118" i="70"/>
  <c r="U134" i="87"/>
  <c r="K119" i="70"/>
  <c r="J240" i="96"/>
  <c r="AB246" i="96"/>
  <c r="J152" i="96"/>
  <c r="L118" i="70"/>
  <c r="L240" i="96"/>
  <c r="AD246" i="96"/>
  <c r="M119" i="70"/>
  <c r="L119" i="70"/>
  <c r="L706" i="96"/>
  <c r="M120" i="70"/>
  <c r="K706" i="96"/>
  <c r="M123" i="91"/>
  <c r="K152" i="96"/>
  <c r="O225" i="91"/>
  <c r="J703" i="96"/>
  <c r="R134" i="87"/>
  <c r="L120" i="70"/>
  <c r="N123" i="91"/>
  <c r="L152" i="96"/>
  <c r="J118" i="70"/>
  <c r="O114" i="66" l="1"/>
  <c r="J662" i="96"/>
  <c r="J647" i="96"/>
  <c r="O150" i="91"/>
  <c r="M724" i="96"/>
  <c r="L652" i="96"/>
  <c r="J652" i="96"/>
  <c r="M705" i="96"/>
  <c r="M715" i="96"/>
  <c r="L647" i="96"/>
  <c r="L662" i="96"/>
  <c r="M721" i="96"/>
  <c r="M712" i="96" s="1"/>
  <c r="M678" i="96"/>
  <c r="M662" i="96"/>
  <c r="M647" i="96"/>
  <c r="K647" i="96"/>
  <c r="K662" i="96"/>
  <c r="N150" i="91"/>
  <c r="M150" i="91"/>
  <c r="K121" i="70"/>
  <c r="J121" i="70"/>
  <c r="L129" i="70"/>
  <c r="M114" i="66"/>
  <c r="J721" i="96"/>
  <c r="J712" i="96" s="1"/>
  <c r="K721" i="96"/>
  <c r="K712" i="96" s="1"/>
  <c r="J705" i="96"/>
  <c r="J127" i="70"/>
  <c r="K715" i="96"/>
  <c r="K705" i="96"/>
  <c r="M121" i="70"/>
  <c r="L114" i="66"/>
  <c r="K129" i="70"/>
  <c r="L715" i="96"/>
  <c r="L705" i="96"/>
  <c r="L121" i="70"/>
  <c r="M127" i="70"/>
  <c r="J129" i="70"/>
  <c r="J724" i="96"/>
  <c r="N114" i="66"/>
  <c r="M129" i="70"/>
  <c r="L127" i="70"/>
  <c r="L721" i="96"/>
  <c r="L723" i="96" s="1"/>
  <c r="L150" i="91"/>
  <c r="M723" i="96" l="1"/>
  <c r="M714" i="96" s="1"/>
  <c r="M128" i="70"/>
  <c r="M130" i="70" s="1"/>
  <c r="K723" i="96"/>
  <c r="K714" i="96" s="1"/>
  <c r="J723" i="96"/>
  <c r="K122" i="70"/>
  <c r="J122" i="70"/>
  <c r="L712" i="96"/>
  <c r="J715" i="96"/>
  <c r="L714" i="96"/>
  <c r="M122" i="70"/>
  <c r="L122" i="70"/>
  <c r="J714" i="96" l="1"/>
  <c r="K128" i="70"/>
  <c r="K130" i="70" s="1"/>
  <c r="L128" i="70"/>
  <c r="L130" i="70" s="1"/>
  <c r="M131" i="70" s="1"/>
  <c r="J128" i="70"/>
  <c r="J130" i="70" s="1"/>
  <c r="K131" i="70" l="1"/>
  <c r="L131" i="70"/>
  <c r="J131" i="70"/>
  <c r="G253" i="70" l="1"/>
  <c r="G255" i="70" s="1"/>
  <c r="O122" i="87" l="1"/>
  <c r="I224" i="91"/>
  <c r="I111" i="91"/>
  <c r="G140" i="96"/>
  <c r="H253" i="70"/>
  <c r="H255" i="70" s="1"/>
  <c r="I149" i="91" l="1"/>
  <c r="J224" i="91"/>
  <c r="J149" i="91" s="1"/>
  <c r="H140" i="96"/>
  <c r="J220" i="91"/>
  <c r="P122" i="87"/>
  <c r="J111" i="91"/>
  <c r="K224" i="91"/>
  <c r="K149" i="91" s="1"/>
  <c r="Q122" i="87"/>
  <c r="I140" i="96"/>
  <c r="K111" i="91"/>
  <c r="I145" i="91"/>
  <c r="I102" i="66"/>
  <c r="H256" i="70"/>
  <c r="O39" i="87"/>
  <c r="G160" i="96"/>
  <c r="G156" i="96"/>
  <c r="G146" i="96"/>
  <c r="O44" i="87" l="1"/>
  <c r="J145" i="91"/>
  <c r="R122" i="87"/>
  <c r="L224" i="91"/>
  <c r="L149" i="91" s="1"/>
  <c r="J140" i="96"/>
  <c r="L111" i="91"/>
  <c r="K102" i="66"/>
  <c r="H148" i="96"/>
  <c r="H156" i="96"/>
  <c r="P39" i="87"/>
  <c r="H146" i="96"/>
  <c r="H160" i="96"/>
  <c r="I156" i="96"/>
  <c r="Q39" i="87"/>
  <c r="I160" i="96"/>
  <c r="J102" i="66"/>
  <c r="L140" i="96" l="1"/>
  <c r="J202" i="69"/>
  <c r="I202" i="69"/>
  <c r="M224" i="91"/>
  <c r="M149" i="91" s="1"/>
  <c r="K140" i="96"/>
  <c r="S122" i="87"/>
  <c r="M111" i="91"/>
  <c r="H147" i="96"/>
  <c r="P44" i="87"/>
  <c r="J156" i="96"/>
  <c r="R39" i="87"/>
  <c r="J160" i="96"/>
  <c r="L102" i="66"/>
  <c r="K160" i="96" l="1"/>
  <c r="K156" i="96"/>
  <c r="T122" i="87"/>
  <c r="N224" i="91"/>
  <c r="N149" i="91" s="1"/>
  <c r="N111" i="91"/>
  <c r="M102" i="66"/>
  <c r="I136" i="69"/>
  <c r="G43" i="70"/>
  <c r="J136" i="69"/>
  <c r="H43" i="70"/>
  <c r="G42" i="70"/>
  <c r="O224" i="91" l="1"/>
  <c r="O149" i="91" s="1"/>
  <c r="M140" i="96"/>
  <c r="O111" i="91"/>
  <c r="O102" i="66" s="1"/>
  <c r="U122" i="87"/>
  <c r="G44" i="70"/>
  <c r="N102" i="66"/>
  <c r="L160" i="96"/>
  <c r="L156" i="96"/>
  <c r="H42" i="70"/>
  <c r="M156" i="96" l="1"/>
  <c r="M160" i="96"/>
  <c r="H44" i="70"/>
  <c r="H45" i="70" l="1"/>
  <c r="N141" i="87" l="1"/>
  <c r="H132" i="91"/>
  <c r="H123" i="66" s="1"/>
  <c r="F41" i="70"/>
  <c r="F254" i="70"/>
  <c r="F255" i="70" s="1"/>
  <c r="F44" i="70" l="1"/>
  <c r="F256" i="70"/>
  <c r="G256" i="70"/>
  <c r="H220" i="91"/>
  <c r="F127" i="70"/>
  <c r="F130" i="70" s="1"/>
  <c r="H136" i="66"/>
  <c r="F141" i="96"/>
  <c r="F677" i="96" l="1"/>
  <c r="H225" i="91"/>
  <c r="G148" i="96"/>
  <c r="N40" i="87"/>
  <c r="F148" i="96"/>
  <c r="F156" i="96"/>
  <c r="F146" i="96"/>
  <c r="F678" i="96"/>
  <c r="F662" i="96" s="1"/>
  <c r="G131" i="70"/>
  <c r="F131" i="70"/>
  <c r="H145" i="91"/>
  <c r="F45" i="70"/>
  <c r="G45" i="70"/>
  <c r="H150" i="91" l="1"/>
  <c r="F724" i="96"/>
  <c r="F723" i="96" s="1"/>
  <c r="F147" i="96"/>
  <c r="N44" i="87"/>
  <c r="G147" i="96"/>
  <c r="F715" i="96" l="1"/>
  <c r="F714" i="96"/>
  <c r="K245" i="70" l="1"/>
  <c r="K247" i="70" s="1"/>
  <c r="J245" i="70"/>
  <c r="J247" i="70" s="1"/>
  <c r="I245" i="70"/>
  <c r="I247" i="70" s="1"/>
  <c r="I214" i="96"/>
  <c r="I245" i="96" s="1"/>
  <c r="I247" i="96" s="1"/>
  <c r="I253" i="70"/>
  <c r="I255" i="70" s="1"/>
  <c r="J214" i="96" l="1"/>
  <c r="J245" i="96" s="1"/>
  <c r="J247" i="96" s="1"/>
  <c r="J279" i="96"/>
  <c r="K214" i="96"/>
  <c r="K245" i="96" s="1"/>
  <c r="K247" i="96" s="1"/>
  <c r="K279" i="96"/>
  <c r="J248" i="70"/>
  <c r="K248" i="70"/>
  <c r="I248" i="70"/>
  <c r="L245" i="70"/>
  <c r="L247" i="70" s="1"/>
  <c r="K97" i="102"/>
  <c r="J750" i="96"/>
  <c r="L76" i="91"/>
  <c r="J125" i="96"/>
  <c r="L70" i="91"/>
  <c r="L97" i="102"/>
  <c r="M76" i="91"/>
  <c r="K750" i="96"/>
  <c r="K125" i="96"/>
  <c r="M70" i="91"/>
  <c r="I256" i="70"/>
  <c r="J253" i="70"/>
  <c r="J255" i="70" s="1"/>
  <c r="L133" i="91"/>
  <c r="I762" i="96"/>
  <c r="K226" i="91"/>
  <c r="K220" i="91"/>
  <c r="I142" i="96"/>
  <c r="I750" i="96"/>
  <c r="J97" i="102"/>
  <c r="Q142" i="87"/>
  <c r="Y78" i="87" s="1"/>
  <c r="K133" i="91"/>
  <c r="K76" i="91"/>
  <c r="K151" i="91" s="1"/>
  <c r="I279" i="96"/>
  <c r="I125" i="96"/>
  <c r="K70" i="91"/>
  <c r="K253" i="70"/>
  <c r="K255" i="70" s="1"/>
  <c r="S142" i="87"/>
  <c r="L214" i="96" l="1"/>
  <c r="L245" i="96" s="1"/>
  <c r="L247" i="96" s="1"/>
  <c r="L125" i="96"/>
  <c r="L279" i="96"/>
  <c r="K145" i="91"/>
  <c r="L124" i="66"/>
  <c r="K752" i="96"/>
  <c r="J160" i="70"/>
  <c r="L70" i="66"/>
  <c r="J232" i="96"/>
  <c r="J234" i="96"/>
  <c r="J231" i="96"/>
  <c r="J235" i="96"/>
  <c r="J230" i="96"/>
  <c r="J237" i="96"/>
  <c r="J239" i="96"/>
  <c r="J241" i="96"/>
  <c r="J233" i="96"/>
  <c r="J248" i="96"/>
  <c r="J242" i="96"/>
  <c r="J236" i="96"/>
  <c r="AB248" i="96"/>
  <c r="AB245" i="96"/>
  <c r="AB247" i="96" s="1"/>
  <c r="J229" i="96"/>
  <c r="L142" i="96"/>
  <c r="L253" i="70"/>
  <c r="L255" i="70" s="1"/>
  <c r="L248" i="70"/>
  <c r="I160" i="70"/>
  <c r="K70" i="66"/>
  <c r="I131" i="96"/>
  <c r="I153" i="96"/>
  <c r="Q41" i="87"/>
  <c r="I129" i="96"/>
  <c r="J256" i="70"/>
  <c r="K160" i="70"/>
  <c r="M70" i="66"/>
  <c r="K241" i="96"/>
  <c r="K231" i="96"/>
  <c r="K234" i="96"/>
  <c r="K242" i="96"/>
  <c r="K233" i="96"/>
  <c r="K237" i="96"/>
  <c r="K235" i="96"/>
  <c r="K236" i="96"/>
  <c r="AC248" i="96"/>
  <c r="K232" i="96"/>
  <c r="K230" i="96"/>
  <c r="K248" i="96"/>
  <c r="K239" i="96"/>
  <c r="AC245" i="96"/>
  <c r="AC247" i="96" s="1"/>
  <c r="K229" i="96"/>
  <c r="M133" i="91"/>
  <c r="J294" i="96"/>
  <c r="J291" i="96"/>
  <c r="J290" i="96"/>
  <c r="J288" i="96"/>
  <c r="J289" i="96"/>
  <c r="J287" i="96"/>
  <c r="J298" i="96"/>
  <c r="J299" i="96" s="1"/>
  <c r="J295" i="96"/>
  <c r="M245" i="70"/>
  <c r="M247" i="70" s="1"/>
  <c r="K161" i="70"/>
  <c r="K282" i="70"/>
  <c r="M70" i="68"/>
  <c r="K153" i="96"/>
  <c r="K131" i="96"/>
  <c r="K129" i="96"/>
  <c r="J282" i="70"/>
  <c r="J161" i="70"/>
  <c r="L70" i="68"/>
  <c r="J752" i="96"/>
  <c r="K256" i="70"/>
  <c r="M226" i="91"/>
  <c r="M151" i="91" s="1"/>
  <c r="K762" i="96"/>
  <c r="K764" i="96" s="1"/>
  <c r="K142" i="96"/>
  <c r="S41" i="87" s="1"/>
  <c r="M220" i="91"/>
  <c r="I161" i="70"/>
  <c r="K70" i="68"/>
  <c r="I282" i="70"/>
  <c r="I286" i="70" s="1"/>
  <c r="I290" i="96"/>
  <c r="I289" i="96"/>
  <c r="I291" i="96"/>
  <c r="I298" i="96"/>
  <c r="I299" i="96" s="1"/>
  <c r="I288" i="96"/>
  <c r="I294" i="96"/>
  <c r="I287" i="96"/>
  <c r="I295" i="96"/>
  <c r="K124" i="66"/>
  <c r="I162" i="70"/>
  <c r="I283" i="70"/>
  <c r="I287" i="70" s="1"/>
  <c r="I232" i="96"/>
  <c r="I231" i="96"/>
  <c r="I242" i="96"/>
  <c r="I239" i="96"/>
  <c r="I237" i="96"/>
  <c r="I234" i="96"/>
  <c r="I230" i="96"/>
  <c r="I233" i="96"/>
  <c r="I236" i="96"/>
  <c r="I241" i="96"/>
  <c r="I248" i="96"/>
  <c r="I235" i="96"/>
  <c r="AA245" i="96"/>
  <c r="AA247" i="96" s="1"/>
  <c r="AA248" i="96"/>
  <c r="I229" i="96"/>
  <c r="I756" i="96"/>
  <c r="I752" i="96"/>
  <c r="I157" i="96"/>
  <c r="I148" i="96"/>
  <c r="I146" i="96"/>
  <c r="I764" i="96"/>
  <c r="I765" i="96" s="1"/>
  <c r="L226" i="91"/>
  <c r="J762" i="96"/>
  <c r="J764" i="96" s="1"/>
  <c r="J142" i="96"/>
  <c r="R41" i="87" s="1"/>
  <c r="L220" i="91"/>
  <c r="K162" i="70"/>
  <c r="K283" i="70"/>
  <c r="K291" i="96"/>
  <c r="K294" i="96"/>
  <c r="K288" i="96"/>
  <c r="K287" i="96"/>
  <c r="K289" i="96"/>
  <c r="K290" i="96"/>
  <c r="K295" i="96"/>
  <c r="K298" i="96"/>
  <c r="K299" i="96" s="1"/>
  <c r="J283" i="70"/>
  <c r="J162" i="70"/>
  <c r="J131" i="96"/>
  <c r="J153" i="96"/>
  <c r="J129" i="96"/>
  <c r="R142" i="87"/>
  <c r="N76" i="91"/>
  <c r="M97" i="102"/>
  <c r="L750" i="96"/>
  <c r="N70" i="91"/>
  <c r="T142" i="87" l="1"/>
  <c r="N133" i="91"/>
  <c r="J170" i="70"/>
  <c r="M214" i="96"/>
  <c r="M245" i="96" s="1"/>
  <c r="M247" i="96" s="1"/>
  <c r="M750" i="96"/>
  <c r="M125" i="96"/>
  <c r="M279" i="96"/>
  <c r="L129" i="96"/>
  <c r="L131" i="96"/>
  <c r="L146" i="96"/>
  <c r="L148" i="96"/>
  <c r="I296" i="96"/>
  <c r="J292" i="96"/>
  <c r="L237" i="96"/>
  <c r="L242" i="96"/>
  <c r="L241" i="96"/>
  <c r="L233" i="96"/>
  <c r="L234" i="96"/>
  <c r="L236" i="96"/>
  <c r="L231" i="96"/>
  <c r="L230" i="96"/>
  <c r="L239" i="96"/>
  <c r="L235" i="96"/>
  <c r="L248" i="96"/>
  <c r="L232" i="96"/>
  <c r="AD248" i="96"/>
  <c r="AD245" i="96"/>
  <c r="AD247" i="96" s="1"/>
  <c r="L229" i="96"/>
  <c r="L283" i="70"/>
  <c r="L162" i="70"/>
  <c r="L294" i="96"/>
  <c r="L290" i="96"/>
  <c r="L291" i="96"/>
  <c r="L289" i="96"/>
  <c r="L288" i="96"/>
  <c r="L295" i="96"/>
  <c r="L287" i="96"/>
  <c r="L298" i="96"/>
  <c r="L299" i="96" s="1"/>
  <c r="N124" i="66"/>
  <c r="J34" i="70"/>
  <c r="I758" i="96"/>
  <c r="I753" i="96"/>
  <c r="AA249" i="96"/>
  <c r="I33" i="70"/>
  <c r="L145" i="91"/>
  <c r="M248" i="70"/>
  <c r="L151" i="91"/>
  <c r="AC249" i="96"/>
  <c r="I169" i="70"/>
  <c r="I41" i="70"/>
  <c r="J32" i="70"/>
  <c r="L160" i="70"/>
  <c r="N70" i="66"/>
  <c r="I147" i="96"/>
  <c r="Q44" i="87"/>
  <c r="I171" i="70"/>
  <c r="K202" i="69"/>
  <c r="I43" i="70" s="1"/>
  <c r="J296" i="96"/>
  <c r="M124" i="66"/>
  <c r="L256" i="70"/>
  <c r="AB249" i="96"/>
  <c r="J163" i="70"/>
  <c r="K758" i="96"/>
  <c r="K753" i="96"/>
  <c r="L161" i="70"/>
  <c r="L282" i="70"/>
  <c r="N70" i="68"/>
  <c r="L153" i="96"/>
  <c r="J130" i="96"/>
  <c r="J171" i="70"/>
  <c r="L202" i="69"/>
  <c r="J43" i="70" s="1"/>
  <c r="K292" i="96"/>
  <c r="J157" i="96"/>
  <c r="J148" i="96"/>
  <c r="J146" i="96"/>
  <c r="I291" i="70"/>
  <c r="J287" i="70"/>
  <c r="I170" i="70"/>
  <c r="I290" i="70"/>
  <c r="J286" i="70"/>
  <c r="K148" i="96"/>
  <c r="K157" i="96"/>
  <c r="K146" i="96"/>
  <c r="J756" i="96"/>
  <c r="J33" i="70"/>
  <c r="K33" i="70"/>
  <c r="O133" i="91"/>
  <c r="M253" i="70"/>
  <c r="M255" i="70" s="1"/>
  <c r="K238" i="96"/>
  <c r="K169" i="70"/>
  <c r="K41" i="70"/>
  <c r="K163" i="70"/>
  <c r="I32" i="70"/>
  <c r="N226" i="91"/>
  <c r="N151" i="91" s="1"/>
  <c r="L762" i="96"/>
  <c r="L764" i="96" s="1"/>
  <c r="L765" i="96" s="1"/>
  <c r="N220" i="91"/>
  <c r="J238" i="96"/>
  <c r="J169" i="70"/>
  <c r="J41" i="70"/>
  <c r="K756" i="96"/>
  <c r="L752" i="96"/>
  <c r="K296" i="96"/>
  <c r="K34" i="70"/>
  <c r="J765" i="96"/>
  <c r="I238" i="96"/>
  <c r="I34" i="70"/>
  <c r="I292" i="96"/>
  <c r="K765" i="96"/>
  <c r="J753" i="96"/>
  <c r="J758" i="96"/>
  <c r="K130" i="96"/>
  <c r="U142" i="87"/>
  <c r="O76" i="91"/>
  <c r="O70" i="91"/>
  <c r="K32" i="70"/>
  <c r="I130" i="96"/>
  <c r="I163" i="70"/>
  <c r="M145" i="91"/>
  <c r="J42" i="70" l="1"/>
  <c r="J44" i="70" s="1"/>
  <c r="L170" i="70"/>
  <c r="M288" i="96"/>
  <c r="M153" i="96"/>
  <c r="M129" i="96"/>
  <c r="M131" i="96"/>
  <c r="L130" i="96"/>
  <c r="M752" i="96"/>
  <c r="M298" i="96"/>
  <c r="M299" i="96" s="1"/>
  <c r="M291" i="96"/>
  <c r="M290" i="96"/>
  <c r="M287" i="96"/>
  <c r="M294" i="96"/>
  <c r="M295" i="96"/>
  <c r="M289" i="96"/>
  <c r="M235" i="96"/>
  <c r="M248" i="96"/>
  <c r="M237" i="96"/>
  <c r="AE245" i="96"/>
  <c r="AE247" i="96" s="1"/>
  <c r="M231" i="96"/>
  <c r="M241" i="96"/>
  <c r="M239" i="96"/>
  <c r="M236" i="96"/>
  <c r="M233" i="96"/>
  <c r="M229" i="96"/>
  <c r="M230" i="96"/>
  <c r="M232" i="96"/>
  <c r="M242" i="96"/>
  <c r="M234" i="96"/>
  <c r="AE248" i="96"/>
  <c r="AE249" i="96" s="1"/>
  <c r="M762" i="96"/>
  <c r="M764" i="96" s="1"/>
  <c r="M142" i="96"/>
  <c r="L147" i="96"/>
  <c r="K136" i="69"/>
  <c r="K136" i="66"/>
  <c r="M136" i="66"/>
  <c r="N145" i="91"/>
  <c r="AD249" i="96"/>
  <c r="J172" i="70"/>
  <c r="L292" i="96"/>
  <c r="K35" i="70"/>
  <c r="L296" i="96"/>
  <c r="M161" i="70"/>
  <c r="M282" i="70"/>
  <c r="O70" i="68"/>
  <c r="L756" i="96"/>
  <c r="L157" i="96"/>
  <c r="O226" i="91"/>
  <c r="O151" i="91" s="1"/>
  <c r="O220" i="91"/>
  <c r="I42" i="70"/>
  <c r="I44" i="70" s="1"/>
  <c r="J291" i="70"/>
  <c r="K287" i="70"/>
  <c r="K171" i="70"/>
  <c r="M202" i="69"/>
  <c r="L169" i="70"/>
  <c r="L41" i="70"/>
  <c r="L163" i="70"/>
  <c r="J35" i="70"/>
  <c r="L171" i="70"/>
  <c r="N202" i="69"/>
  <c r="L43" i="70" s="1"/>
  <c r="L753" i="96"/>
  <c r="L758" i="96"/>
  <c r="M256" i="70"/>
  <c r="T41" i="87"/>
  <c r="I172" i="70"/>
  <c r="L34" i="70"/>
  <c r="I164" i="70"/>
  <c r="M160" i="70"/>
  <c r="O70" i="66"/>
  <c r="K164" i="70"/>
  <c r="S44" i="87"/>
  <c r="K147" i="96"/>
  <c r="J290" i="70"/>
  <c r="K286" i="70"/>
  <c r="J147" i="96"/>
  <c r="R44" i="87"/>
  <c r="L32" i="70"/>
  <c r="L136" i="69"/>
  <c r="M162" i="70"/>
  <c r="M283" i="70"/>
  <c r="O124" i="66"/>
  <c r="I35" i="70"/>
  <c r="L33" i="70"/>
  <c r="J164" i="70"/>
  <c r="L136" i="66"/>
  <c r="L238" i="96"/>
  <c r="J173" i="70" l="1"/>
  <c r="M146" i="96"/>
  <c r="M157" i="96"/>
  <c r="M148" i="96"/>
  <c r="M292" i="96"/>
  <c r="M756" i="96"/>
  <c r="S39" i="87"/>
  <c r="M765" i="96"/>
  <c r="M238" i="96"/>
  <c r="M296" i="96"/>
  <c r="M758" i="96"/>
  <c r="M753" i="96"/>
  <c r="M130" i="96"/>
  <c r="U41" i="87"/>
  <c r="N136" i="66"/>
  <c r="K36" i="70"/>
  <c r="O145" i="91"/>
  <c r="N136" i="69"/>
  <c r="J45" i="70"/>
  <c r="M171" i="70"/>
  <c r="O202" i="69"/>
  <c r="M43" i="70" s="1"/>
  <c r="L164" i="70"/>
  <c r="T44" i="87"/>
  <c r="L42" i="70"/>
  <c r="L44" i="70" s="1"/>
  <c r="M163" i="70"/>
  <c r="K291" i="70"/>
  <c r="L287" i="70"/>
  <c r="M33" i="70"/>
  <c r="N33" i="70" s="1"/>
  <c r="I36" i="70"/>
  <c r="M34" i="70"/>
  <c r="N34" i="70" s="1"/>
  <c r="K290" i="70"/>
  <c r="L286" i="70"/>
  <c r="M169" i="70"/>
  <c r="M41" i="70"/>
  <c r="I45" i="70"/>
  <c r="L172" i="70"/>
  <c r="L35" i="70"/>
  <c r="K170" i="70"/>
  <c r="K172" i="70" s="1"/>
  <c r="M32" i="70"/>
  <c r="I173" i="70"/>
  <c r="J36" i="70"/>
  <c r="K43" i="70"/>
  <c r="M136" i="69"/>
  <c r="S38" i="87" l="1"/>
  <c r="M147" i="96"/>
  <c r="U44" i="87"/>
  <c r="N43" i="70"/>
  <c r="O136" i="69"/>
  <c r="O136" i="66"/>
  <c r="M35" i="70"/>
  <c r="N32" i="70"/>
  <c r="L36" i="70"/>
  <c r="K173" i="70"/>
  <c r="L173" i="70"/>
  <c r="L290" i="70"/>
  <c r="M286" i="70"/>
  <c r="K42" i="70"/>
  <c r="N41" i="70"/>
  <c r="M170" i="70"/>
  <c r="M172" i="70" s="1"/>
  <c r="L291" i="70"/>
  <c r="M287" i="70"/>
  <c r="M164" i="70"/>
  <c r="M173" i="70" l="1"/>
  <c r="M36" i="70"/>
  <c r="M42" i="70"/>
  <c r="M44" i="70" s="1"/>
  <c r="K44" i="70"/>
  <c r="M291" i="70"/>
  <c r="M290" i="70"/>
  <c r="N42" i="70" l="1"/>
  <c r="K45" i="70"/>
  <c r="L45" i="70"/>
  <c r="M45" i="70"/>
</calcChain>
</file>

<file path=xl/comments1.xml><?xml version="1.0" encoding="utf-8"?>
<comments xmlns="http://schemas.openxmlformats.org/spreadsheetml/2006/main">
  <authors>
    <author>John Lively</author>
  </authors>
  <commentList>
    <comment ref="I54" authorId="0">
      <text>
        <r>
          <rPr>
            <sz val="12"/>
            <color indexed="81"/>
            <rFont val="Tahoma"/>
            <family val="2"/>
          </rPr>
          <t>Four 10G optical channels are transmitted on four separate fibers, so can be broken out easily. 12-fiber riboon with 4 upsrteam and 4 downstream fibers used, requires MPO connector.  This product was used in breakout mode extensively for the first several years of its life.</t>
        </r>
      </text>
    </comment>
    <comment ref="I57" authorId="0">
      <text>
        <r>
          <rPr>
            <sz val="12"/>
            <color indexed="81"/>
            <rFont val="Tahoma"/>
            <family val="2"/>
          </rPr>
          <t>Four 10G optical channels are transmitted on four separate fibers, so can be broken out easily. 12-fiber riboon with 4 upsrteam and 4 downstream fibers used, requires MPO connector.</t>
        </r>
      </text>
    </comment>
    <comment ref="I68" authorId="0">
      <text>
        <r>
          <rPr>
            <b/>
            <sz val="12"/>
            <color indexed="81"/>
            <rFont val="Tahoma"/>
            <family val="2"/>
          </rPr>
          <t>John Lively:</t>
        </r>
        <r>
          <rPr>
            <sz val="12"/>
            <color indexed="81"/>
            <rFont val="Tahoma"/>
            <family val="2"/>
          </rPr>
          <t xml:space="preserve">
Operates on MPO interface/cable with four parallel multimode optical fiber pairs (MTP12), each optical path running at 25.78 Gbps and using 850nm lasers. 10x10G optical lanes are possible but unsure if any are presented sold in this config. </t>
        </r>
      </text>
    </comment>
    <comment ref="I69" authorId="0">
      <text>
        <r>
          <rPr>
            <b/>
            <sz val="12"/>
            <color indexed="81"/>
            <rFont val="Tahoma"/>
            <family val="2"/>
          </rPr>
          <t>John Lively:</t>
        </r>
        <r>
          <rPr>
            <sz val="12"/>
            <color indexed="81"/>
            <rFont val="Tahoma"/>
            <family val="2"/>
          </rPr>
          <t xml:space="preserve">
Finisar product uses 10 parallel multimode fibers to transmit, and 10 to receive, requiring a MTO24 connector. Each fiber carries 10G signals. </t>
        </r>
      </text>
    </comment>
    <comment ref="I70" authorId="0">
      <text>
        <r>
          <rPr>
            <sz val="12"/>
            <color indexed="81"/>
            <rFont val="Tahoma"/>
            <family val="2"/>
          </rPr>
          <t>PSM4 version: Four 25G optical channels are transmitted on four separate fibers, so can be broken out easily. Uses a 12-fiber ribbon with four fibers upstream and four downstream used. MPO connector required.
SWDM4 version: dual LC connectors, can't be broken out</t>
        </r>
      </text>
    </comment>
    <comment ref="B71" authorId="0">
      <text>
        <r>
          <rPr>
            <sz val="12"/>
            <color indexed="81"/>
            <rFont val="Tahoma"/>
            <family val="2"/>
          </rPr>
          <t xml:space="preserve">This is a standard but no commercial traction. </t>
        </r>
      </text>
    </comment>
    <comment ref="I71" authorId="0">
      <text>
        <r>
          <rPr>
            <sz val="12"/>
            <color indexed="81"/>
            <rFont val="Tahoma"/>
            <family val="2"/>
          </rPr>
          <t xml:space="preserve">This is 2x50G optics with dual LC interface, using two fiber pairs. </t>
        </r>
      </text>
    </comment>
    <comment ref="B72" authorId="0">
      <text>
        <r>
          <rPr>
            <b/>
            <sz val="12"/>
            <color indexed="81"/>
            <rFont val="Tahoma"/>
            <family val="2"/>
          </rPr>
          <t>John Lively:</t>
        </r>
        <r>
          <rPr>
            <sz val="12"/>
            <color indexed="81"/>
            <rFont val="Tahoma"/>
            <family val="2"/>
          </rPr>
          <t xml:space="preserve">
Also known as SWDM4</t>
        </r>
      </text>
    </comment>
    <comment ref="I72" authorId="0">
      <text>
        <r>
          <rPr>
            <b/>
            <sz val="12"/>
            <color indexed="81"/>
            <rFont val="Tahoma"/>
            <family val="2"/>
          </rPr>
          <t>John Lively:</t>
        </r>
        <r>
          <rPr>
            <sz val="12"/>
            <color indexed="81"/>
            <rFont val="Tahoma"/>
            <family val="2"/>
          </rPr>
          <t xml:space="preserve">
Four 25G optical signals are multiplexed inside the transceiver and transmitted in WDM form on a single multimode fiber. Second fiber is receive fiber. Dual LC connector. Cannot be broken out. </t>
        </r>
      </text>
    </comment>
    <comment ref="I73" authorId="0">
      <text>
        <r>
          <rPr>
            <b/>
            <sz val="12"/>
            <color indexed="81"/>
            <rFont val="Tahoma"/>
            <family val="2"/>
          </rPr>
          <t>John Lively:</t>
        </r>
        <r>
          <rPr>
            <sz val="12"/>
            <color indexed="81"/>
            <rFont val="Tahoma"/>
            <family val="2"/>
          </rPr>
          <t xml:space="preserve">
Uses four multi-mode fibre pairs (12-fibre ribbon interface, MPO connector). The maximum reach is 300m (OM4) or 200m (OM3). Four 850nm VCSELs generate four optical 25Gbps output signals, and four PIN receivers detect 4x 25Gbps optical signals.</t>
        </r>
      </text>
    </comment>
    <comment ref="I74" authorId="0">
      <text>
        <r>
          <rPr>
            <sz val="12"/>
            <color indexed="81"/>
            <rFont val="Tahoma"/>
            <family val="2"/>
          </rPr>
          <t>Four 25G optical channels are transmitted on four separate fibers, so can be broken out easily. Uses a 12-fiber ribbon with four fibers upstream and four downstream used. MPO connector required.  LinkedIn known to be using in 2x(2x25G) breakout mode.</t>
        </r>
      </text>
    </comment>
    <comment ref="I75" authorId="0">
      <text>
        <r>
          <rPr>
            <b/>
            <sz val="12"/>
            <color indexed="81"/>
            <rFont val="Tahoma"/>
            <family val="2"/>
          </rPr>
          <t>John Lively:</t>
        </r>
        <r>
          <rPr>
            <sz val="12"/>
            <color indexed="81"/>
            <rFont val="Tahoma"/>
            <family val="2"/>
          </rPr>
          <t xml:space="preserve">
4x25G electrical signals multiplexed onto single wavelength 100G optical signal via PAM4 modulation. One transmit and one receive fiber, dual LC connector. Cannot be broken out. </t>
        </r>
      </text>
    </comment>
    <comment ref="I76" authorId="0">
      <text>
        <r>
          <rPr>
            <sz val="12"/>
            <color indexed="81"/>
            <rFont val="Tahoma"/>
            <family val="2"/>
          </rPr>
          <t xml:space="preserve">Four optical channels are muxed/demuxed onto single fiber, so can't be broken out. </t>
        </r>
      </text>
    </comment>
    <comment ref="I77" authorId="0">
      <text>
        <r>
          <rPr>
            <sz val="12"/>
            <color indexed="81"/>
            <rFont val="Tahoma"/>
            <family val="2"/>
          </rPr>
          <t xml:space="preserve">Four optical channels are muxed/demuxed onto single fiber, so can't be broken out. </t>
        </r>
      </text>
    </comment>
    <comment ref="I78" authorId="0">
      <text>
        <r>
          <rPr>
            <b/>
            <sz val="12"/>
            <color indexed="81"/>
            <rFont val="Tahoma"/>
            <family val="2"/>
          </rPr>
          <t>John Lively:</t>
        </r>
        <r>
          <rPr>
            <sz val="12"/>
            <color indexed="81"/>
            <rFont val="Tahoma"/>
            <family val="2"/>
          </rPr>
          <t xml:space="preserve">
4x25G electrical signals multiplexed onto single wavelength 100G optical signal via PAM4 modulation. One transmit and one receive fiber, dual LC connector. Cannot be broken out. </t>
        </r>
      </text>
    </comment>
    <comment ref="I79" authorId="0">
      <text>
        <r>
          <rPr>
            <b/>
            <sz val="12"/>
            <color indexed="81"/>
            <rFont val="Tahoma"/>
            <family val="2"/>
          </rPr>
          <t>John Lively:</t>
        </r>
        <r>
          <rPr>
            <sz val="12"/>
            <color indexed="81"/>
            <rFont val="Tahoma"/>
            <family val="2"/>
          </rPr>
          <t xml:space="preserve">
Operates on a pair of fibers, uses dual SC or LC interfaces, no breakout possible. </t>
        </r>
      </text>
    </comment>
    <comment ref="I80" authorId="0">
      <text>
        <r>
          <rPr>
            <sz val="12"/>
            <color indexed="81"/>
            <rFont val="Tahoma"/>
            <family val="2"/>
          </rPr>
          <t xml:space="preserve">Four optical channels are muxed/demuxed onto single fiber, so can't be broken out. </t>
        </r>
      </text>
    </comment>
    <comment ref="I81" authorId="0">
      <text>
        <r>
          <rPr>
            <b/>
            <sz val="12"/>
            <color indexed="81"/>
            <rFont val="Tahoma"/>
            <family val="2"/>
          </rPr>
          <t>John Lively:</t>
        </r>
        <r>
          <rPr>
            <sz val="12"/>
            <color indexed="81"/>
            <rFont val="Tahoma"/>
            <family val="2"/>
          </rPr>
          <t xml:space="preserve">
Operates on a pair of fibers. Four optical channels are muxed/demuxed onto single fiber, and another four in the reverse path on the second fiber. Uses dual SC or LC interfaces, no breakout possible. </t>
        </r>
      </text>
    </comment>
    <comment ref="B82" authorId="0">
      <text>
        <r>
          <rPr>
            <b/>
            <sz val="9"/>
            <color indexed="81"/>
            <rFont val="Tahoma"/>
            <family val="2"/>
          </rPr>
          <t xml:space="preserve">These are similar to CWDM4 but with FEC added for longer reach. </t>
        </r>
      </text>
    </comment>
    <comment ref="I82" authorId="0">
      <text>
        <r>
          <rPr>
            <sz val="12"/>
            <color indexed="81"/>
            <rFont val="Tahoma"/>
            <family val="2"/>
          </rPr>
          <t xml:space="preserve">Four optical channels are muxed/demuxed onto single fiber, so can't be broken out. </t>
        </r>
      </text>
    </comment>
    <comment ref="B83" authorId="0">
      <text>
        <r>
          <rPr>
            <b/>
            <sz val="9"/>
            <color indexed="81"/>
            <rFont val="Tahoma"/>
            <family val="2"/>
          </rPr>
          <t xml:space="preserve">These are similar to LR4 but with  FEC for longer reach. </t>
        </r>
      </text>
    </comment>
    <comment ref="I83" authorId="0">
      <text>
        <r>
          <rPr>
            <sz val="12"/>
            <color indexed="81"/>
            <rFont val="Tahoma"/>
            <family val="2"/>
          </rPr>
          <t xml:space="preserve">Four optical channels are muxed/demuxed onto single fiber, so can't be broken out. </t>
        </r>
      </text>
    </comment>
    <comment ref="B86" authorId="0">
      <text>
        <r>
          <rPr>
            <b/>
            <sz val="12"/>
            <color indexed="81"/>
            <rFont val="Tahoma"/>
            <family val="2"/>
          </rPr>
          <t>John Lively:</t>
        </r>
        <r>
          <rPr>
            <sz val="12"/>
            <color indexed="81"/>
            <rFont val="Tahoma"/>
            <family val="2"/>
          </rPr>
          <t xml:space="preserve">
Available in CPAK, CFP, CFP2, and QSFP28 form factors. An extension of the 4WDM standard, similar optics. Includes an SOA and FEC to extend reach in some cases. </t>
        </r>
      </text>
    </comment>
    <comment ref="I86" authorId="0">
      <text>
        <r>
          <rPr>
            <sz val="12"/>
            <color indexed="81"/>
            <rFont val="Tahoma"/>
            <family val="2"/>
          </rPr>
          <t xml:space="preserve">Four optical channels are muxed/demuxed onto single fiber, so can't be broken out. Uses two LC connectors as optical interface. </t>
        </r>
      </text>
    </comment>
    <comment ref="I87" authorId="0">
      <text>
        <r>
          <rPr>
            <sz val="12"/>
            <color indexed="81"/>
            <rFont val="Tahoma"/>
            <family val="2"/>
          </rPr>
          <t xml:space="preserve">Gigalight's product uses a 12-fiber MTP/MPO connector and multimode fiber, carrying four optical channels over four fibers downstream, and the same upstream, total of 8 fibers used. Each channel is 50G. 
 </t>
        </r>
      </text>
    </comment>
    <comment ref="I88" authorId="0">
      <text>
        <r>
          <rPr>
            <sz val="12"/>
            <color indexed="81"/>
            <rFont val="Tahoma"/>
            <family val="2"/>
          </rPr>
          <t>This module uses 16-fiber ribbon and MPO16 connectors, runs 50G on 8 downstream, 8 upstream PAM5 optical channels.</t>
        </r>
      </text>
    </comment>
    <comment ref="I89" authorId="0">
      <text>
        <r>
          <rPr>
            <b/>
            <sz val="9"/>
            <color indexed="81"/>
            <rFont val="Tahoma"/>
            <family val="2"/>
          </rPr>
          <t>The Gigalight 200G QSFP56 FR4 optical module with 2km reach uses four CWDM wavelengths (1271nm, 1291nm, 1311nm, 1331nm) and runs over dual singlemode fibers. 
ColorChip's module uses four uncooled 50 Gbps CWDM DFB lasers with integrated MUX/DeMUX, and takes dual LC connectors.</t>
        </r>
      </text>
    </comment>
    <comment ref="I90" authorId="0">
      <text>
        <r>
          <rPr>
            <sz val="12"/>
            <color indexed="81"/>
            <rFont val="Tahoma"/>
            <family val="2"/>
          </rPr>
          <t>Hisense's product multiplexes 2×CWDM4 optical lanes (8x50G lanes total).  Two pairs of CS connectors are used, allowing breakout to two 100G optical modules. The CS connector is a duplex LC connector in a smaller footprint, allowing two pairs of CS connectors to fit into one QSFP-DD form factor module.
According to Arista, the 400GBASE-2FR4 OSFP transceiver it sells supports "Breakout to 2x200G-FR4 over 2km via two pairs of duplex single mode fiber"</t>
        </r>
      </text>
    </comment>
    <comment ref="I91" authorId="0">
      <text>
        <r>
          <rPr>
            <sz val="12"/>
            <color indexed="81"/>
            <rFont val="Tahoma"/>
            <family val="2"/>
          </rPr>
          <t xml:space="preserve">This transceiver uses 12-fiber multimode ribbon design, with each of 8 active fibers transmitting and receiving 50GbE signals. Each fiber pair of the parallel interface can be broken out to connect to 100G-BiDi ports. </t>
        </r>
      </text>
    </comment>
    <comment ref="I92" authorId="0">
      <text>
        <r>
          <rPr>
            <sz val="12"/>
            <color indexed="81"/>
            <rFont val="Tahoma"/>
            <family val="2"/>
          </rPr>
          <t>Finisar QSFP-DD version uses parallel single mode fiber (SMF) using four 100G PAM4 optical lanes, per the IEEE 802.3bs 400GBASE-DR4 standard. These DR4 modules can be used in break-out applications to four 100G QSFP28 DR transceivers. Amazon is planning to use this in 4x100G breakout mode.</t>
        </r>
      </text>
    </comment>
    <comment ref="B93" authorId="0">
      <text>
        <r>
          <rPr>
            <sz val="12"/>
            <color indexed="81"/>
            <rFont val="Tahoma"/>
            <family val="2"/>
          </rPr>
          <t>FR8 is a standard, FR4 is an MSA and IEEE is working on a standard (study group mode in March 2019)</t>
        </r>
      </text>
    </comment>
    <comment ref="D93" authorId="0">
      <text>
        <r>
          <rPr>
            <b/>
            <sz val="9"/>
            <color indexed="81"/>
            <rFont val="Tahoma"/>
            <family val="2"/>
          </rPr>
          <t xml:space="preserve">Couple different MSAs here, 4x100 and 8x50
</t>
        </r>
      </text>
    </comment>
    <comment ref="I93" authorId="0">
      <text>
        <r>
          <rPr>
            <sz val="12"/>
            <color indexed="81"/>
            <rFont val="Tahoma"/>
            <family val="2"/>
          </rPr>
          <t xml:space="preserve">Could be 4x100 or 8x50G, muxed and demuxed inside the module
</t>
        </r>
      </text>
    </comment>
    <comment ref="B94" authorId="0">
      <text>
        <r>
          <rPr>
            <sz val="12"/>
            <color rgb="FF000000"/>
            <rFont val="Tahoma"/>
            <family val="2"/>
          </rPr>
          <t xml:space="preserve">LR8 is a standard
</t>
        </r>
        <r>
          <rPr>
            <sz val="12"/>
            <color rgb="FF000000"/>
            <rFont val="Tahoma"/>
            <family val="2"/>
          </rPr>
          <t xml:space="preserve">LR4 is not
</t>
        </r>
        <r>
          <rPr>
            <sz val="12"/>
            <color rgb="FF000000"/>
            <rFont val="Tahoma"/>
            <family val="2"/>
          </rPr>
          <t>Includes both LR-6 and LR-10</t>
        </r>
      </text>
    </comment>
    <comment ref="D94" authorId="0">
      <text>
        <r>
          <rPr>
            <sz val="12"/>
            <color indexed="81"/>
            <rFont val="Tahoma"/>
            <family val="2"/>
          </rPr>
          <t>Will be CFP8 initially, could move to different FF eventually.</t>
        </r>
      </text>
    </comment>
    <comment ref="I94" authorId="0">
      <text>
        <r>
          <rPr>
            <b/>
            <sz val="9"/>
            <color indexed="81"/>
            <rFont val="Tahoma"/>
            <family val="2"/>
          </rPr>
          <t>8x50G PAM4 DFB-based LAN-WDM transmitter; 16x25G electrical interface; Duplex LC receptacles</t>
        </r>
        <r>
          <rPr>
            <sz val="9"/>
            <color indexed="81"/>
            <rFont val="Tahoma"/>
            <family val="2"/>
          </rPr>
          <t xml:space="preserve">
</t>
        </r>
      </text>
    </comment>
    <comment ref="I95" authorId="0">
      <text>
        <r>
          <rPr>
            <sz val="12"/>
            <color indexed="81"/>
            <rFont val="Tahoma"/>
            <family val="2"/>
          </rPr>
          <t>This module uses 16-fiber ribbon and MPO16 connectors, runs 50G on 8 downstream, 8 upstream PAM5 optical channels.</t>
        </r>
      </text>
    </comment>
    <comment ref="D99" authorId="0">
      <text>
        <r>
          <rPr>
            <sz val="9"/>
            <color indexed="81"/>
            <rFont val="Tahoma"/>
            <family val="2"/>
          </rPr>
          <t xml:space="preserve">
PAM4 technology  (Source: https://www.neophotonics.com/pulse-amplitude-modulation/)
PAM4 at 25Gbaud is in the market today with an upgrade to 50Gbaud planned for 2019 with early system demonstrations complete. A bigger concern is that in introducing additional amplitude levels in the optical signal between full brightness and minimum brightness decreases contrast and degrades the signal to noise leading to more transmission errors. As a result, PAM4 modulation is more suitable for short distances mostly inside the data center. With more sophisticated DSP and using an amplified DWDM system architecture, PAM4 at 25Gbaud is also used to transmit 40 channels each at 100G data over 80km. These products and demonstrations clearly establish PAM4 as a good fit, given its combination of high bandwidth and moderate cost, for new intra data center and intra data center applications.
How does all of this affect the move to new 100G, 200G and 400G architectures? Just as the baud rate of the electronics used in optical communications jumped from 10 Gbaud to 25 Gbaud, it is now beginning to move to 50 Gbaud. Applying PAM4 modulation to a network with 25 Gbaud transmission provides a path to 100G Ethernet via a 2 x 2 x 25Gbaud architecture that requires two lasers instead of four lasers. Similarly PAM4 on 50G baud rate provides a path to 100G Ethernet via a 1 x 2 x 50Gbaud architecture that requires only a single laser. PAM4 at 50Gbaud rate is called single lambda 100G and is an important milestone that represents a ten-fold increase in transmission rate from the 10Gbps to 100Gbps using a single laser.
So is not surprising that the IEEE 802.3bs 400G Physical Layer task force has identified PAM4 as one of its modulation schemes for achieving 400G operation. This assumes either an 8 x 50G or 4 x 100G architecture.
Perhaps most promising, once the technology for a 4 x 100G solution has been developed for data centers is that a 1x100G version can easily be developed to replace existing PSM4 and CWDM4 100G links.
Finally, there are interim solutions achieving 200G Ethernet possible along the way to 400G. These are straightforward, applying existing PAM4 at 25Gbaud to a CWDM or PSM4 architecture.</t>
        </r>
      </text>
    </comment>
  </commentList>
</comments>
</file>

<file path=xl/comments2.xml><?xml version="1.0" encoding="utf-8"?>
<comments xmlns="http://schemas.openxmlformats.org/spreadsheetml/2006/main">
  <authors>
    <author>John Lively</author>
  </authors>
  <commentList>
    <comment ref="D13" authorId="0">
      <text>
        <r>
          <rPr>
            <b/>
            <sz val="9"/>
            <color indexed="81"/>
            <rFont val="Tahoma"/>
            <family val="2"/>
          </rPr>
          <t>Includes GBIC, certain SFF modules, and 'Other' which are no longer being produced.</t>
        </r>
      </text>
    </comment>
    <comment ref="D23" authorId="0">
      <text>
        <r>
          <rPr>
            <b/>
            <sz val="9"/>
            <color indexed="81"/>
            <rFont val="Tahoma"/>
            <family val="2"/>
          </rPr>
          <t xml:space="preserve">Includes XENPAK, X2, and 'Other' which are no longer being produced.
</t>
        </r>
      </text>
    </comment>
  </commentList>
</comments>
</file>

<file path=xl/comments3.xml><?xml version="1.0" encoding="utf-8"?>
<comments xmlns="http://schemas.openxmlformats.org/spreadsheetml/2006/main">
  <authors>
    <author>John Lively</author>
  </authors>
  <commentList>
    <comment ref="O36" authorId="0">
      <text>
        <r>
          <rPr>
            <b/>
            <sz val="9"/>
            <color rgb="FF000000"/>
            <rFont val="Tahoma"/>
            <family val="2"/>
          </rPr>
          <t>Includes both OSFP and QSFP-DD</t>
        </r>
      </text>
    </comment>
    <comment ref="O42" authorId="0">
      <text>
        <r>
          <rPr>
            <b/>
            <sz val="9"/>
            <color indexed="81"/>
            <rFont val="Tahoma"/>
            <family val="2"/>
          </rPr>
          <t>Includes both OSFP and QSFP-DD</t>
        </r>
      </text>
    </comment>
    <comment ref="O48" authorId="0">
      <text>
        <r>
          <rPr>
            <b/>
            <sz val="9"/>
            <color indexed="81"/>
            <rFont val="Tahoma"/>
            <family val="2"/>
          </rPr>
          <t>Includes both OSFP and QSFP-DD</t>
        </r>
      </text>
    </comment>
    <comment ref="O54" authorId="0">
      <text>
        <r>
          <rPr>
            <b/>
            <sz val="9"/>
            <color indexed="81"/>
            <rFont val="Tahoma"/>
            <family val="2"/>
          </rPr>
          <t>Includes both OSFP and QSFP-DD</t>
        </r>
      </text>
    </comment>
  </commentList>
</comments>
</file>

<file path=xl/sharedStrings.xml><?xml version="1.0" encoding="utf-8"?>
<sst xmlns="http://schemas.openxmlformats.org/spreadsheetml/2006/main" count="1592" uniqueCount="488">
  <si>
    <t>Forecast Methodology</t>
  </si>
  <si>
    <t xml:space="preserve">LightCounting has no vested interest in the transceiver market and does not participate in any vendor specific projects and/or consultations. </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</si>
  <si>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</si>
  <si>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</si>
  <si>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</si>
  <si>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</si>
  <si>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</si>
  <si>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</si>
  <si>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</si>
  <si>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</si>
  <si>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</si>
  <si>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</si>
  <si>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</si>
  <si>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</si>
  <si>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 xml:space="preserve">  </t>
  </si>
  <si>
    <t>Revenues</t>
  </si>
  <si>
    <t>Definition of forecast segments</t>
  </si>
  <si>
    <t>Units are devices or modules</t>
  </si>
  <si>
    <t>Shipments (devices)</t>
  </si>
  <si>
    <t>Average Selling Prices</t>
  </si>
  <si>
    <t xml:space="preserve">Total Devices </t>
  </si>
  <si>
    <t>ASPs</t>
  </si>
  <si>
    <t>Shipments</t>
  </si>
  <si>
    <t xml:space="preserve">The LightCounting optical interconnect forecast begins with historical shipment data derived from our proprietary vendor shipments database. </t>
  </si>
  <si>
    <t xml:space="preserve">are based on the results of interviews with leading vendors and other industry experts. Several 'sanity checks' are then performed to assess </t>
  </si>
  <si>
    <t>the results of the forecast, and feedback is provided from several industry participants. Final adjustments are made.</t>
  </si>
  <si>
    <t>The historical trends are extrapolated using the life-cycle model described below. The specific assumptions for each product</t>
  </si>
  <si>
    <t>Model developed by: John Lively</t>
  </si>
  <si>
    <t>Forecast Dashboard</t>
  </si>
  <si>
    <t>Revenues ($ million)</t>
  </si>
  <si>
    <t>A.S.P. ($)</t>
  </si>
  <si>
    <t>Abstract</t>
  </si>
  <si>
    <t>Reach</t>
  </si>
  <si>
    <t>Data Rate</t>
  </si>
  <si>
    <t>Form Factor</t>
  </si>
  <si>
    <t>100 m</t>
  </si>
  <si>
    <t>XENPAK/XPAK</t>
  </si>
  <si>
    <t>X2</t>
  </si>
  <si>
    <t>XFP</t>
  </si>
  <si>
    <t>CFP</t>
  </si>
  <si>
    <t>Other</t>
  </si>
  <si>
    <t>QSFP28</t>
  </si>
  <si>
    <t>300 m</t>
  </si>
  <si>
    <t>all</t>
  </si>
  <si>
    <t>SFP+</t>
  </si>
  <si>
    <t>500 m</t>
  </si>
  <si>
    <t>SFF</t>
  </si>
  <si>
    <t>SFP</t>
  </si>
  <si>
    <t>2 km</t>
  </si>
  <si>
    <t>Fast Ethernet</t>
  </si>
  <si>
    <t>All</t>
  </si>
  <si>
    <t>10 km</t>
  </si>
  <si>
    <t>GBIC/other</t>
  </si>
  <si>
    <t>XENPAK</t>
  </si>
  <si>
    <t>300-pin/XPAK</t>
  </si>
  <si>
    <t>15 km</t>
  </si>
  <si>
    <t>40 km</t>
  </si>
  <si>
    <t>300-pin/XENPAK</t>
  </si>
  <si>
    <t>80 km</t>
  </si>
  <si>
    <t>300-pin/XENPAK/X2</t>
  </si>
  <si>
    <t>G</t>
  </si>
  <si>
    <t>10G</t>
  </si>
  <si>
    <t>100G</t>
  </si>
  <si>
    <t>40G</t>
  </si>
  <si>
    <t>1G</t>
  </si>
  <si>
    <t>Lookup codes for dashboard</t>
  </si>
  <si>
    <t>&lt;== was listed under 10 km</t>
  </si>
  <si>
    <t>LightCounting Ethernet Transceivers Forecast</t>
  </si>
  <si>
    <t>Cost per Gbps</t>
  </si>
  <si>
    <t>Grand average</t>
  </si>
  <si>
    <t>&lt;10G MMF</t>
  </si>
  <si>
    <t>10G MMF</t>
  </si>
  <si>
    <t>25G MMF</t>
  </si>
  <si>
    <t>&lt;10G SMF</t>
  </si>
  <si>
    <t>10G SMF</t>
  </si>
  <si>
    <t>25G SMF</t>
  </si>
  <si>
    <t>25G</t>
  </si>
  <si>
    <t>Optical Rate 
per fiber</t>
  </si>
  <si>
    <t>All Rates</t>
  </si>
  <si>
    <t>Percent  MMF</t>
  </si>
  <si>
    <t>Percent  SMF</t>
  </si>
  <si>
    <t>10-100G Only</t>
  </si>
  <si>
    <t>100 m  100G CFP</t>
  </si>
  <si>
    <t>Shipments by data rate</t>
  </si>
  <si>
    <t>Revenues by data rate</t>
  </si>
  <si>
    <t>total new forecast</t>
  </si>
  <si>
    <t>all reaches &amp; speeds</t>
  </si>
  <si>
    <t>40G LR total</t>
  </si>
  <si>
    <t>2 km  40G (FR) CFP</t>
  </si>
  <si>
    <t>10 km 40G CFP</t>
  </si>
  <si>
    <t>40 km 40G all</t>
  </si>
  <si>
    <t>Annual growth rate</t>
  </si>
  <si>
    <t>Product forecast</t>
  </si>
  <si>
    <t>&lt;== includes XFP and others</t>
  </si>
  <si>
    <t>QSFP+</t>
  </si>
  <si>
    <t/>
  </si>
  <si>
    <t>&lt;== added in February 2015 update</t>
  </si>
  <si>
    <t>Telecom</t>
  </si>
  <si>
    <t>Product forecast - Telecom segment</t>
  </si>
  <si>
    <t>Sanity check - bandwidth growth rates</t>
  </si>
  <si>
    <t>Annual bandwidth deployed</t>
  </si>
  <si>
    <t>Cumulative bandwidth</t>
  </si>
  <si>
    <t>Cumulative bandwidth growth</t>
  </si>
  <si>
    <t>MMF</t>
  </si>
  <si>
    <t>SMF</t>
  </si>
  <si>
    <t>Shipments by segment</t>
  </si>
  <si>
    <t>Revenues by segment</t>
  </si>
  <si>
    <t>Comparison of segments</t>
  </si>
  <si>
    <t>&lt;= unit growth rate (combined total)</t>
  </si>
  <si>
    <t>Percentage splits</t>
  </si>
  <si>
    <t>Index</t>
  </si>
  <si>
    <t>Press CTRL-TAB to switch to the segment Allocation table</t>
  </si>
  <si>
    <t>(Both spreadsheets must be open)</t>
  </si>
  <si>
    <t>Total Ethernet forecast split by fiber type</t>
  </si>
  <si>
    <t>220 m</t>
  </si>
  <si>
    <t>Enterprise</t>
  </si>
  <si>
    <t>&lt;== renamed from '4xSR' in June 2015</t>
  </si>
  <si>
    <t>SFP28</t>
  </si>
  <si>
    <t>&lt;== added June 2015</t>
  </si>
  <si>
    <t>Summary - Split by major market segment</t>
  </si>
  <si>
    <t>100 m  40G MM duplex</t>
  </si>
  <si>
    <t>100 m  40G QSFP+</t>
  </si>
  <si>
    <t>500m 40G PSM4 QSFP+</t>
  </si>
  <si>
    <t>2 km 40G LR4 subspec QSFP+</t>
  </si>
  <si>
    <t>10 km  40G QSFP+</t>
  </si>
  <si>
    <t>MMF devices (100-300m)</t>
  </si>
  <si>
    <t>Standard</t>
  </si>
  <si>
    <t>Non-standard</t>
  </si>
  <si>
    <t>400G</t>
  </si>
  <si>
    <t>Application segments</t>
  </si>
  <si>
    <t xml:space="preserve">The Telecom segment is composed of traditional fixed and mobile telecommunications companies, such as AT&amp;T, BT, China Mobile, DT, Orange, NTT, Softbank, Sprint, and Verizon. </t>
  </si>
  <si>
    <t xml:space="preserve">In addition, we also include here a forecast for DWDM ports used for interconnecting the datacenters of the mega-datacenter operators. We call this segment 'Mega-DCI'. </t>
  </si>
  <si>
    <t xml:space="preserve">This definition is considerably more narrow than the 'DCI' definition used by other analyst firms, which includes ALL connections between ANY datacenter and any other entity.  </t>
  </si>
  <si>
    <t>SMF devices (0.5-10 km)</t>
  </si>
  <si>
    <t>Rest of DWDM</t>
  </si>
  <si>
    <t>Product segments included in this forecast are listed below, with some notes/comments</t>
  </si>
  <si>
    <t>`</t>
  </si>
  <si>
    <t>&lt;== added Feb 2016</t>
  </si>
  <si>
    <t>50G</t>
  </si>
  <si>
    <t>200G</t>
  </si>
  <si>
    <t>40G MMF</t>
  </si>
  <si>
    <t>40 G SMF 0.5-10km</t>
  </si>
  <si>
    <t>100G SMF</t>
  </si>
  <si>
    <t>40G SMF</t>
  </si>
  <si>
    <t>CFP2/4</t>
  </si>
  <si>
    <t>&lt;== CFP2 and CFP4 now combined into single line item; CPAK was also included, through July 2014 forecast.. Then removed from subsequent forecasts</t>
  </si>
  <si>
    <t>25G LR</t>
  </si>
  <si>
    <t>Cloud</t>
  </si>
  <si>
    <t>50G SMF</t>
  </si>
  <si>
    <t>50G MMF</t>
  </si>
  <si>
    <t xml:space="preserve">LightCounting divides the overall Ethernet transceiver market into three segments, based on customers: Telecom, Cloud, and Enterprise. </t>
  </si>
  <si>
    <t>The Cloud segment is composed of the largest internet content and commerce companies such as Alibaba, Amazon, Apple, Ebay, Facebook, Google, and Microsoft.</t>
  </si>
  <si>
    <t xml:space="preserve">The Enterprise Datacenter segment is composed of all other enterprises, excluding those falling into the Cloud category. </t>
  </si>
  <si>
    <t>&lt;10G</t>
  </si>
  <si>
    <t>100 m  100G CFP2/CFP4</t>
  </si>
  <si>
    <t>Forecast split by segments</t>
  </si>
  <si>
    <t>Product forecast - Cloud segment</t>
  </si>
  <si>
    <t>Cost per Gigabit calculations</t>
  </si>
  <si>
    <t>All Speeds</t>
  </si>
  <si>
    <t>100G MMF</t>
  </si>
  <si>
    <t>200G MMF</t>
  </si>
  <si>
    <t>400G MMF</t>
  </si>
  <si>
    <t>Module speed split</t>
  </si>
  <si>
    <t>200G SMF</t>
  </si>
  <si>
    <t>400G SMF</t>
  </si>
  <si>
    <t>Number  MMF</t>
  </si>
  <si>
    <t>Number SMF</t>
  </si>
  <si>
    <t>MMF/SMF</t>
  </si>
  <si>
    <t>Std/Non-Std</t>
  </si>
  <si>
    <t>&lt;== added Sept 2016</t>
  </si>
  <si>
    <t>25G ER</t>
  </si>
  <si>
    <t>Mix</t>
  </si>
  <si>
    <t>10-20 km</t>
  </si>
  <si>
    <t>Various</t>
  </si>
  <si>
    <t>Legacy/discontinued</t>
  </si>
  <si>
    <t>&lt;== includes X2, XENPAK, and some X2 form factor products that are no longer shipping</t>
  </si>
  <si>
    <t>&lt;== Forecasted separately prior to Sept 2016 update, now consolidated into 'Legacy/discontinued' category</t>
  </si>
  <si>
    <t>300m</t>
  </si>
  <si>
    <t>&lt;== prior to Sept 2016, was included in the 'Miscellaneous' category, now split into the appropriate 'Legacy/discontinued' category by speed</t>
  </si>
  <si>
    <t>No longer shipping and no longer forecast separately</t>
  </si>
  <si>
    <t>1G MMF</t>
  </si>
  <si>
    <t>1G SMF</t>
  </si>
  <si>
    <t>Legacy/discontinued products</t>
  </si>
  <si>
    <t>0.5-10 km Reach Ethernet</t>
  </si>
  <si>
    <t>Lane rates by wavelength or by fiber</t>
  </si>
  <si>
    <t>Module count by lane rate</t>
  </si>
  <si>
    <t>10G = 10G &amp; 40G modules</t>
  </si>
  <si>
    <t>25G = 25G and 100G modules</t>
  </si>
  <si>
    <t>50G = 50G, 200G, and 400G modules</t>
  </si>
  <si>
    <t>40G Short Reach</t>
  </si>
  <si>
    <t>40G Long Reach</t>
  </si>
  <si>
    <t>100G Short Reach</t>
  </si>
  <si>
    <t>100G Long Reach</t>
  </si>
  <si>
    <t>Interactive dashboard showing segment splits</t>
  </si>
  <si>
    <t>Select Product to Display in Cell Below</t>
  </si>
  <si>
    <t>CFP8 = for core router applications (CSP segment)</t>
  </si>
  <si>
    <t>QSFP-DD = double-density QSFP28</t>
  </si>
  <si>
    <t>OSFP= for datacenter applications</t>
  </si>
  <si>
    <t>&lt;== added Feb 2016 combined with 2 km, then split out separately in March 2017</t>
  </si>
  <si>
    <t>&lt;== added in March 2017</t>
  </si>
  <si>
    <t>Short Reach Ethernet (100-300m MMF)</t>
  </si>
  <si>
    <t>100-300 m</t>
  </si>
  <si>
    <t>100G Short Reach MMF (100-300 m)</t>
  </si>
  <si>
    <t>100G Long Reach SMF (500m - 40km)</t>
  </si>
  <si>
    <t>100 m  100G QSFP28 MM Duplex</t>
  </si>
  <si>
    <t>100 m  100G SR2, SR4  QSFP28</t>
  </si>
  <si>
    <t>µQSFP28  = not much industry support now</t>
  </si>
  <si>
    <t>QSFP56</t>
  </si>
  <si>
    <t>20 km</t>
  </si>
  <si>
    <t>&lt;== added in March 2017. Uses FEC on host card to extend reach. Also known as eLR4</t>
  </si>
  <si>
    <t>&lt;== added in March 2017. Includes SWDM.</t>
  </si>
  <si>
    <t>100 - 300 m</t>
  </si>
  <si>
    <t>100G total</t>
  </si>
  <si>
    <t>400G total</t>
  </si>
  <si>
    <t>200G total</t>
  </si>
  <si>
    <t>40G total</t>
  </si>
  <si>
    <t>25G total</t>
  </si>
  <si>
    <t>50G total</t>
  </si>
  <si>
    <t>Figures used in the report</t>
  </si>
  <si>
    <t>Waterfall charts showing which products had the biggest impact on changes in the forecast</t>
  </si>
  <si>
    <t>OSFP</t>
  </si>
  <si>
    <t>&lt;== was 500m 200G, but replaced with this new category in March 2018</t>
  </si>
  <si>
    <t>&lt;== was 10km 200G, but replaced with this new category in March 2018</t>
  </si>
  <si>
    <t>Cum installed OC bandwidth - Cloud</t>
  </si>
  <si>
    <t>Cum installed OC bandwidth - Enterprise</t>
  </si>
  <si>
    <t>200G Shipments</t>
  </si>
  <si>
    <t>200G ASPs</t>
  </si>
  <si>
    <t>200G Revenues</t>
  </si>
  <si>
    <t>400G Shipments</t>
  </si>
  <si>
    <t>400G ASPs</t>
  </si>
  <si>
    <t>400G Revenues</t>
  </si>
  <si>
    <t>SR4, SR2 split into separate categories May30, 2018</t>
  </si>
  <si>
    <t xml:space="preserve"> CWDM4, FR split into separate categories May30, 2018</t>
  </si>
  <si>
    <t xml:space="preserve"> CWDM4, FR split into separate categories May30, 2019</t>
  </si>
  <si>
    <t xml:space="preserve"> LR4, 4WDM10 split into separate categories May30, 2018</t>
  </si>
  <si>
    <t xml:space="preserve"> LR4, 4WDM10 split into separate categories May30, 2019</t>
  </si>
  <si>
    <t>PSM4, DR split into separate categories May30, 2018</t>
  </si>
  <si>
    <t>2x200 (400G-SR8)</t>
  </si>
  <si>
    <t>&lt;== same as the 400G BiDi BD4.2 MSA announced in Sept 2018</t>
  </si>
  <si>
    <t>CFP2</t>
  </si>
  <si>
    <t>CFP4</t>
  </si>
  <si>
    <t>1Q 16</t>
  </si>
  <si>
    <t>2Q 16</t>
  </si>
  <si>
    <t>3Q 16</t>
  </si>
  <si>
    <t>4Q 16</t>
  </si>
  <si>
    <t>1Q 17</t>
  </si>
  <si>
    <t>2Q 17</t>
  </si>
  <si>
    <t>3Q 17</t>
  </si>
  <si>
    <t>4Q 17</t>
  </si>
  <si>
    <t>1Q 18</t>
  </si>
  <si>
    <t>2Q 18</t>
  </si>
  <si>
    <t>Quarterly shipments CFP family transceivers</t>
  </si>
  <si>
    <t>300 m  100G QSFP28  eSR4</t>
  </si>
  <si>
    <t>DCI DWDM</t>
  </si>
  <si>
    <t>Module Data Rate</t>
  </si>
  <si>
    <t>1G &amp; Fast Ethernet</t>
  </si>
  <si>
    <t>10G (100m Sub-spec)</t>
  </si>
  <si>
    <t>10G LRM</t>
  </si>
  <si>
    <t>25G SR, eSR</t>
  </si>
  <si>
    <t>40G SR4</t>
  </si>
  <si>
    <t>40G MM duplex</t>
  </si>
  <si>
    <t>40G eSR4</t>
  </si>
  <si>
    <t xml:space="preserve">40G PSM4 </t>
  </si>
  <si>
    <t>40G (FR)</t>
  </si>
  <si>
    <t>40G (LR4 subspec)</t>
  </si>
  <si>
    <t xml:space="preserve">50G </t>
  </si>
  <si>
    <t>100G SR4</t>
  </si>
  <si>
    <t>100G SR2</t>
  </si>
  <si>
    <t>100G MM Duplex</t>
  </si>
  <si>
    <t>100G eSR4</t>
  </si>
  <si>
    <t>100G PSM4</t>
  </si>
  <si>
    <t>100G CWDM4</t>
  </si>
  <si>
    <t>100G LR4</t>
  </si>
  <si>
    <t>100G 4WDM10</t>
  </si>
  <si>
    <t>100G 4WDM20</t>
  </si>
  <si>
    <t>400G DR4</t>
  </si>
  <si>
    <t>400G LR4, LR8</t>
  </si>
  <si>
    <t>10 G</t>
  </si>
  <si>
    <t>25 G</t>
  </si>
  <si>
    <t>40 G</t>
  </si>
  <si>
    <t>50 G</t>
  </si>
  <si>
    <t>100 G</t>
  </si>
  <si>
    <t>200 G</t>
  </si>
  <si>
    <t>400 G</t>
  </si>
  <si>
    <t>1 G</t>
  </si>
  <si>
    <t>G &amp; Fast Ethernet</t>
  </si>
  <si>
    <t>10G_300 m_SFP+</t>
  </si>
  <si>
    <t>40 G PSM4</t>
  </si>
  <si>
    <t>&lt;== includes Fast Ethernet 2km and 15km, and G in GBIC, 1x9, 2x9, and other discontinued form factors</t>
  </si>
  <si>
    <t>&lt;== includes 40G SR4 compliant modules; also proprietary bi-di modules in 2015 and earlier.</t>
  </si>
  <si>
    <t>&lt;== added June 2015; includes 40G bidi and other MMF duplex solutions (e.g. VCSEL-based S-WDM)</t>
  </si>
  <si>
    <t xml:space="preserve">New form factors for 400G:  </t>
  </si>
  <si>
    <t>10G LX4</t>
  </si>
  <si>
    <t>Annual growth rate 25G and above</t>
  </si>
  <si>
    <t xml:space="preserve">25 G at various reaches </t>
  </si>
  <si>
    <t>25 G by reach</t>
  </si>
  <si>
    <t xml:space="preserve">50 G at various reaches </t>
  </si>
  <si>
    <t>50 G by reach</t>
  </si>
  <si>
    <t>40 G at various reaches and form factors</t>
  </si>
  <si>
    <t>40 G by reach</t>
  </si>
  <si>
    <t>40 G by form factor</t>
  </si>
  <si>
    <t>300 m  40 G eSR QSFP+</t>
  </si>
  <si>
    <t>100 G by reach</t>
  </si>
  <si>
    <t>100 G by form factor</t>
  </si>
  <si>
    <t xml:space="preserve">200 G at various reaches </t>
  </si>
  <si>
    <t xml:space="preserve">400 G at various reaches </t>
  </si>
  <si>
    <t>200G QSFP56</t>
  </si>
  <si>
    <t>2x200G OSFP</t>
  </si>
  <si>
    <t>400G (all)</t>
  </si>
  <si>
    <t xml:space="preserve"> possible 4x25G</t>
  </si>
  <si>
    <t xml:space="preserve"> possible 4x100G</t>
  </si>
  <si>
    <t>Breakout</t>
  </si>
  <si>
    <t>200G FR4</t>
  </si>
  <si>
    <t>200G SR4</t>
  </si>
  <si>
    <t xml:space="preserve"> possible 4x25, 10x10</t>
  </si>
  <si>
    <t xml:space="preserve"> possible 10x10G</t>
  </si>
  <si>
    <t xml:space="preserve"> possible 4x50G</t>
  </si>
  <si>
    <t>Fiber</t>
  </si>
  <si>
    <t>Connector</t>
  </si>
  <si>
    <t>MPO</t>
  </si>
  <si>
    <t>MTO24</t>
  </si>
  <si>
    <t>dual LC</t>
  </si>
  <si>
    <t>duplex SMF</t>
  </si>
  <si>
    <t>two pairs MMF</t>
  </si>
  <si>
    <t>12-fiber MM ribbon</t>
  </si>
  <si>
    <t>2x12-fiber MM ribbons</t>
  </si>
  <si>
    <t>dual SC or LC</t>
  </si>
  <si>
    <t>two pairs SMF</t>
  </si>
  <si>
    <t>2 x dual LC</t>
  </si>
  <si>
    <t>16-fiber MM ribbon</t>
  </si>
  <si>
    <t>MPO16</t>
  </si>
  <si>
    <t>2 x dual CS</t>
  </si>
  <si>
    <t>12-fiber SM ribbon</t>
  </si>
  <si>
    <t xml:space="preserve"> possible 2x50G, 4x25G</t>
  </si>
  <si>
    <t>Deployed as 4x10G</t>
  </si>
  <si>
    <t xml:space="preserve"> possible 2x50G but unlikely</t>
  </si>
  <si>
    <t xml:space="preserve"> possible 4x100G BiDi</t>
  </si>
  <si>
    <t xml:space="preserve"> 8x50G most likely</t>
  </si>
  <si>
    <t xml:space="preserve"> 2x200G by default</t>
  </si>
  <si>
    <t>Google</t>
  </si>
  <si>
    <t xml:space="preserve"> possible 4x10G, no breakout done</t>
  </si>
  <si>
    <t xml:space="preserve"> no breakout possible</t>
  </si>
  <si>
    <t>Facebook</t>
  </si>
  <si>
    <t>Notable users</t>
  </si>
  <si>
    <t>Facebook, AWS</t>
  </si>
  <si>
    <t>for CSPs mainly</t>
  </si>
  <si>
    <t>AWS, Microsoft</t>
  </si>
  <si>
    <t>Alibaba, Google, Facebook</t>
  </si>
  <si>
    <t>100G CWDM4-subspec</t>
  </si>
  <si>
    <t>Split CWDM4 into std and sub-spec in March 2019</t>
  </si>
  <si>
    <t>500m, 2km</t>
  </si>
  <si>
    <t>Form factor</t>
  </si>
  <si>
    <t>Last shipment year</t>
  </si>
  <si>
    <t>&lt;== added March 2019 for backhaul applications</t>
  </si>
  <si>
    <t>OSFP, QSFP-DD</t>
  </si>
  <si>
    <t>50/100</t>
  </si>
  <si>
    <t>3Q 18</t>
  </si>
  <si>
    <t>4Q 18</t>
  </si>
  <si>
    <t>40G-2x400G Only</t>
  </si>
  <si>
    <t>Amazon, Microsoft</t>
  </si>
  <si>
    <t>10G total</t>
  </si>
  <si>
    <t>10G (2 km sub-spec)</t>
  </si>
  <si>
    <t>Standard &amp; Sub-spec</t>
  </si>
  <si>
    <t>100G Shipments by reach</t>
  </si>
  <si>
    <t>100G at various reaches and form factors</t>
  </si>
  <si>
    <t>100G Revenues - long reach vs short reach</t>
  </si>
  <si>
    <t>Shipments by reach</t>
  </si>
  <si>
    <t>Revenues by reach</t>
  </si>
  <si>
    <t>Total annual revenues</t>
  </si>
  <si>
    <t>100G &amp; below</t>
  </si>
  <si>
    <t>200G &amp; above</t>
  </si>
  <si>
    <t>Shipments 25G and higher speeds</t>
  </si>
  <si>
    <t xml:space="preserve">Forecast Summary </t>
  </si>
  <si>
    <t>Annual shipments all data rates</t>
  </si>
  <si>
    <t>Total Revenues all data rates</t>
  </si>
  <si>
    <t>Modules by data rate, percent of total</t>
  </si>
  <si>
    <t xml:space="preserve">Revenues - data rates with $500 mn or more in peak sales </t>
  </si>
  <si>
    <t xml:space="preserve">Revenues - data rates with $250 mn or less in peak sales </t>
  </si>
  <si>
    <r>
      <t xml:space="preserve">Annual shipments - data rates with peak shipments of </t>
    </r>
    <r>
      <rPr>
        <sz val="16"/>
        <color theme="1"/>
        <rFont val="Calibri"/>
        <family val="2"/>
      </rPr>
      <t>≥</t>
    </r>
    <r>
      <rPr>
        <sz val="16"/>
        <color theme="1"/>
        <rFont val="Calibri"/>
        <family val="2"/>
        <scheme val="minor"/>
      </rPr>
      <t xml:space="preserve">10,000,000 </t>
    </r>
  </si>
  <si>
    <t>Annual shipments - data rates with peak shipments below 10,000,000</t>
  </si>
  <si>
    <t>Revenues by data rate (all rates shown)</t>
  </si>
  <si>
    <t>Annual shipments by data rate (all rates shown)</t>
  </si>
  <si>
    <t>50G &amp; below</t>
  </si>
  <si>
    <t>Revenues by data rate (two groups)</t>
  </si>
  <si>
    <t>Revenues by data rate (lower data rates grouped)</t>
  </si>
  <si>
    <t>1Q 19</t>
  </si>
  <si>
    <t>2Q 19</t>
  </si>
  <si>
    <t>Waterfall chart - units shipped in 2024 - changes by data rate</t>
  </si>
  <si>
    <t>Waterfall chart - revenues in 2024 - changes by data rate</t>
  </si>
  <si>
    <t>Note on PAM4 here</t>
  </si>
  <si>
    <t>&lt;== select segment, or total market</t>
  </si>
  <si>
    <t xml:space="preserve">&lt;== select product </t>
  </si>
  <si>
    <t>10G 10km</t>
  </si>
  <si>
    <t>3Q 19</t>
  </si>
  <si>
    <t>4Q 19</t>
  </si>
  <si>
    <t>50 m</t>
  </si>
  <si>
    <t xml:space="preserve"> 8x100G </t>
  </si>
  <si>
    <t>800G total</t>
  </si>
  <si>
    <t>800G</t>
  </si>
  <si>
    <t xml:space="preserve">100G PSM4 </t>
  </si>
  <si>
    <t>2x(200G FR4)</t>
  </si>
  <si>
    <t>2x(400G FR4)</t>
  </si>
  <si>
    <t>OSFP, QSFP-DD800</t>
  </si>
  <si>
    <t>OSFP, QSFP-DD, QSFP112</t>
  </si>
  <si>
    <t>100G DR1</t>
  </si>
  <si>
    <t>100G ER4-Lite</t>
  </si>
  <si>
    <t>100G ER4</t>
  </si>
  <si>
    <t>400G FR4</t>
  </si>
  <si>
    <t>400G SR4.2, SR4</t>
  </si>
  <si>
    <t>Product forecast - Enterprise sub-segment</t>
  </si>
  <si>
    <t>100G LR4 and LR1</t>
  </si>
  <si>
    <t>100G FR1</t>
  </si>
  <si>
    <t>MSA =&gt; Standard</t>
  </si>
  <si>
    <t>800G SR8</t>
  </si>
  <si>
    <t>800G PSM8</t>
  </si>
  <si>
    <t>16-fiber SMF ribbon</t>
  </si>
  <si>
    <t xml:space="preserve">10 G at various reaches </t>
  </si>
  <si>
    <t>10G 40/80km</t>
  </si>
  <si>
    <t>100G 10km</t>
  </si>
  <si>
    <t>10G 40km</t>
  </si>
  <si>
    <t>10G 80km</t>
  </si>
  <si>
    <t xml:space="preserve">100 G at various reaches </t>
  </si>
  <si>
    <t>100G 80km (100ZR)</t>
  </si>
  <si>
    <t>100G 30/40km</t>
  </si>
  <si>
    <t>100G 30/80km</t>
  </si>
  <si>
    <t>&lt;== includes 6 km LR-6 and 10 km LR-10 versions</t>
  </si>
  <si>
    <t>Standard and MSA</t>
  </si>
  <si>
    <t>Total volume</t>
  </si>
  <si>
    <t>Volume SFP112</t>
  </si>
  <si>
    <t>Volume QSFP28</t>
  </si>
  <si>
    <t>100G LR4/LR1</t>
  </si>
  <si>
    <t>Volume QSFP112</t>
  </si>
  <si>
    <t>Volume all other</t>
  </si>
  <si>
    <t>400G SR4.2, SR4_100 m_OSFP, QSFP-DD, QSFP112</t>
  </si>
  <si>
    <t>100G QSFP28</t>
  </si>
  <si>
    <t>100G SFP112</t>
  </si>
  <si>
    <t>400G QSFP-DD/OSFP</t>
  </si>
  <si>
    <t>400G SR8/SR4.2/SR4</t>
  </si>
  <si>
    <t>2x(200G FR4) and 400G FR4</t>
  </si>
  <si>
    <t>400G LR8/LR4</t>
  </si>
  <si>
    <t>400G QSFP112</t>
  </si>
  <si>
    <t>100G SR4 and SR1</t>
  </si>
  <si>
    <t>Adoption of QSFP112 form factor in 400G transceivers</t>
  </si>
  <si>
    <t>Adoption of SFP112 form factor in 100G transceivers</t>
  </si>
  <si>
    <t>Adoption of SFP112 form factor</t>
  </si>
  <si>
    <t>Waterfall chart - top 10 contributors to forecast units total 2021-2025</t>
  </si>
  <si>
    <t>Waterfall chart - top 10 contributors to forecast revenue total 2021-2025</t>
  </si>
  <si>
    <t>1Q 20</t>
  </si>
  <si>
    <t>2Q 20</t>
  </si>
  <si>
    <t>6-yr total</t>
  </si>
  <si>
    <t>Singlemode only by data rate</t>
  </si>
  <si>
    <t>Multimode only by data rate</t>
  </si>
  <si>
    <t>800G MMF</t>
  </si>
  <si>
    <t>800G SMF</t>
  </si>
  <si>
    <t xml:space="preserve">800G at various reaches </t>
  </si>
  <si>
    <t>800G Shipments</t>
  </si>
  <si>
    <t>800G ASPs</t>
  </si>
  <si>
    <t>800G Revenues</t>
  </si>
  <si>
    <t>800 G</t>
  </si>
  <si>
    <t>800G (all)</t>
  </si>
  <si>
    <t>200, 400 and 800G chart</t>
  </si>
  <si>
    <t xml:space="preserve">     </t>
  </si>
  <si>
    <t>100 G - the best sellers</t>
  </si>
  <si>
    <t>100G DR1 and FR1</t>
  </si>
  <si>
    <t>all in QSFP form factor</t>
  </si>
  <si>
    <t xml:space="preserve">100G CWDM4 </t>
  </si>
  <si>
    <t xml:space="preserve">100G SR4 </t>
  </si>
  <si>
    <t>All other 100G</t>
  </si>
  <si>
    <t>100G Total</t>
  </si>
  <si>
    <t xml:space="preserve">   </t>
  </si>
  <si>
    <t>3Q 20</t>
  </si>
  <si>
    <t>4Q 20</t>
  </si>
  <si>
    <t>30 km</t>
  </si>
  <si>
    <t>100G ZR4</t>
  </si>
  <si>
    <t>&lt;== added March 2021</t>
  </si>
  <si>
    <t>&lt;== split from combined ER4/ER4Lite in March 2021</t>
  </si>
  <si>
    <t>100G DR/DR+</t>
  </si>
  <si>
    <t>3 km</t>
  </si>
  <si>
    <t>100G-800G Only</t>
  </si>
  <si>
    <t>E-5: Forecast for Sales of 400G and 800G Ethernet optical transceivers</t>
  </si>
  <si>
    <t>&lt;= includes all 800G and SMF 400G</t>
  </si>
  <si>
    <t>&lt;= includes MMF 400G and all 200G</t>
  </si>
  <si>
    <t>updated 3-26-21</t>
  </si>
  <si>
    <t>Analysis and assumptions: Vladimir Kozlov, John Lively</t>
  </si>
  <si>
    <t xml:space="preserve">This forecast presents historical sales from 2016 to 2020 and a forecast through 2026 for Ethernet transceivers.  The historical data accounts for more than 30 optical component and module vendors, including 25 that shared confidential data with LightCounting. The market forecast is based on a combination of historical trend extrapolation, expert opinion (based on numerous in-depth interviews with leading vendors), and life-cycle models based on past experience in this segment. </t>
  </si>
  <si>
    <r>
      <t xml:space="preserve">Companion Report: </t>
    </r>
    <r>
      <rPr>
        <b/>
        <sz val="12"/>
        <rFont val="Arial"/>
        <family val="2"/>
      </rPr>
      <t>High-Speed Ethernet Optics</t>
    </r>
    <r>
      <rPr>
        <sz val="12"/>
        <rFont val="Arial"/>
        <family val="2"/>
      </rPr>
      <t>, March 2021</t>
    </r>
  </si>
  <si>
    <t xml:space="preserve">Source: December 2020 Quarterly Market Update </t>
  </si>
  <si>
    <t xml:space="preserve">Sample template for forecast published 31 March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</si>
</sst>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0_);_(&quot;$&quot;* \(#,##0.0\);_(&quot;$&quot;* &quot;-&quot;??_);_(@_)"/>
    <numFmt numFmtId="167" formatCode="0.0%"/>
    <numFmt numFmtId="168" formatCode="_(* #,##0.0_);_(* \(#,##0.0\);_(* &quot;-&quot;??_);_(@_)"/>
    <numFmt numFmtId="169" formatCode="_(&quot;$&quot;* #,##0.000_);_(&quot;$&quot;* \(#,##0.000\);_(&quot;$&quot;* &quot;-&quot;??_);_(@_)"/>
    <numFmt numFmtId="170" formatCode="_(&quot;$&quot;* #,##0.0000000_);_(&quot;$&quot;* \(#,##0.0000000\);_(&quot;$&quot;* &quot;-&quot;??_);_(@_)"/>
    <numFmt numFmtId="171" formatCode="&quot;$&quot;#,##0"/>
    <numFmt numFmtId="172" formatCode="General_)"/>
    <numFmt numFmtId="173" formatCode="0.00_)"/>
    <numFmt numFmtId="174" formatCode="[&gt;9.9]0;[&gt;0]0.0;\-;"/>
    <numFmt numFmtId="175" formatCode="0.00000"/>
  </numFmts>
  <fonts count="87">
    <font>
      <sz val="10"/>
      <color theme="1"/>
      <name val="Arial"/>
      <family val="2"/>
    </font>
    <font>
      <sz val="12"/>
      <color theme="1"/>
      <name val="Calibri"/>
      <family val="2"/>
      <scheme val="minor"/>
    </font>
    <font>
      <sz val="10"/>
      <color theme="1"/>
      <name val="Calibri"/>
      <family val="2"/>
    </font>
    <font>
      <sz val="11"/>
      <color theme="1"/>
      <name val="Calibri"/>
      <family val="2"/>
      <scheme val="minor"/>
    </font>
    <font>
      <sz val="10"/>
      <color theme="1"/>
      <name val="Calibri"/>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indexed="8"/>
      <name val="Arial"/>
      <family val="2"/>
    </font>
    <font>
      <sz val="10"/>
      <name val="Arial"/>
      <family val="2"/>
    </font>
    <font>
      <b/>
      <sz val="9"/>
      <color indexed="81"/>
      <name val="Tahoma"/>
      <family val="2"/>
    </font>
    <font>
      <sz val="10"/>
      <color theme="1"/>
      <name val="Arial"/>
      <family val="2"/>
    </font>
    <font>
      <sz val="11"/>
      <color theme="1"/>
      <name val="Calibri"/>
      <family val="2"/>
      <scheme val="minor"/>
    </font>
    <font>
      <b/>
      <sz val="10"/>
      <color theme="1"/>
      <name val="Arial"/>
      <family val="2"/>
    </font>
    <font>
      <sz val="10"/>
      <color rgb="FFFF0000"/>
      <name val="Arial"/>
      <family val="2"/>
    </font>
    <font>
      <b/>
      <sz val="14"/>
      <color theme="1"/>
      <name val="Arial"/>
      <family val="2"/>
    </font>
    <font>
      <b/>
      <sz val="12"/>
      <color theme="1"/>
      <name val="Arial"/>
      <family val="2"/>
    </font>
    <font>
      <u/>
      <sz val="10"/>
      <color theme="11"/>
      <name val="Arial"/>
      <family val="2"/>
    </font>
    <font>
      <b/>
      <sz val="10"/>
      <color theme="1"/>
      <name val="Calibri"/>
      <family val="2"/>
      <scheme val="minor"/>
    </font>
    <font>
      <sz val="12"/>
      <color theme="1"/>
      <name val="Calibri"/>
      <family val="2"/>
      <scheme val="minor"/>
    </font>
    <font>
      <b/>
      <sz val="14"/>
      <color theme="1"/>
      <name val="Calibri"/>
      <family val="2"/>
      <scheme val="minor"/>
    </font>
    <font>
      <sz val="10"/>
      <name val="Calibri"/>
      <family val="2"/>
      <scheme val="minor"/>
    </font>
    <font>
      <sz val="10"/>
      <color theme="3"/>
      <name val="Calibri"/>
      <family val="2"/>
      <scheme val="minor"/>
    </font>
    <font>
      <b/>
      <sz val="14"/>
      <color theme="3"/>
      <name val="Arial"/>
      <family val="2"/>
    </font>
    <font>
      <b/>
      <sz val="18"/>
      <color theme="1"/>
      <name val="Calibri"/>
      <family val="2"/>
      <scheme val="minor"/>
    </font>
    <font>
      <sz val="10"/>
      <color rgb="FFFF0000"/>
      <name val="Calibri"/>
      <family val="2"/>
      <scheme val="minor"/>
    </font>
    <font>
      <b/>
      <sz val="10"/>
      <name val="Calibri"/>
      <family val="2"/>
      <scheme val="minor"/>
    </font>
    <font>
      <b/>
      <sz val="16"/>
      <color theme="1"/>
      <name val="Calibri"/>
      <family val="2"/>
      <scheme val="minor"/>
    </font>
    <font>
      <b/>
      <sz val="16"/>
      <color rgb="FF1F487C"/>
      <name val="Calibri"/>
      <family val="2"/>
      <scheme val="minor"/>
    </font>
    <font>
      <b/>
      <sz val="11"/>
      <color theme="1"/>
      <name val="Calibri"/>
      <family val="2"/>
      <scheme val="minor"/>
    </font>
    <font>
      <sz val="9"/>
      <color indexed="81"/>
      <name val="Tahoma"/>
      <family val="2"/>
    </font>
    <font>
      <b/>
      <sz val="11"/>
      <color rgb="FFFF0000"/>
      <name val="Calibri"/>
      <family val="2"/>
      <scheme val="minor"/>
    </font>
    <font>
      <b/>
      <sz val="10"/>
      <name val="Arial"/>
      <family val="2"/>
    </font>
    <font>
      <sz val="14"/>
      <color theme="1"/>
      <name val="Calibri"/>
      <family val="2"/>
      <scheme val="minor"/>
    </font>
    <font>
      <sz val="20"/>
      <color theme="3"/>
      <name val="Calibri"/>
      <family val="2"/>
      <scheme val="minor"/>
    </font>
    <font>
      <sz val="12"/>
      <color theme="1"/>
      <name val="Arial"/>
      <family val="2"/>
    </font>
    <font>
      <sz val="11"/>
      <color theme="1"/>
      <name val="Arial"/>
      <family val="2"/>
    </font>
    <font>
      <sz val="9"/>
      <color theme="1"/>
      <name val="Calibri"/>
      <family val="2"/>
      <scheme val="minor"/>
    </font>
    <font>
      <sz val="12"/>
      <color theme="3"/>
      <name val="Calibri"/>
      <family val="2"/>
      <scheme val="minor"/>
    </font>
    <font>
      <sz val="11"/>
      <color rgb="FFFF0000"/>
      <name val="Calibri"/>
      <family val="2"/>
      <scheme val="minor"/>
    </font>
    <font>
      <b/>
      <sz val="11"/>
      <color theme="0"/>
      <name val="Arial"/>
      <family val="2"/>
    </font>
    <font>
      <b/>
      <sz val="12"/>
      <name val="Arial"/>
      <family val="2"/>
    </font>
    <font>
      <sz val="12"/>
      <name val="Arial"/>
      <family val="2"/>
    </font>
    <font>
      <b/>
      <sz val="12"/>
      <color theme="1"/>
      <name val="Calibri"/>
      <family val="2"/>
      <scheme val="minor"/>
    </font>
    <font>
      <b/>
      <sz val="24"/>
      <color theme="3"/>
      <name val="Calibri"/>
      <family val="2"/>
      <scheme val="minor"/>
    </font>
    <font>
      <b/>
      <sz val="16"/>
      <color theme="3"/>
      <name val="Calibri"/>
      <family val="2"/>
      <scheme val="minor"/>
    </font>
    <font>
      <sz val="16"/>
      <color theme="1"/>
      <name val="Calibri"/>
      <family val="2"/>
      <scheme val="minor"/>
    </font>
    <font>
      <b/>
      <sz val="11"/>
      <color theme="3"/>
      <name val="Calibri"/>
      <family val="2"/>
      <scheme val="minor"/>
    </font>
    <font>
      <sz val="10"/>
      <color rgb="FF00B050"/>
      <name val="Calibri"/>
      <family val="2"/>
      <scheme val="minor"/>
    </font>
    <font>
      <sz val="18"/>
      <color theme="3"/>
      <name val="Calibri"/>
      <family val="2"/>
      <scheme val="minor"/>
    </font>
    <font>
      <sz val="10"/>
      <color theme="0"/>
      <name val="Calibri"/>
      <family val="2"/>
      <scheme val="minor"/>
    </font>
    <font>
      <u/>
      <sz val="10"/>
      <color theme="10"/>
      <name val="Arial"/>
      <family val="2"/>
    </font>
    <font>
      <b/>
      <sz val="12"/>
      <color rgb="FFFF0000"/>
      <name val="Arial"/>
      <family val="2"/>
    </font>
    <font>
      <b/>
      <sz val="12"/>
      <color rgb="FF00B050"/>
      <name val="Arial"/>
      <family val="2"/>
    </font>
    <font>
      <sz val="12"/>
      <color rgb="FFFF0000"/>
      <name val="Arial"/>
      <family val="2"/>
    </font>
    <font>
      <sz val="12"/>
      <color rgb="FF00B050"/>
      <name val="Arial"/>
      <family val="2"/>
    </font>
    <font>
      <sz val="12"/>
      <name val="Calibri"/>
      <family val="2"/>
      <scheme val="minor"/>
    </font>
    <font>
      <b/>
      <sz val="12"/>
      <color theme="0"/>
      <name val="Arial"/>
      <family val="2"/>
    </font>
    <font>
      <sz val="12"/>
      <color theme="1" tint="0.499984740745262"/>
      <name val="Calibri"/>
      <family val="2"/>
      <scheme val="minor"/>
    </font>
    <font>
      <b/>
      <sz val="16"/>
      <name val="Calibri"/>
      <family val="2"/>
      <scheme val="minor"/>
    </font>
    <font>
      <b/>
      <sz val="12"/>
      <name val="Calibri"/>
      <family val="2"/>
      <scheme val="minor"/>
    </font>
    <font>
      <sz val="12"/>
      <color indexed="81"/>
      <name val="Tahoma"/>
      <family val="2"/>
    </font>
    <font>
      <b/>
      <sz val="12"/>
      <color indexed="81"/>
      <name val="Tahoma"/>
      <family val="2"/>
    </font>
    <font>
      <sz val="10"/>
      <name val="Helvetica"/>
      <family val="2"/>
    </font>
    <font>
      <sz val="10"/>
      <color indexed="8"/>
      <name val="Helvetica"/>
      <family val="2"/>
    </font>
    <font>
      <b/>
      <sz val="12"/>
      <color indexed="8"/>
      <name val="Helvetica"/>
      <family val="2"/>
    </font>
    <font>
      <b/>
      <sz val="10"/>
      <color indexed="8"/>
      <name val="Helvetica"/>
      <family val="2"/>
    </font>
    <font>
      <b/>
      <i/>
      <sz val="16"/>
      <name val="Helv"/>
    </font>
    <font>
      <sz val="10"/>
      <name val="Geneva"/>
      <family val="2"/>
    </font>
    <font>
      <b/>
      <sz val="9"/>
      <color rgb="FF000000"/>
      <name val="Tahoma"/>
      <family val="2"/>
    </font>
    <font>
      <sz val="16"/>
      <color rgb="FF000000"/>
      <name val="Calibri"/>
      <family val="2"/>
      <scheme val="minor"/>
    </font>
    <font>
      <sz val="16"/>
      <color theme="1"/>
      <name val="Calibri"/>
      <family val="2"/>
    </font>
    <font>
      <sz val="12"/>
      <color rgb="FF000000"/>
      <name val="Tahoma"/>
      <family val="2"/>
    </font>
    <font>
      <sz val="14"/>
      <color rgb="FF000000"/>
      <name val="Arial"/>
      <family val="2"/>
    </font>
  </fonts>
  <fills count="1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rgb="FFE6FEF6"/>
        <bgColor indexed="64"/>
      </patternFill>
    </fill>
    <fill>
      <patternFill patternType="solid">
        <fgColor theme="7" tint="0.59999389629810485"/>
        <bgColor indexed="64"/>
      </patternFill>
    </fill>
    <fill>
      <patternFill patternType="solid">
        <fgColor theme="6" tint="0.79998168889431442"/>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441">
    <xf numFmtId="0" fontId="0" fillId="0" borderId="0"/>
    <xf numFmtId="43"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4" fontId="24" fillId="0" borderId="0" applyFont="0" applyFill="0" applyBorder="0" applyAlignment="0" applyProtection="0"/>
    <xf numFmtId="44" fontId="21" fillId="0" borderId="0" applyFont="0" applyFill="0" applyBorder="0" applyAlignment="0" applyProtection="0"/>
    <xf numFmtId="0" fontId="21" fillId="0" borderId="0"/>
    <xf numFmtId="9" fontId="24" fillId="0" borderId="0" applyFont="0" applyFill="0" applyBorder="0" applyAlignment="0" applyProtection="0"/>
    <xf numFmtId="9" fontId="2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0" fillId="0" borderId="0"/>
    <xf numFmtId="43" fontId="20" fillId="0" borderId="0" applyFont="0" applyFill="0" applyBorder="0" applyAlignment="0" applyProtection="0"/>
    <xf numFmtId="44" fontId="20" fillId="0" borderId="0" applyFont="0" applyFill="0" applyBorder="0" applyAlignment="0" applyProtection="0"/>
    <xf numFmtId="0" fontId="32" fillId="0" borderId="0"/>
    <xf numFmtId="43" fontId="32" fillId="0" borderId="0" applyFont="0" applyFill="0" applyBorder="0" applyAlignment="0" applyProtection="0"/>
    <xf numFmtId="0" fontId="19" fillId="0" borderId="0"/>
    <xf numFmtId="43" fontId="19" fillId="0" borderId="0" applyFont="0" applyFill="0" applyBorder="0" applyAlignment="0" applyProtection="0"/>
    <xf numFmtId="44" fontId="19" fillId="0" borderId="0" applyFont="0" applyFill="0" applyBorder="0" applyAlignment="0" applyProtection="0"/>
    <xf numFmtId="0" fontId="14" fillId="0" borderId="0"/>
    <xf numFmtId="0" fontId="14" fillId="0" borderId="0"/>
    <xf numFmtId="43" fontId="11" fillId="0" borderId="0" applyFont="0" applyFill="0" applyBorder="0" applyAlignment="0" applyProtection="0"/>
    <xf numFmtId="43" fontId="11" fillId="0" borderId="0" applyFont="0" applyFill="0" applyBorder="0" applyAlignment="0" applyProtection="0"/>
    <xf numFmtId="0" fontId="10" fillId="0" borderId="0"/>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0" fontId="12" fillId="0" borderId="0"/>
    <xf numFmtId="0" fontId="8" fillId="0" borderId="0"/>
    <xf numFmtId="9" fontId="8"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64"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7" fillId="0" borderId="0"/>
    <xf numFmtId="0" fontId="30" fillId="0" borderId="0" applyNumberForma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7" fillId="0" borderId="0"/>
    <xf numFmtId="43" fontId="5" fillId="0" borderId="0" applyFont="0" applyFill="0" applyBorder="0" applyAlignment="0" applyProtection="0"/>
    <xf numFmtId="43" fontId="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76" fillId="0" borderId="0"/>
    <xf numFmtId="43" fontId="7" fillId="0" borderId="0" applyFont="0" applyFill="0" applyBorder="0" applyAlignment="0" applyProtection="0"/>
    <xf numFmtId="43" fontId="3"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5" fontId="77" fillId="0" borderId="0" applyFont="0" applyFill="0" applyBorder="0" applyAlignment="0" applyProtection="0">
      <protection locked="0"/>
    </xf>
    <xf numFmtId="172" fontId="78" fillId="0" borderId="0" applyNumberFormat="0" applyFill="0" applyBorder="0" applyAlignment="0" applyProtection="0">
      <protection locked="0"/>
    </xf>
    <xf numFmtId="172" fontId="79" fillId="0" borderId="0" applyNumberFormat="0" applyFill="0" applyBorder="0" applyAlignment="0" applyProtection="0">
      <protection locked="0"/>
    </xf>
    <xf numFmtId="173" fontId="80" fillId="0" borderId="0"/>
    <xf numFmtId="0" fontId="7" fillId="0" borderId="0"/>
    <xf numFmtId="0" fontId="7" fillId="0" borderId="0"/>
    <xf numFmtId="0" fontId="3" fillId="0" borderId="0"/>
    <xf numFmtId="9" fontId="3" fillId="0" borderId="0" applyFont="0" applyFill="0" applyBorder="0" applyAlignment="0" applyProtection="0"/>
    <xf numFmtId="0" fontId="22" fillId="0" borderId="0"/>
    <xf numFmtId="174" fontId="81" fillId="0" borderId="13" applyBorder="0" applyAlignment="0">
      <alignment horizontal="center"/>
    </xf>
  </cellStyleXfs>
  <cellXfs count="682">
    <xf numFmtId="0" fontId="0" fillId="0" borderId="0" xfId="0"/>
    <xf numFmtId="0" fontId="0" fillId="3" borderId="0" xfId="0" applyFill="1" applyProtection="1">
      <protection locked="0"/>
    </xf>
    <xf numFmtId="0" fontId="0" fillId="3" borderId="0" xfId="0" applyFill="1"/>
    <xf numFmtId="0" fontId="26" fillId="0" borderId="0" xfId="0" applyFont="1"/>
    <xf numFmtId="0" fontId="0" fillId="0" borderId="0" xfId="0"/>
    <xf numFmtId="0" fontId="20" fillId="0" borderId="0" xfId="117"/>
    <xf numFmtId="0" fontId="28" fillId="3" borderId="0" xfId="0" applyFont="1" applyFill="1"/>
    <xf numFmtId="0" fontId="27" fillId="0" borderId="0" xfId="0" applyFont="1" applyAlignment="1"/>
    <xf numFmtId="0" fontId="27" fillId="3" borderId="0" xfId="0" applyFont="1" applyFill="1" applyProtection="1">
      <protection locked="0"/>
    </xf>
    <xf numFmtId="0" fontId="27" fillId="3" borderId="0" xfId="0" applyFont="1" applyFill="1" applyAlignment="1" applyProtection="1">
      <alignment wrapText="1"/>
      <protection locked="0"/>
    </xf>
    <xf numFmtId="0" fontId="27" fillId="0" borderId="0" xfId="0" applyFont="1"/>
    <xf numFmtId="17" fontId="36" fillId="3" borderId="0" xfId="0" quotePrefix="1" applyNumberFormat="1" applyFont="1" applyFill="1" applyAlignment="1">
      <alignment horizontal="left"/>
    </xf>
    <xf numFmtId="0" fontId="37" fillId="0" borderId="0" xfId="0" applyFont="1" applyAlignment="1">
      <alignment horizontal="center"/>
    </xf>
    <xf numFmtId="0" fontId="35" fillId="0" borderId="0" xfId="0" applyFont="1"/>
    <xf numFmtId="0" fontId="41" fillId="0" borderId="0" xfId="0" applyFont="1"/>
    <xf numFmtId="0" fontId="41" fillId="0" borderId="0" xfId="0" applyFont="1" applyAlignment="1">
      <alignment vertical="center"/>
    </xf>
    <xf numFmtId="0" fontId="44" fillId="0" borderId="0" xfId="0" applyFont="1" applyFill="1" applyAlignment="1">
      <alignment horizontal="right" vertical="center"/>
    </xf>
    <xf numFmtId="0" fontId="41" fillId="0" borderId="0" xfId="0" applyFont="1" applyFill="1" applyAlignment="1">
      <alignment horizontal="left" vertical="center"/>
    </xf>
    <xf numFmtId="0" fontId="0" fillId="0" borderId="0" xfId="0" applyBorder="1" applyAlignment="1">
      <alignment horizontal="right"/>
    </xf>
    <xf numFmtId="0" fontId="0" fillId="0" borderId="0" xfId="0" applyBorder="1"/>
    <xf numFmtId="9" fontId="0" fillId="0" borderId="0" xfId="8" applyFont="1" applyBorder="1"/>
    <xf numFmtId="164" fontId="34" fillId="0" borderId="0" xfId="1" applyNumberFormat="1" applyFont="1" applyFill="1" applyBorder="1"/>
    <xf numFmtId="0" fontId="22" fillId="3" borderId="0" xfId="0" applyFont="1" applyFill="1" applyProtection="1">
      <protection locked="0"/>
    </xf>
    <xf numFmtId="0" fontId="45" fillId="3" borderId="0" xfId="0" applyFont="1" applyFill="1" applyProtection="1">
      <protection locked="0"/>
    </xf>
    <xf numFmtId="0" fontId="27" fillId="3" borderId="0" xfId="0" applyFont="1" applyFill="1" applyAlignment="1" applyProtection="1">
      <protection locked="0"/>
    </xf>
    <xf numFmtId="0" fontId="22" fillId="3" borderId="0" xfId="0" applyFont="1" applyFill="1" applyAlignment="1" applyProtection="1">
      <protection locked="0"/>
    </xf>
    <xf numFmtId="9" fontId="0" fillId="0" borderId="0" xfId="0" applyNumberFormat="1" applyBorder="1"/>
    <xf numFmtId="9" fontId="27" fillId="0" borderId="0" xfId="8" applyFont="1" applyBorder="1"/>
    <xf numFmtId="0" fontId="45" fillId="3" borderId="0" xfId="0" applyFont="1" applyFill="1" applyAlignment="1" applyProtection="1">
      <protection locked="0"/>
    </xf>
    <xf numFmtId="0" fontId="0" fillId="0" borderId="0" xfId="0" applyFill="1"/>
    <xf numFmtId="0" fontId="19" fillId="0" borderId="0" xfId="122"/>
    <xf numFmtId="0" fontId="19" fillId="0" borderId="0" xfId="122" applyFont="1" applyAlignment="1">
      <alignment horizontal="left"/>
    </xf>
    <xf numFmtId="0" fontId="46" fillId="0" borderId="0" xfId="122" applyFont="1"/>
    <xf numFmtId="0" fontId="46" fillId="0" borderId="8" xfId="122" applyFont="1" applyFill="1" applyBorder="1"/>
    <xf numFmtId="0" fontId="46" fillId="0" borderId="0" xfId="122" applyFont="1" applyFill="1" applyAlignment="1">
      <alignment horizontal="right"/>
    </xf>
    <xf numFmtId="0" fontId="46" fillId="0" borderId="8" xfId="122" applyFont="1" applyBorder="1"/>
    <xf numFmtId="0" fontId="48" fillId="3" borderId="0" xfId="0" applyFont="1" applyFill="1"/>
    <xf numFmtId="0" fontId="48" fillId="0" borderId="0" xfId="0" applyFont="1"/>
    <xf numFmtId="0" fontId="40" fillId="4" borderId="15" xfId="117" applyFont="1" applyFill="1" applyBorder="1" applyAlignment="1">
      <alignment vertical="center"/>
    </xf>
    <xf numFmtId="0" fontId="29" fillId="0" borderId="9" xfId="117" applyFont="1" applyBorder="1"/>
    <xf numFmtId="0" fontId="29" fillId="0" borderId="1" xfId="117" applyFont="1" applyBorder="1"/>
    <xf numFmtId="0" fontId="29" fillId="0" borderId="3" xfId="117" applyFont="1" applyBorder="1"/>
    <xf numFmtId="0" fontId="29" fillId="0" borderId="4" xfId="117" applyFont="1" applyBorder="1"/>
    <xf numFmtId="0" fontId="32" fillId="0" borderId="0" xfId="117" applyFont="1"/>
    <xf numFmtId="0" fontId="39" fillId="0" borderId="2" xfId="0" applyFont="1" applyBorder="1"/>
    <xf numFmtId="0" fontId="39" fillId="0" borderId="7" xfId="0" applyFont="1" applyBorder="1"/>
    <xf numFmtId="0" fontId="39" fillId="0" borderId="11" xfId="0" applyFont="1" applyBorder="1"/>
    <xf numFmtId="0" fontId="50" fillId="0" borderId="3" xfId="0" applyFont="1" applyBorder="1" applyAlignment="1">
      <alignment horizontal="center"/>
    </xf>
    <xf numFmtId="0" fontId="0" fillId="0" borderId="5" xfId="0" applyBorder="1"/>
    <xf numFmtId="0" fontId="0" fillId="0" borderId="8" xfId="0" applyBorder="1"/>
    <xf numFmtId="0" fontId="38" fillId="0" borderId="0" xfId="0" applyFont="1"/>
    <xf numFmtId="0" fontId="39" fillId="0" borderId="5" xfId="0" applyFont="1" applyBorder="1"/>
    <xf numFmtId="0" fontId="39" fillId="0" borderId="8" xfId="0" applyFont="1" applyBorder="1"/>
    <xf numFmtId="0" fontId="39" fillId="0" borderId="14" xfId="0" applyFont="1" applyBorder="1"/>
    <xf numFmtId="0" fontId="34" fillId="0" borderId="9" xfId="0" applyFont="1" applyFill="1" applyBorder="1" applyAlignment="1"/>
    <xf numFmtId="0" fontId="34" fillId="0" borderId="0" xfId="0" applyFont="1" applyFill="1" applyBorder="1" applyAlignment="1"/>
    <xf numFmtId="0" fontId="34" fillId="0" borderId="13" xfId="0" applyFont="1" applyFill="1" applyBorder="1" applyAlignment="1"/>
    <xf numFmtId="0" fontId="34" fillId="0" borderId="5" xfId="0" applyFont="1" applyFill="1" applyBorder="1" applyAlignment="1"/>
    <xf numFmtId="0" fontId="34" fillId="0" borderId="8" xfId="0" applyFont="1" applyFill="1" applyBorder="1" applyAlignment="1"/>
    <xf numFmtId="0" fontId="34" fillId="0" borderId="14" xfId="0" applyFont="1" applyFill="1" applyBorder="1" applyAlignment="1"/>
    <xf numFmtId="0" fontId="51" fillId="0" borderId="0" xfId="117" applyFont="1"/>
    <xf numFmtId="164" fontId="34" fillId="0" borderId="8" xfId="1" applyNumberFormat="1" applyFont="1" applyFill="1" applyBorder="1"/>
    <xf numFmtId="0" fontId="33" fillId="3" borderId="0" xfId="0" applyFont="1" applyFill="1"/>
    <xf numFmtId="0" fontId="50" fillId="0" borderId="1" xfId="0" applyFont="1" applyBorder="1" applyAlignment="1">
      <alignment horizontal="center"/>
    </xf>
    <xf numFmtId="0" fontId="50" fillId="0" borderId="4" xfId="0" applyFont="1" applyBorder="1" applyAlignment="1">
      <alignment horizontal="center"/>
    </xf>
    <xf numFmtId="164" fontId="32" fillId="0" borderId="0" xfId="1" applyNumberFormat="1" applyFont="1" applyFill="1"/>
    <xf numFmtId="165" fontId="0" fillId="0" borderId="0" xfId="0" applyNumberFormat="1"/>
    <xf numFmtId="9" fontId="24" fillId="0" borderId="0" xfId="8" applyFont="1"/>
    <xf numFmtId="0" fontId="25" fillId="0" borderId="0" xfId="122" applyFont="1" applyFill="1" applyBorder="1" applyAlignment="1">
      <alignment horizontal="right"/>
    </xf>
    <xf numFmtId="164" fontId="38" fillId="0" borderId="0" xfId="0" applyNumberFormat="1" applyFont="1"/>
    <xf numFmtId="0" fontId="25" fillId="0" borderId="10" xfId="122" applyFont="1" applyFill="1" applyBorder="1" applyAlignment="1">
      <alignment horizontal="right"/>
    </xf>
    <xf numFmtId="0" fontId="25" fillId="0" borderId="0" xfId="122" applyFont="1" applyBorder="1"/>
    <xf numFmtId="166" fontId="52" fillId="0" borderId="0" xfId="5" applyNumberFormat="1" applyFont="1" applyFill="1" applyBorder="1"/>
    <xf numFmtId="0" fontId="0" fillId="0" borderId="9" xfId="0" applyBorder="1"/>
    <xf numFmtId="164" fontId="38" fillId="0" borderId="0" xfId="0" applyNumberFormat="1" applyFont="1" applyFill="1" applyBorder="1"/>
    <xf numFmtId="165" fontId="32" fillId="0" borderId="0" xfId="5" applyNumberFormat="1" applyFont="1" applyFill="1"/>
    <xf numFmtId="0" fontId="29" fillId="0" borderId="9" xfId="117" applyFont="1" applyFill="1" applyBorder="1"/>
    <xf numFmtId="0" fontId="29" fillId="0" borderId="1" xfId="117" applyFont="1" applyFill="1" applyBorder="1"/>
    <xf numFmtId="0" fontId="20" fillId="0" borderId="0" xfId="117" applyFill="1"/>
    <xf numFmtId="0" fontId="57" fillId="0" borderId="0" xfId="0" applyFont="1"/>
    <xf numFmtId="167" fontId="26" fillId="0" borderId="0" xfId="8" applyNumberFormat="1" applyFont="1" applyFill="1" applyBorder="1" applyAlignment="1">
      <alignment vertical="center"/>
    </xf>
    <xf numFmtId="0" fontId="31" fillId="0" borderId="0" xfId="0" applyFont="1"/>
    <xf numFmtId="0" fontId="17" fillId="0" borderId="1" xfId="0" applyFont="1" applyBorder="1"/>
    <xf numFmtId="0" fontId="17" fillId="0" borderId="0" xfId="0" applyFont="1"/>
    <xf numFmtId="0" fontId="25" fillId="0" borderId="0" xfId="0" applyFont="1"/>
    <xf numFmtId="9" fontId="17" fillId="0" borderId="0" xfId="8" applyFont="1"/>
    <xf numFmtId="0" fontId="17" fillId="0" borderId="0" xfId="117" applyFont="1" applyFill="1" applyBorder="1" applyAlignment="1">
      <alignment horizontal="left" vertical="center"/>
    </xf>
    <xf numFmtId="0" fontId="17" fillId="0" borderId="8" xfId="0" applyFont="1" applyFill="1" applyBorder="1"/>
    <xf numFmtId="0" fontId="17" fillId="0" borderId="6" xfId="117" applyFont="1" applyBorder="1" applyAlignment="1"/>
    <xf numFmtId="0" fontId="17" fillId="0" borderId="10" xfId="117" applyFont="1" applyBorder="1" applyAlignment="1"/>
    <xf numFmtId="0" fontId="17" fillId="0" borderId="12" xfId="117" applyFont="1" applyBorder="1" applyAlignment="1"/>
    <xf numFmtId="164" fontId="17" fillId="0" borderId="10" xfId="1" applyNumberFormat="1" applyFont="1" applyBorder="1"/>
    <xf numFmtId="0" fontId="17" fillId="0" borderId="5" xfId="117" applyFont="1" applyBorder="1" applyAlignment="1"/>
    <xf numFmtId="0" fontId="17" fillId="0" borderId="8" xfId="117" applyFont="1" applyBorder="1" applyAlignment="1"/>
    <xf numFmtId="0" fontId="17" fillId="0" borderId="14" xfId="117" applyFont="1" applyBorder="1" applyAlignment="1"/>
    <xf numFmtId="164" fontId="17" fillId="0" borderId="8" xfId="1" applyNumberFormat="1" applyFont="1" applyBorder="1"/>
    <xf numFmtId="0" fontId="17" fillId="0" borderId="9" xfId="117" applyFont="1" applyBorder="1" applyAlignment="1"/>
    <xf numFmtId="0" fontId="17" fillId="0" borderId="0" xfId="117" applyFont="1" applyBorder="1" applyAlignment="1"/>
    <xf numFmtId="0" fontId="17" fillId="0" borderId="13" xfId="117" applyFont="1" applyBorder="1" applyAlignment="1"/>
    <xf numFmtId="164" fontId="17" fillId="0" borderId="0" xfId="1" applyNumberFormat="1" applyFont="1" applyBorder="1"/>
    <xf numFmtId="0" fontId="17" fillId="0" borderId="0" xfId="0" applyFont="1" applyBorder="1" applyAlignment="1">
      <alignment vertical="center"/>
    </xf>
    <xf numFmtId="0" fontId="17" fillId="0" borderId="0" xfId="0" applyFont="1" applyBorder="1"/>
    <xf numFmtId="0" fontId="34" fillId="0" borderId="5" xfId="0" applyFont="1" applyBorder="1"/>
    <xf numFmtId="0" fontId="34" fillId="0" borderId="8" xfId="0" applyFont="1" applyBorder="1"/>
    <xf numFmtId="0" fontId="34" fillId="0" borderId="14" xfId="0" applyFont="1" applyBorder="1"/>
    <xf numFmtId="164" fontId="34" fillId="0" borderId="7" xfId="1" applyNumberFormat="1" applyFont="1" applyFill="1" applyBorder="1"/>
    <xf numFmtId="0" fontId="38" fillId="0" borderId="0" xfId="0" applyFont="1" applyAlignment="1">
      <alignment horizontal="right"/>
    </xf>
    <xf numFmtId="0" fontId="17" fillId="0" borderId="0" xfId="0" applyFont="1" applyFill="1" applyBorder="1"/>
    <xf numFmtId="165" fontId="17" fillId="0" borderId="10" xfId="5" applyNumberFormat="1" applyFont="1" applyBorder="1"/>
    <xf numFmtId="165" fontId="17" fillId="0" borderId="8" xfId="5" applyNumberFormat="1" applyFont="1" applyBorder="1"/>
    <xf numFmtId="165" fontId="17" fillId="0" borderId="0" xfId="5" applyNumberFormat="1" applyFont="1" applyBorder="1"/>
    <xf numFmtId="165" fontId="17" fillId="0" borderId="0" xfId="5" applyNumberFormat="1" applyFont="1" applyFill="1" applyBorder="1"/>
    <xf numFmtId="165" fontId="34" fillId="0" borderId="2" xfId="5" applyNumberFormat="1" applyFont="1" applyFill="1" applyBorder="1"/>
    <xf numFmtId="165" fontId="34" fillId="0" borderId="7" xfId="5" applyNumberFormat="1" applyFont="1" applyFill="1" applyBorder="1"/>
    <xf numFmtId="165" fontId="34" fillId="0" borderId="11" xfId="5" applyNumberFormat="1" applyFont="1" applyFill="1" applyBorder="1"/>
    <xf numFmtId="166" fontId="17" fillId="0" borderId="10" xfId="5" applyNumberFormat="1" applyFont="1" applyBorder="1"/>
    <xf numFmtId="166" fontId="17" fillId="0" borderId="8" xfId="5" applyNumberFormat="1" applyFont="1" applyBorder="1"/>
    <xf numFmtId="166" fontId="17" fillId="0" borderId="0" xfId="5" applyNumberFormat="1" applyFont="1" applyBorder="1"/>
    <xf numFmtId="0" fontId="56" fillId="0" borderId="0" xfId="0" applyFont="1" applyAlignment="1">
      <alignment horizontal="left"/>
    </xf>
    <xf numFmtId="0" fontId="16" fillId="0" borderId="0" xfId="0" applyFont="1"/>
    <xf numFmtId="0" fontId="16" fillId="0" borderId="0" xfId="0" applyFont="1" applyAlignment="1">
      <alignment horizontal="center" vertical="center"/>
    </xf>
    <xf numFmtId="17" fontId="16" fillId="0" borderId="0" xfId="0" applyNumberFormat="1" applyFont="1" applyAlignment="1">
      <alignment horizontal="center" vertical="center"/>
    </xf>
    <xf numFmtId="9" fontId="16" fillId="0" borderId="0" xfId="8" applyFont="1"/>
    <xf numFmtId="0" fontId="16" fillId="0" borderId="2" xfId="0" applyFont="1" applyFill="1" applyBorder="1"/>
    <xf numFmtId="0" fontId="16" fillId="0" borderId="7" xfId="0" applyFont="1" applyFill="1" applyBorder="1"/>
    <xf numFmtId="0" fontId="16" fillId="0" borderId="11" xfId="0" applyFont="1" applyFill="1" applyBorder="1"/>
    <xf numFmtId="165" fontId="16" fillId="0" borderId="10" xfId="5" applyNumberFormat="1" applyFont="1" applyBorder="1"/>
    <xf numFmtId="0" fontId="16" fillId="0" borderId="3" xfId="0" applyFont="1" applyBorder="1" applyAlignment="1">
      <alignment horizontal="right"/>
    </xf>
    <xf numFmtId="165" fontId="16" fillId="0" borderId="0" xfId="5" applyNumberFormat="1" applyFont="1" applyBorder="1"/>
    <xf numFmtId="0" fontId="16" fillId="0" borderId="4" xfId="0" applyFont="1" applyBorder="1" applyAlignment="1">
      <alignment horizontal="right"/>
    </xf>
    <xf numFmtId="165" fontId="16" fillId="0" borderId="8" xfId="5" applyNumberFormat="1" applyFont="1" applyBorder="1"/>
    <xf numFmtId="0" fontId="16" fillId="0" borderId="6" xfId="0" applyFont="1" applyFill="1" applyBorder="1"/>
    <xf numFmtId="0" fontId="16" fillId="0" borderId="10" xfId="0" applyFont="1" applyFill="1" applyBorder="1"/>
    <xf numFmtId="0" fontId="16" fillId="0" borderId="12" xfId="0" applyFont="1" applyFill="1" applyBorder="1"/>
    <xf numFmtId="164" fontId="15" fillId="0" borderId="0" xfId="0" applyNumberFormat="1" applyFont="1"/>
    <xf numFmtId="0" fontId="15" fillId="0" borderId="0" xfId="0" applyFont="1"/>
    <xf numFmtId="164" fontId="15" fillId="0" borderId="0" xfId="1" applyNumberFormat="1" applyFont="1"/>
    <xf numFmtId="165" fontId="15" fillId="0" borderId="0" xfId="5" applyNumberFormat="1" applyFont="1"/>
    <xf numFmtId="0" fontId="15" fillId="0" borderId="0" xfId="0" applyFont="1" applyAlignment="1">
      <alignment horizontal="right"/>
    </xf>
    <xf numFmtId="164" fontId="15" fillId="0" borderId="9" xfId="0" applyNumberFormat="1" applyFont="1" applyFill="1" applyBorder="1"/>
    <xf numFmtId="164" fontId="15" fillId="0" borderId="0" xfId="0" applyNumberFormat="1" applyFont="1" applyFill="1" applyBorder="1"/>
    <xf numFmtId="164" fontId="15" fillId="0" borderId="6" xfId="0" applyNumberFormat="1" applyFont="1" applyFill="1" applyBorder="1"/>
    <xf numFmtId="164" fontId="15" fillId="0" borderId="10" xfId="0" applyNumberFormat="1" applyFont="1" applyFill="1" applyBorder="1"/>
    <xf numFmtId="0" fontId="15" fillId="0" borderId="6" xfId="0" applyFont="1" applyFill="1" applyBorder="1"/>
    <xf numFmtId="0" fontId="15" fillId="0" borderId="10" xfId="0" applyFont="1" applyFill="1" applyBorder="1"/>
    <xf numFmtId="0" fontId="15" fillId="0" borderId="2" xfId="0" applyFont="1" applyBorder="1"/>
    <xf numFmtId="0" fontId="15" fillId="0" borderId="6" xfId="0" applyFont="1" applyBorder="1"/>
    <xf numFmtId="165" fontId="15" fillId="0" borderId="6" xfId="5" applyNumberFormat="1" applyFont="1" applyFill="1" applyBorder="1"/>
    <xf numFmtId="165" fontId="15" fillId="0" borderId="10" xfId="5" applyNumberFormat="1" applyFont="1" applyFill="1" applyBorder="1"/>
    <xf numFmtId="165" fontId="15" fillId="0" borderId="9" xfId="5" applyNumberFormat="1" applyFont="1" applyFill="1" applyBorder="1"/>
    <xf numFmtId="165" fontId="15" fillId="0" borderId="0" xfId="5" applyNumberFormat="1" applyFont="1" applyFill="1" applyBorder="1"/>
    <xf numFmtId="0" fontId="15" fillId="0" borderId="1" xfId="0" applyFont="1" applyBorder="1"/>
    <xf numFmtId="0" fontId="16" fillId="0" borderId="7" xfId="0" applyFont="1" applyBorder="1"/>
    <xf numFmtId="0" fontId="58" fillId="0" borderId="0" xfId="0" applyFont="1" applyAlignment="1">
      <alignment horizontal="left"/>
    </xf>
    <xf numFmtId="0" fontId="15" fillId="0" borderId="4" xfId="0" applyFont="1" applyBorder="1"/>
    <xf numFmtId="0" fontId="46" fillId="0" borderId="0" xfId="0" applyFont="1"/>
    <xf numFmtId="165" fontId="38" fillId="0" borderId="0" xfId="0" applyNumberFormat="1" applyFont="1"/>
    <xf numFmtId="164" fontId="15" fillId="0" borderId="2" xfId="0" applyNumberFormat="1" applyFont="1" applyFill="1" applyBorder="1"/>
    <xf numFmtId="164" fontId="15" fillId="0" borderId="7" xfId="0" applyNumberFormat="1" applyFont="1" applyFill="1" applyBorder="1"/>
    <xf numFmtId="165" fontId="15" fillId="0" borderId="2" xfId="5" applyNumberFormat="1" applyFont="1" applyFill="1" applyBorder="1"/>
    <xf numFmtId="165" fontId="15" fillId="0" borderId="7" xfId="5" applyNumberFormat="1" applyFont="1" applyFill="1" applyBorder="1"/>
    <xf numFmtId="0" fontId="18" fillId="0" borderId="7" xfId="0" applyFont="1" applyBorder="1"/>
    <xf numFmtId="0" fontId="31" fillId="0" borderId="0" xfId="0" applyFont="1" applyAlignment="1">
      <alignment horizontal="center"/>
    </xf>
    <xf numFmtId="164" fontId="34" fillId="0" borderId="6" xfId="0" applyNumberFormat="1" applyFont="1" applyFill="1" applyBorder="1"/>
    <xf numFmtId="164" fontId="34" fillId="0" borderId="10" xfId="0" applyNumberFormat="1" applyFont="1" applyFill="1" applyBorder="1"/>
    <xf numFmtId="164" fontId="34" fillId="0" borderId="9" xfId="0" applyNumberFormat="1" applyFont="1" applyFill="1" applyBorder="1"/>
    <xf numFmtId="164" fontId="34" fillId="0" borderId="0" xfId="0" applyNumberFormat="1" applyFont="1" applyFill="1" applyBorder="1"/>
    <xf numFmtId="164" fontId="34" fillId="0" borderId="5" xfId="0" applyNumberFormat="1" applyFont="1" applyFill="1" applyBorder="1"/>
    <xf numFmtId="164" fontId="34" fillId="0" borderId="8" xfId="0" applyNumberFormat="1" applyFont="1" applyFill="1" applyBorder="1"/>
    <xf numFmtId="164" fontId="34" fillId="0" borderId="2" xfId="0" applyNumberFormat="1" applyFont="1" applyFill="1" applyBorder="1"/>
    <xf numFmtId="164" fontId="34" fillId="0" borderId="7" xfId="0" applyNumberFormat="1" applyFont="1" applyFill="1" applyBorder="1"/>
    <xf numFmtId="165" fontId="34" fillId="0" borderId="8" xfId="5" applyNumberFormat="1" applyFont="1" applyFill="1" applyBorder="1"/>
    <xf numFmtId="165" fontId="34" fillId="0" borderId="14" xfId="5" applyNumberFormat="1" applyFont="1" applyFill="1" applyBorder="1"/>
    <xf numFmtId="165" fontId="34" fillId="0" borderId="10" xfId="5" applyNumberFormat="1" applyFont="1" applyFill="1" applyBorder="1"/>
    <xf numFmtId="165" fontId="34" fillId="0" borderId="12" xfId="5" applyNumberFormat="1" applyFont="1" applyFill="1" applyBorder="1"/>
    <xf numFmtId="165" fontId="34" fillId="0" borderId="0" xfId="5" applyNumberFormat="1" applyFont="1" applyFill="1" applyBorder="1"/>
    <xf numFmtId="165" fontId="34" fillId="0" borderId="6" xfId="5" applyNumberFormat="1" applyFont="1" applyFill="1" applyBorder="1"/>
    <xf numFmtId="165" fontId="34" fillId="0" borderId="9" xfId="5" applyNumberFormat="1" applyFont="1" applyFill="1" applyBorder="1"/>
    <xf numFmtId="0" fontId="13" fillId="0" borderId="0" xfId="0" applyFont="1" applyAlignment="1">
      <alignment horizontal="right"/>
    </xf>
    <xf numFmtId="9" fontId="13" fillId="0" borderId="0" xfId="8" applyFont="1"/>
    <xf numFmtId="165" fontId="16" fillId="0" borderId="0" xfId="5" applyNumberFormat="1" applyFont="1"/>
    <xf numFmtId="0" fontId="46" fillId="0" borderId="0" xfId="122" applyFont="1" applyAlignment="1">
      <alignment horizontal="center"/>
    </xf>
    <xf numFmtId="0" fontId="16" fillId="0" borderId="0" xfId="0" applyFont="1" applyBorder="1"/>
    <xf numFmtId="165" fontId="34" fillId="0" borderId="5" xfId="5" applyNumberFormat="1" applyFont="1" applyFill="1" applyBorder="1"/>
    <xf numFmtId="0" fontId="42" fillId="0" borderId="2" xfId="122" applyFont="1" applyBorder="1" applyAlignment="1"/>
    <xf numFmtId="0" fontId="42" fillId="0" borderId="7" xfId="122" applyFont="1" applyBorder="1" applyAlignment="1"/>
    <xf numFmtId="0" fontId="25" fillId="0" borderId="6" xfId="122" applyFont="1" applyFill="1" applyBorder="1" applyAlignment="1">
      <alignment horizontal="right"/>
    </xf>
    <xf numFmtId="0" fontId="29" fillId="0" borderId="3" xfId="117" applyFont="1" applyFill="1" applyBorder="1"/>
    <xf numFmtId="0" fontId="25" fillId="0" borderId="9" xfId="122" applyFont="1" applyFill="1" applyBorder="1" applyAlignment="1">
      <alignment horizontal="right"/>
    </xf>
    <xf numFmtId="164" fontId="27" fillId="0" borderId="0" xfId="0" applyNumberFormat="1" applyFont="1"/>
    <xf numFmtId="0" fontId="56" fillId="0" borderId="8" xfId="0" applyFont="1" applyBorder="1" applyAlignment="1">
      <alignment horizontal="left"/>
    </xf>
    <xf numFmtId="0" fontId="56" fillId="0" borderId="14" xfId="0" applyFont="1" applyBorder="1" applyAlignment="1">
      <alignment horizontal="left"/>
    </xf>
    <xf numFmtId="164" fontId="17" fillId="0" borderId="0" xfId="1" applyNumberFormat="1" applyFont="1" applyFill="1" applyBorder="1"/>
    <xf numFmtId="166" fontId="17" fillId="0" borderId="0" xfId="5" applyNumberFormat="1" applyFont="1" applyFill="1" applyBorder="1"/>
    <xf numFmtId="0" fontId="56" fillId="0" borderId="0" xfId="0" applyFont="1"/>
    <xf numFmtId="0" fontId="42" fillId="0" borderId="7" xfId="122" applyFont="1" applyFill="1" applyBorder="1"/>
    <xf numFmtId="9" fontId="60" fillId="15" borderId="7" xfId="8" applyNumberFormat="1" applyFont="1" applyFill="1" applyBorder="1" applyAlignment="1">
      <alignment vertical="center"/>
    </xf>
    <xf numFmtId="9" fontId="60" fillId="15" borderId="11" xfId="8" applyNumberFormat="1" applyFont="1" applyFill="1" applyBorder="1" applyAlignment="1">
      <alignment vertical="center"/>
    </xf>
    <xf numFmtId="0" fontId="12" fillId="0" borderId="0" xfId="0" applyFont="1"/>
    <xf numFmtId="0" fontId="16" fillId="0" borderId="8" xfId="0" applyFont="1" applyBorder="1"/>
    <xf numFmtId="0" fontId="12" fillId="0" borderId="6" xfId="0" applyFont="1" applyBorder="1"/>
    <xf numFmtId="0" fontId="12" fillId="0" borderId="9" xfId="0" applyFont="1" applyBorder="1"/>
    <xf numFmtId="17" fontId="59" fillId="0" borderId="0" xfId="0" quotePrefix="1" applyNumberFormat="1" applyFont="1" applyAlignment="1">
      <alignment horizontal="left"/>
    </xf>
    <xf numFmtId="0" fontId="15" fillId="0" borderId="2" xfId="0" applyFont="1" applyFill="1" applyBorder="1"/>
    <xf numFmtId="0" fontId="15" fillId="0" borderId="7" xfId="0" applyFont="1" applyFill="1" applyBorder="1"/>
    <xf numFmtId="164" fontId="15" fillId="0" borderId="5" xfId="1" applyNumberFormat="1" applyFont="1" applyBorder="1"/>
    <xf numFmtId="164" fontId="15" fillId="0" borderId="8" xfId="1" applyNumberFormat="1" applyFont="1" applyBorder="1"/>
    <xf numFmtId="9" fontId="15" fillId="0" borderId="10" xfId="8" applyFont="1" applyBorder="1"/>
    <xf numFmtId="0" fontId="15" fillId="0" borderId="5" xfId="0" applyFont="1" applyBorder="1"/>
    <xf numFmtId="9" fontId="15" fillId="0" borderId="8" xfId="8" applyFont="1" applyBorder="1"/>
    <xf numFmtId="0" fontId="12" fillId="0" borderId="1" xfId="0" applyFont="1" applyBorder="1"/>
    <xf numFmtId="0" fontId="12" fillId="0" borderId="4" xfId="0" applyFont="1" applyBorder="1"/>
    <xf numFmtId="44" fontId="38" fillId="0" borderId="0" xfId="0" applyNumberFormat="1" applyFont="1"/>
    <xf numFmtId="169" fontId="38" fillId="0" borderId="0" xfId="5" applyNumberFormat="1" applyFont="1"/>
    <xf numFmtId="0" fontId="61" fillId="0" borderId="0" xfId="0" applyFont="1"/>
    <xf numFmtId="164" fontId="15" fillId="0" borderId="5" xfId="0" applyNumberFormat="1" applyFont="1" applyFill="1" applyBorder="1"/>
    <xf numFmtId="164" fontId="15" fillId="0" borderId="8" xfId="0" applyNumberFormat="1" applyFont="1" applyFill="1" applyBorder="1"/>
    <xf numFmtId="44" fontId="38" fillId="0" borderId="0" xfId="5" applyNumberFormat="1" applyFont="1"/>
    <xf numFmtId="164" fontId="15" fillId="0" borderId="10" xfId="1" applyNumberFormat="1" applyFont="1" applyBorder="1"/>
    <xf numFmtId="164" fontId="15" fillId="0" borderId="6" xfId="1" applyNumberFormat="1" applyFont="1" applyBorder="1"/>
    <xf numFmtId="0" fontId="22" fillId="0" borderId="12" xfId="0" applyFont="1" applyBorder="1" applyAlignment="1">
      <alignment horizontal="right"/>
    </xf>
    <xf numFmtId="0" fontId="22" fillId="0" borderId="13" xfId="0" applyFont="1" applyBorder="1" applyAlignment="1">
      <alignment horizontal="right"/>
    </xf>
    <xf numFmtId="0" fontId="22" fillId="0" borderId="14" xfId="0" applyFont="1" applyBorder="1" applyAlignment="1">
      <alignment horizontal="right"/>
    </xf>
    <xf numFmtId="0" fontId="22" fillId="0" borderId="12" xfId="0" applyFont="1" applyBorder="1" applyAlignment="1">
      <alignment horizontal="center"/>
    </xf>
    <xf numFmtId="17" fontId="22" fillId="0" borderId="13" xfId="0" applyNumberFormat="1" applyFont="1" applyBorder="1" applyAlignment="1">
      <alignment horizontal="center"/>
    </xf>
    <xf numFmtId="0" fontId="53" fillId="8" borderId="11" xfId="0" quotePrefix="1" applyFont="1" applyFill="1" applyBorder="1" applyAlignment="1">
      <alignment horizontal="left" vertical="center"/>
    </xf>
    <xf numFmtId="17" fontId="22" fillId="0" borderId="14" xfId="0" applyNumberFormat="1" applyFont="1" applyBorder="1" applyAlignment="1">
      <alignment horizontal="center"/>
    </xf>
    <xf numFmtId="167" fontId="49" fillId="0" borderId="15" xfId="8" applyNumberFormat="1" applyFont="1" applyFill="1" applyBorder="1" applyAlignment="1">
      <alignment horizontal="center" vertical="center"/>
    </xf>
    <xf numFmtId="0" fontId="9" fillId="0" borderId="15" xfId="0" applyFont="1" applyBorder="1" applyAlignment="1">
      <alignment horizontal="center" vertical="center"/>
    </xf>
    <xf numFmtId="0" fontId="17" fillId="0" borderId="15" xfId="0" applyFont="1" applyBorder="1" applyAlignment="1">
      <alignment horizontal="center"/>
    </xf>
    <xf numFmtId="0" fontId="49" fillId="0" borderId="0" xfId="0" quotePrefix="1" applyFont="1"/>
    <xf numFmtId="0" fontId="42" fillId="0" borderId="11" xfId="122" applyFont="1" applyFill="1" applyBorder="1"/>
    <xf numFmtId="0" fontId="29" fillId="0" borderId="13" xfId="117" applyFont="1" applyBorder="1"/>
    <xf numFmtId="0" fontId="42" fillId="0" borderId="0" xfId="0" applyFont="1"/>
    <xf numFmtId="0" fontId="34" fillId="0" borderId="12" xfId="0" applyFont="1" applyFill="1" applyBorder="1" applyAlignment="1"/>
    <xf numFmtId="0" fontId="34" fillId="0" borderId="10" xfId="0" applyFont="1" applyFill="1" applyBorder="1" applyAlignment="1"/>
    <xf numFmtId="0" fontId="34" fillId="0" borderId="6" xfId="0" applyFont="1" applyFill="1" applyBorder="1" applyAlignment="1"/>
    <xf numFmtId="170" fontId="17" fillId="0" borderId="0" xfId="0" applyNumberFormat="1" applyFont="1"/>
    <xf numFmtId="0" fontId="38" fillId="0" borderId="0" xfId="0" applyFont="1" applyFill="1"/>
    <xf numFmtId="0" fontId="61" fillId="0" borderId="0" xfId="0" applyFont="1" applyFill="1"/>
    <xf numFmtId="0" fontId="17" fillId="0" borderId="6" xfId="117" applyFont="1" applyFill="1" applyBorder="1" applyAlignment="1"/>
    <xf numFmtId="0" fontId="17" fillId="0" borderId="10" xfId="117" applyFont="1" applyFill="1" applyBorder="1" applyAlignment="1"/>
    <xf numFmtId="0" fontId="17" fillId="0" borderId="12" xfId="117" applyFont="1" applyFill="1" applyBorder="1" applyAlignment="1"/>
    <xf numFmtId="0" fontId="17" fillId="0" borderId="9" xfId="117" applyFont="1" applyFill="1" applyBorder="1" applyAlignment="1"/>
    <xf numFmtId="0" fontId="17" fillId="0" borderId="0" xfId="117" applyFont="1" applyFill="1" applyBorder="1" applyAlignment="1"/>
    <xf numFmtId="0" fontId="17" fillId="0" borderId="13" xfId="117" applyFont="1" applyFill="1" applyBorder="1" applyAlignment="1"/>
    <xf numFmtId="0" fontId="17" fillId="0" borderId="5" xfId="117" applyFont="1" applyFill="1" applyBorder="1" applyAlignment="1"/>
    <xf numFmtId="0" fontId="17" fillId="0" borderId="8" xfId="117" applyFont="1" applyFill="1" applyBorder="1" applyAlignment="1"/>
    <xf numFmtId="0" fontId="17" fillId="0" borderId="14" xfId="117" applyFont="1" applyFill="1" applyBorder="1" applyAlignment="1"/>
    <xf numFmtId="164" fontId="17" fillId="0" borderId="0" xfId="1" applyNumberFormat="1" applyFont="1"/>
    <xf numFmtId="164" fontId="17" fillId="0" borderId="0" xfId="0" applyNumberFormat="1" applyFont="1"/>
    <xf numFmtId="0" fontId="20" fillId="0" borderId="9" xfId="117" applyBorder="1"/>
    <xf numFmtId="0" fontId="20" fillId="0" borderId="0" xfId="117" applyBorder="1"/>
    <xf numFmtId="0" fontId="20" fillId="0" borderId="13" xfId="117" applyBorder="1"/>
    <xf numFmtId="0" fontId="46" fillId="0" borderId="9" xfId="117" applyFont="1" applyBorder="1"/>
    <xf numFmtId="0" fontId="20" fillId="0" borderId="5" xfId="117" applyBorder="1"/>
    <xf numFmtId="0" fontId="20" fillId="0" borderId="8" xfId="117" applyBorder="1"/>
    <xf numFmtId="0" fontId="20" fillId="0" borderId="14" xfId="117" applyBorder="1"/>
    <xf numFmtId="0" fontId="18" fillId="0" borderId="2" xfId="117" applyFont="1" applyFill="1" applyBorder="1" applyAlignment="1">
      <alignment horizontal="left" vertical="center"/>
    </xf>
    <xf numFmtId="0" fontId="18" fillId="0" borderId="7" xfId="117" applyFont="1" applyFill="1" applyBorder="1" applyAlignment="1">
      <alignment horizontal="left" vertical="center"/>
    </xf>
    <xf numFmtId="0" fontId="18" fillId="0" borderId="11" xfId="117" applyFont="1" applyFill="1" applyBorder="1" applyAlignment="1">
      <alignment horizontal="left" vertical="center"/>
    </xf>
    <xf numFmtId="0" fontId="12" fillId="0" borderId="0" xfId="117" applyFont="1"/>
    <xf numFmtId="0" fontId="63" fillId="0" borderId="0" xfId="117" applyFont="1"/>
    <xf numFmtId="0" fontId="40" fillId="0" borderId="0" xfId="117" applyFont="1" applyFill="1" applyBorder="1" applyAlignment="1">
      <alignment vertical="center"/>
    </xf>
    <xf numFmtId="0" fontId="35" fillId="0" borderId="0" xfId="0" applyFont="1" applyBorder="1"/>
    <xf numFmtId="164" fontId="34" fillId="0" borderId="10" xfId="1" applyNumberFormat="1" applyFont="1" applyBorder="1"/>
    <xf numFmtId="164" fontId="34" fillId="0" borderId="0" xfId="1" applyNumberFormat="1" applyFont="1" applyBorder="1"/>
    <xf numFmtId="164" fontId="34" fillId="0" borderId="8" xfId="1" applyNumberFormat="1" applyFont="1" applyBorder="1"/>
    <xf numFmtId="164" fontId="17" fillId="0" borderId="0" xfId="0" applyNumberFormat="1" applyFont="1" applyBorder="1"/>
    <xf numFmtId="0" fontId="17" fillId="0" borderId="7" xfId="0" applyFont="1" applyFill="1" applyBorder="1"/>
    <xf numFmtId="0" fontId="29" fillId="0" borderId="3" xfId="133" applyFont="1" applyFill="1" applyBorder="1"/>
    <xf numFmtId="0" fontId="34" fillId="0" borderId="0" xfId="0" quotePrefix="1" applyFont="1" applyFill="1" applyBorder="1" applyAlignment="1"/>
    <xf numFmtId="165" fontId="34" fillId="0" borderId="0" xfId="5" applyNumberFormat="1" applyFont="1" applyFill="1" applyBorder="1" applyAlignment="1"/>
    <xf numFmtId="0" fontId="7" fillId="0" borderId="0" xfId="0" applyFont="1"/>
    <xf numFmtId="9" fontId="7" fillId="0" borderId="0" xfId="8" applyFont="1"/>
    <xf numFmtId="0" fontId="7" fillId="0" borderId="2" xfId="0" applyFont="1" applyBorder="1"/>
    <xf numFmtId="164" fontId="7" fillId="0" borderId="0" xfId="1" applyNumberFormat="1" applyFont="1" applyBorder="1"/>
    <xf numFmtId="0" fontId="7" fillId="0" borderId="6" xfId="0" applyFont="1" applyBorder="1"/>
    <xf numFmtId="0" fontId="7" fillId="0" borderId="10" xfId="0" applyFont="1" applyBorder="1"/>
    <xf numFmtId="0" fontId="7" fillId="0" borderId="9" xfId="0" applyFont="1" applyBorder="1"/>
    <xf numFmtId="0" fontId="7" fillId="0" borderId="0" xfId="0" applyFont="1" applyBorder="1"/>
    <xf numFmtId="164" fontId="7" fillId="0" borderId="0" xfId="1" applyNumberFormat="1" applyFont="1"/>
    <xf numFmtId="165" fontId="7" fillId="0" borderId="0" xfId="5" applyNumberFormat="1" applyFont="1" applyBorder="1"/>
    <xf numFmtId="165" fontId="7" fillId="0" borderId="0" xfId="5" applyNumberFormat="1" applyFont="1" applyFill="1" applyBorder="1"/>
    <xf numFmtId="165" fontId="7" fillId="0" borderId="0" xfId="5" applyNumberFormat="1" applyFont="1"/>
    <xf numFmtId="166" fontId="7" fillId="0" borderId="9" xfId="5" applyNumberFormat="1" applyFont="1" applyFill="1" applyBorder="1"/>
    <xf numFmtId="166" fontId="7" fillId="0" borderId="0" xfId="5" applyNumberFormat="1" applyFont="1" applyFill="1" applyBorder="1"/>
    <xf numFmtId="0" fontId="7" fillId="6" borderId="0" xfId="0" applyFont="1" applyFill="1" applyAlignment="1">
      <alignment horizontal="center"/>
    </xf>
    <xf numFmtId="0" fontId="7" fillId="0" borderId="0" xfId="0" applyFont="1" applyFill="1" applyAlignment="1">
      <alignment horizontal="center"/>
    </xf>
    <xf numFmtId="9" fontId="38" fillId="0" borderId="0" xfId="8" applyFont="1"/>
    <xf numFmtId="0" fontId="7" fillId="0" borderId="3" xfId="0" applyFont="1" applyBorder="1"/>
    <xf numFmtId="164" fontId="17" fillId="0" borderId="8" xfId="1" applyNumberFormat="1" applyFont="1" applyFill="1" applyBorder="1"/>
    <xf numFmtId="164" fontId="17" fillId="0" borderId="10" xfId="1" applyNumberFormat="1" applyFont="1" applyFill="1" applyBorder="1"/>
    <xf numFmtId="0" fontId="17" fillId="0" borderId="0" xfId="0" applyFont="1" applyFill="1"/>
    <xf numFmtId="0" fontId="7" fillId="0" borderId="0" xfId="0" applyFont="1" applyFill="1"/>
    <xf numFmtId="164" fontId="7" fillId="0" borderId="0" xfId="0" applyNumberFormat="1" applyFont="1"/>
    <xf numFmtId="164" fontId="7" fillId="0" borderId="15" xfId="1" applyNumberFormat="1" applyFont="1" applyBorder="1"/>
    <xf numFmtId="0" fontId="7" fillId="0" borderId="15" xfId="0" applyFont="1" applyBorder="1"/>
    <xf numFmtId="0" fontId="7" fillId="0" borderId="5" xfId="0" applyFont="1" applyBorder="1"/>
    <xf numFmtId="0" fontId="7" fillId="0" borderId="8" xfId="0" applyFont="1" applyBorder="1"/>
    <xf numFmtId="0" fontId="7" fillId="0" borderId="14" xfId="0" applyFont="1" applyBorder="1"/>
    <xf numFmtId="0" fontId="7" fillId="0" borderId="13" xfId="0" applyFont="1" applyBorder="1"/>
    <xf numFmtId="0" fontId="59" fillId="0" borderId="0" xfId="0" applyFont="1"/>
    <xf numFmtId="166" fontId="34" fillId="0" borderId="0" xfId="5" applyNumberFormat="1" applyFont="1" applyFill="1" applyBorder="1"/>
    <xf numFmtId="166" fontId="34" fillId="0" borderId="8" xfId="5" applyNumberFormat="1" applyFont="1" applyFill="1" applyBorder="1"/>
    <xf numFmtId="166" fontId="34" fillId="0" borderId="10" xfId="5" applyNumberFormat="1" applyFont="1" applyFill="1" applyBorder="1"/>
    <xf numFmtId="0" fontId="22" fillId="0" borderId="0" xfId="0" applyFont="1" applyAlignment="1">
      <alignment vertical="top"/>
    </xf>
    <xf numFmtId="0" fontId="7" fillId="0" borderId="0" xfId="0" applyFont="1" applyAlignment="1">
      <alignment horizontal="center" vertical="center" wrapText="1"/>
    </xf>
    <xf numFmtId="0" fontId="7" fillId="0" borderId="0" xfId="0" quotePrefix="1" applyFont="1" applyFill="1" applyAlignment="1">
      <alignment horizontal="center"/>
    </xf>
    <xf numFmtId="0" fontId="65" fillId="0" borderId="0" xfId="0" applyFont="1" applyAlignment="1">
      <alignment horizontal="center"/>
    </xf>
    <xf numFmtId="0" fontId="66" fillId="0" borderId="0" xfId="0" applyFont="1" applyAlignment="1">
      <alignment horizontal="center"/>
    </xf>
    <xf numFmtId="0" fontId="29" fillId="0" borderId="4" xfId="117" applyFont="1" applyFill="1" applyBorder="1"/>
    <xf numFmtId="0" fontId="29" fillId="0" borderId="1" xfId="133" applyFont="1" applyFill="1" applyBorder="1"/>
    <xf numFmtId="0" fontId="54" fillId="0" borderId="1" xfId="133" applyFont="1" applyFill="1" applyBorder="1"/>
    <xf numFmtId="0" fontId="29" fillId="0" borderId="15" xfId="133" applyFont="1" applyFill="1" applyBorder="1"/>
    <xf numFmtId="0" fontId="29" fillId="0" borderId="13" xfId="133" applyFont="1" applyFill="1" applyBorder="1"/>
    <xf numFmtId="0" fontId="29" fillId="0" borderId="4" xfId="133" applyFont="1" applyFill="1" applyBorder="1"/>
    <xf numFmtId="0" fontId="29" fillId="0" borderId="9" xfId="133" applyFont="1" applyFill="1" applyBorder="1"/>
    <xf numFmtId="0" fontId="12" fillId="0" borderId="0" xfId="133" applyFill="1" applyAlignment="1">
      <alignment horizontal="center"/>
    </xf>
    <xf numFmtId="0" fontId="54" fillId="0" borderId="15" xfId="133" applyFont="1" applyFill="1" applyBorder="1"/>
    <xf numFmtId="0" fontId="29" fillId="0" borderId="6" xfId="133" applyFont="1" applyFill="1" applyBorder="1"/>
    <xf numFmtId="0" fontId="29" fillId="0" borderId="5" xfId="133" applyFont="1" applyFill="1" applyBorder="1"/>
    <xf numFmtId="0" fontId="29" fillId="0" borderId="5" xfId="117" applyFont="1" applyFill="1" applyBorder="1"/>
    <xf numFmtId="0" fontId="65" fillId="0" borderId="3" xfId="117" applyFont="1" applyFill="1" applyBorder="1"/>
    <xf numFmtId="0" fontId="65" fillId="0" borderId="1" xfId="133" applyFont="1" applyFill="1" applyBorder="1"/>
    <xf numFmtId="0" fontId="65" fillId="0" borderId="4" xfId="133" applyFont="1" applyFill="1" applyBorder="1"/>
    <xf numFmtId="0" fontId="65" fillId="0" borderId="15" xfId="117" applyFont="1" applyFill="1" applyBorder="1"/>
    <xf numFmtId="0" fontId="54" fillId="0" borderId="4" xfId="133" applyFont="1" applyFill="1" applyBorder="1"/>
    <xf numFmtId="0" fontId="65" fillId="0" borderId="15" xfId="133" applyFont="1" applyFill="1" applyBorder="1"/>
    <xf numFmtId="165" fontId="16" fillId="0" borderId="0" xfId="5" applyNumberFormat="1" applyFont="1" applyFill="1"/>
    <xf numFmtId="0" fontId="7" fillId="0" borderId="8" xfId="117" applyFont="1" applyFill="1" applyBorder="1" applyAlignment="1"/>
    <xf numFmtId="0" fontId="7" fillId="0" borderId="0" xfId="0" applyFont="1" applyAlignment="1">
      <alignment horizontal="right"/>
    </xf>
    <xf numFmtId="0" fontId="7" fillId="0" borderId="5" xfId="117" applyFont="1" applyFill="1" applyBorder="1" applyAlignment="1"/>
    <xf numFmtId="0" fontId="7" fillId="0" borderId="14" xfId="117" applyFont="1" applyFill="1" applyBorder="1" applyAlignment="1"/>
    <xf numFmtId="0" fontId="7" fillId="0" borderId="9" xfId="117" applyFont="1" applyBorder="1" applyAlignment="1"/>
    <xf numFmtId="0" fontId="7" fillId="0" borderId="0" xfId="117" applyFont="1" applyBorder="1" applyAlignment="1"/>
    <xf numFmtId="0" fontId="66" fillId="0" borderId="0" xfId="0" applyFont="1" applyBorder="1" applyAlignment="1">
      <alignment horizontal="center"/>
    </xf>
    <xf numFmtId="0" fontId="66" fillId="0" borderId="0" xfId="0" applyFont="1" applyFill="1" applyAlignment="1">
      <alignment horizontal="center"/>
    </xf>
    <xf numFmtId="0" fontId="65" fillId="0" borderId="10" xfId="0" applyFont="1" applyBorder="1" applyAlignment="1">
      <alignment horizontal="center"/>
    </xf>
    <xf numFmtId="0" fontId="48" fillId="0" borderId="1" xfId="117" applyFont="1" applyFill="1" applyBorder="1"/>
    <xf numFmtId="0" fontId="67" fillId="0" borderId="0" xfId="0" applyFont="1" applyFill="1" applyAlignment="1">
      <alignment horizontal="center"/>
    </xf>
    <xf numFmtId="0" fontId="48" fillId="0" borderId="4" xfId="117" applyFont="1" applyFill="1" applyBorder="1"/>
    <xf numFmtId="0" fontId="68" fillId="0" borderId="4" xfId="0" applyFont="1" applyFill="1" applyBorder="1" applyAlignment="1">
      <alignment horizontal="center"/>
    </xf>
    <xf numFmtId="0" fontId="48" fillId="0" borderId="3" xfId="117" applyFont="1" applyFill="1" applyBorder="1"/>
    <xf numFmtId="0" fontId="48" fillId="0" borderId="9" xfId="117" applyFont="1" applyFill="1" applyBorder="1"/>
    <xf numFmtId="0" fontId="67" fillId="0" borderId="4" xfId="0" applyFont="1" applyFill="1" applyBorder="1" applyAlignment="1">
      <alignment horizontal="center"/>
    </xf>
    <xf numFmtId="0" fontId="68" fillId="0" borderId="0" xfId="0" applyFont="1" applyFill="1" applyAlignment="1">
      <alignment horizontal="center"/>
    </xf>
    <xf numFmtId="0" fontId="48" fillId="0" borderId="3" xfId="0" applyFont="1" applyFill="1" applyBorder="1" applyAlignment="1">
      <alignment horizontal="left" vertical="center"/>
    </xf>
    <xf numFmtId="0" fontId="48" fillId="0" borderId="15" xfId="117" applyFont="1" applyFill="1" applyBorder="1"/>
    <xf numFmtId="0" fontId="48" fillId="0" borderId="2" xfId="117" applyFont="1" applyFill="1" applyBorder="1"/>
    <xf numFmtId="0" fontId="68" fillId="0" borderId="2" xfId="0" applyFont="1" applyFill="1" applyBorder="1" applyAlignment="1">
      <alignment horizontal="center"/>
    </xf>
    <xf numFmtId="0" fontId="69" fillId="0" borderId="0" xfId="117" applyFont="1"/>
    <xf numFmtId="0" fontId="48" fillId="0" borderId="1" xfId="0" applyFont="1" applyFill="1" applyBorder="1" applyAlignment="1">
      <alignment horizontal="left" vertical="center"/>
    </xf>
    <xf numFmtId="0" fontId="67" fillId="0" borderId="1" xfId="0" applyFont="1" applyFill="1" applyBorder="1" applyAlignment="1">
      <alignment horizontal="center"/>
    </xf>
    <xf numFmtId="0" fontId="67" fillId="0" borderId="3" xfId="0" applyFont="1" applyFill="1" applyBorder="1" applyAlignment="1">
      <alignment horizontal="center"/>
    </xf>
    <xf numFmtId="0" fontId="68" fillId="0" borderId="3" xfId="0" applyFont="1" applyFill="1" applyBorder="1" applyAlignment="1">
      <alignment horizontal="center"/>
    </xf>
    <xf numFmtId="0" fontId="48" fillId="0" borderId="3" xfId="117" applyFont="1" applyFill="1" applyBorder="1" applyAlignment="1">
      <alignment horizontal="center"/>
    </xf>
    <xf numFmtId="0" fontId="48" fillId="0" borderId="1" xfId="117" applyFont="1" applyFill="1" applyBorder="1" applyAlignment="1">
      <alignment horizontal="center"/>
    </xf>
    <xf numFmtId="0" fontId="48" fillId="0" borderId="4" xfId="117" applyFont="1" applyFill="1" applyBorder="1" applyAlignment="1">
      <alignment horizontal="center"/>
    </xf>
    <xf numFmtId="0" fontId="48" fillId="0" borderId="15" xfId="117" applyFont="1" applyFill="1" applyBorder="1" applyAlignment="1">
      <alignment horizontal="center"/>
    </xf>
    <xf numFmtId="0" fontId="46" fillId="0" borderId="0" xfId="117" applyFont="1"/>
    <xf numFmtId="44" fontId="17" fillId="0" borderId="0" xfId="0" applyNumberFormat="1" applyFont="1"/>
    <xf numFmtId="0" fontId="68" fillId="0" borderId="1" xfId="0" applyFont="1" applyFill="1" applyBorder="1" applyAlignment="1">
      <alignment horizontal="center"/>
    </xf>
    <xf numFmtId="165" fontId="17" fillId="0" borderId="10" xfId="5" applyNumberFormat="1" applyFont="1" applyFill="1" applyBorder="1"/>
    <xf numFmtId="0" fontId="7" fillId="0" borderId="1" xfId="0" applyFont="1" applyBorder="1"/>
    <xf numFmtId="165" fontId="16" fillId="0" borderId="10" xfId="5" applyNumberFormat="1" applyFont="1" applyFill="1" applyBorder="1"/>
    <xf numFmtId="165" fontId="16" fillId="0" borderId="8" xfId="5" applyNumberFormat="1" applyFont="1" applyFill="1" applyBorder="1"/>
    <xf numFmtId="0" fontId="17" fillId="0" borderId="2" xfId="117" applyFont="1" applyFill="1" applyBorder="1" applyAlignment="1">
      <alignment horizontal="left" vertical="center"/>
    </xf>
    <xf numFmtId="0" fontId="17" fillId="0" borderId="7" xfId="117" applyFont="1" applyFill="1" applyBorder="1" applyAlignment="1">
      <alignment horizontal="left" vertical="center"/>
    </xf>
    <xf numFmtId="0" fontId="17" fillId="0" borderId="11" xfId="117" applyFont="1" applyFill="1" applyBorder="1" applyAlignment="1">
      <alignment horizontal="left" vertical="center"/>
    </xf>
    <xf numFmtId="0" fontId="16" fillId="0" borderId="0" xfId="0" applyFont="1" applyFill="1"/>
    <xf numFmtId="165" fontId="16" fillId="0" borderId="5" xfId="5" applyNumberFormat="1" applyFont="1" applyFill="1" applyBorder="1"/>
    <xf numFmtId="0" fontId="7" fillId="0" borderId="0" xfId="117" applyFont="1" applyFill="1" applyBorder="1" applyAlignment="1"/>
    <xf numFmtId="165" fontId="16" fillId="0" borderId="0" xfId="5" applyNumberFormat="1" applyFont="1" applyFill="1" applyBorder="1"/>
    <xf numFmtId="165" fontId="16" fillId="0" borderId="9" xfId="5" applyNumberFormat="1" applyFont="1" applyFill="1" applyBorder="1"/>
    <xf numFmtId="166" fontId="16" fillId="0" borderId="0" xfId="5" applyNumberFormat="1" applyFont="1" applyFill="1" applyBorder="1"/>
    <xf numFmtId="166" fontId="16" fillId="0" borderId="0" xfId="0" applyNumberFormat="1" applyFont="1" applyFill="1" applyBorder="1"/>
    <xf numFmtId="166" fontId="16" fillId="0" borderId="0" xfId="5" applyNumberFormat="1" applyFont="1" applyBorder="1"/>
    <xf numFmtId="166" fontId="16" fillId="0" borderId="8" xfId="5" applyNumberFormat="1" applyFont="1" applyBorder="1"/>
    <xf numFmtId="165" fontId="16" fillId="0" borderId="0" xfId="0" applyNumberFormat="1" applyFont="1" applyFill="1" applyBorder="1"/>
    <xf numFmtId="165" fontId="16" fillId="0" borderId="8" xfId="0" applyNumberFormat="1" applyFont="1" applyFill="1" applyBorder="1"/>
    <xf numFmtId="0" fontId="7" fillId="0" borderId="4" xfId="0" applyFont="1" applyBorder="1"/>
    <xf numFmtId="0" fontId="16" fillId="0" borderId="0" xfId="0" applyFont="1" applyFill="1" applyBorder="1"/>
    <xf numFmtId="0" fontId="7" fillId="0" borderId="5" xfId="0" applyFont="1" applyFill="1" applyBorder="1"/>
    <xf numFmtId="164" fontId="7" fillId="0" borderId="2" xfId="0" applyNumberFormat="1" applyFont="1" applyFill="1" applyBorder="1"/>
    <xf numFmtId="164" fontId="7" fillId="0" borderId="7" xfId="0" applyNumberFormat="1" applyFont="1" applyFill="1" applyBorder="1"/>
    <xf numFmtId="166" fontId="16" fillId="0" borderId="10" xfId="5" applyNumberFormat="1" applyFont="1" applyFill="1" applyBorder="1"/>
    <xf numFmtId="166" fontId="16" fillId="0" borderId="8" xfId="5" applyNumberFormat="1" applyFont="1" applyFill="1" applyBorder="1"/>
    <xf numFmtId="0" fontId="7" fillId="0" borderId="2" xfId="0" applyFont="1" applyFill="1" applyBorder="1"/>
    <xf numFmtId="0" fontId="7" fillId="0" borderId="7" xfId="0" applyFont="1" applyFill="1" applyBorder="1"/>
    <xf numFmtId="164" fontId="7" fillId="0" borderId="0" xfId="0" applyNumberFormat="1" applyFont="1" applyFill="1"/>
    <xf numFmtId="164" fontId="7" fillId="0" borderId="8" xfId="0" applyNumberFormat="1" applyFont="1" applyFill="1" applyBorder="1"/>
    <xf numFmtId="164" fontId="7" fillId="0" borderId="0" xfId="1" quotePrefix="1" applyNumberFormat="1" applyFont="1" applyAlignment="1">
      <alignment horizontal="right"/>
    </xf>
    <xf numFmtId="0" fontId="7" fillId="0" borderId="6" xfId="0" applyFont="1" applyFill="1" applyBorder="1"/>
    <xf numFmtId="0" fontId="7" fillId="0" borderId="10" xfId="0" applyFont="1" applyFill="1" applyBorder="1"/>
    <xf numFmtId="164" fontId="7" fillId="0" borderId="6" xfId="0" applyNumberFormat="1" applyFont="1" applyFill="1" applyBorder="1"/>
    <xf numFmtId="164" fontId="7" fillId="0" borderId="10" xfId="0" applyNumberFormat="1" applyFont="1" applyFill="1" applyBorder="1"/>
    <xf numFmtId="164" fontId="7" fillId="0" borderId="9" xfId="0" applyNumberFormat="1" applyFont="1" applyFill="1" applyBorder="1"/>
    <xf numFmtId="164" fontId="7" fillId="0" borderId="0" xfId="0" applyNumberFormat="1" applyFont="1" applyFill="1" applyBorder="1"/>
    <xf numFmtId="164" fontId="7" fillId="0" borderId="5" xfId="0" applyNumberFormat="1" applyFont="1" applyFill="1" applyBorder="1"/>
    <xf numFmtId="165" fontId="7" fillId="0" borderId="6" xfId="5" applyNumberFormat="1" applyFont="1" applyFill="1" applyBorder="1"/>
    <xf numFmtId="165" fontId="7" fillId="0" borderId="10" xfId="5" applyNumberFormat="1" applyFont="1" applyFill="1" applyBorder="1"/>
    <xf numFmtId="165" fontId="7" fillId="0" borderId="9" xfId="5" applyNumberFormat="1" applyFont="1" applyFill="1" applyBorder="1"/>
    <xf numFmtId="165" fontId="7" fillId="0" borderId="5" xfId="5" applyNumberFormat="1" applyFont="1" applyFill="1" applyBorder="1"/>
    <xf numFmtId="165" fontId="7" fillId="0" borderId="8" xfId="5" applyNumberFormat="1" applyFont="1" applyFill="1" applyBorder="1"/>
    <xf numFmtId="0" fontId="7" fillId="6" borderId="10" xfId="0" applyFont="1" applyFill="1" applyBorder="1"/>
    <xf numFmtId="0" fontId="0" fillId="6" borderId="10" xfId="0" applyFill="1" applyBorder="1"/>
    <xf numFmtId="164" fontId="7" fillId="6" borderId="0" xfId="0" applyNumberFormat="1" applyFont="1" applyFill="1"/>
    <xf numFmtId="0" fontId="7" fillId="7" borderId="0" xfId="0" applyFont="1" applyFill="1"/>
    <xf numFmtId="164" fontId="7" fillId="7" borderId="0" xfId="0" applyNumberFormat="1" applyFont="1" applyFill="1" applyBorder="1"/>
    <xf numFmtId="0" fontId="7" fillId="7" borderId="0" xfId="0" applyFont="1" applyFill="1" applyAlignment="1">
      <alignment horizontal="center"/>
    </xf>
    <xf numFmtId="164" fontId="7" fillId="7" borderId="0" xfId="0" applyNumberFormat="1" applyFont="1" applyFill="1"/>
    <xf numFmtId="0" fontId="7" fillId="7" borderId="8" xfId="0" applyFont="1" applyFill="1" applyBorder="1" applyAlignment="1">
      <alignment horizontal="center"/>
    </xf>
    <xf numFmtId="164" fontId="7" fillId="7" borderId="8" xfId="0" applyNumberFormat="1" applyFont="1" applyFill="1" applyBorder="1"/>
    <xf numFmtId="9" fontId="7" fillId="0" borderId="0" xfId="8" applyNumberFormat="1" applyFont="1"/>
    <xf numFmtId="0" fontId="7" fillId="0" borderId="0" xfId="0" applyFont="1" applyAlignment="1">
      <alignment vertical="center" wrapText="1"/>
    </xf>
    <xf numFmtId="164" fontId="7" fillId="0" borderId="0" xfId="8" applyNumberFormat="1" applyFont="1"/>
    <xf numFmtId="0" fontId="7" fillId="0" borderId="0" xfId="0" applyFont="1" applyAlignment="1">
      <alignment horizontal="right" vertical="center"/>
    </xf>
    <xf numFmtId="167" fontId="7" fillId="0" borderId="0" xfId="8" applyNumberFormat="1" applyFont="1"/>
    <xf numFmtId="166" fontId="7" fillId="0" borderId="6" xfId="5" applyNumberFormat="1" applyFont="1" applyFill="1" applyBorder="1"/>
    <xf numFmtId="166" fontId="7" fillId="0" borderId="10" xfId="5" applyNumberFormat="1" applyFont="1" applyFill="1" applyBorder="1"/>
    <xf numFmtId="166" fontId="7" fillId="0" borderId="5" xfId="5" applyNumberFormat="1" applyFont="1" applyFill="1" applyBorder="1"/>
    <xf numFmtId="166" fontId="7" fillId="0" borderId="8" xfId="5" applyNumberFormat="1" applyFont="1" applyFill="1" applyBorder="1"/>
    <xf numFmtId="0" fontId="33" fillId="0" borderId="0" xfId="0" applyFont="1" applyFill="1"/>
    <xf numFmtId="14" fontId="0" fillId="3" borderId="0" xfId="0" applyNumberFormat="1" applyFill="1"/>
    <xf numFmtId="0" fontId="7" fillId="0" borderId="5" xfId="117" applyFont="1" applyBorder="1" applyAlignment="1"/>
    <xf numFmtId="0" fontId="67" fillId="3" borderId="0" xfId="0" applyFont="1" applyFill="1"/>
    <xf numFmtId="0" fontId="16" fillId="0" borderId="0" xfId="0" applyFont="1" applyAlignment="1">
      <alignment horizontal="center"/>
    </xf>
    <xf numFmtId="0" fontId="34" fillId="0" borderId="3" xfId="0" applyFont="1" applyFill="1" applyBorder="1" applyAlignment="1">
      <alignment horizontal="right"/>
    </xf>
    <xf numFmtId="0" fontId="12" fillId="0" borderId="3" xfId="0" applyFont="1" applyBorder="1" applyAlignment="1">
      <alignment horizontal="right"/>
    </xf>
    <xf numFmtId="166" fontId="16" fillId="0" borderId="7" xfId="5" applyNumberFormat="1" applyFont="1" applyBorder="1"/>
    <xf numFmtId="166" fontId="34" fillId="0" borderId="9" xfId="5" applyNumberFormat="1" applyFont="1" applyFill="1" applyBorder="1"/>
    <xf numFmtId="0" fontId="39" fillId="0" borderId="6" xfId="117" applyFont="1" applyBorder="1"/>
    <xf numFmtId="0" fontId="20" fillId="0" borderId="10" xfId="117" applyBorder="1"/>
    <xf numFmtId="0" fontId="20" fillId="0" borderId="12" xfId="117" applyBorder="1"/>
    <xf numFmtId="0" fontId="34" fillId="0" borderId="9" xfId="117" applyFont="1" applyBorder="1"/>
    <xf numFmtId="0" fontId="65" fillId="0" borderId="4" xfId="117" applyFont="1" applyFill="1" applyBorder="1"/>
    <xf numFmtId="0" fontId="29" fillId="0" borderId="15" xfId="117" applyFont="1" applyFill="1" applyBorder="1"/>
    <xf numFmtId="0" fontId="29" fillId="0" borderId="11" xfId="117" applyFont="1" applyFill="1" applyBorder="1"/>
    <xf numFmtId="0" fontId="66" fillId="0" borderId="7" xfId="0" applyFont="1" applyFill="1" applyBorder="1" applyAlignment="1">
      <alignment horizontal="center"/>
    </xf>
    <xf numFmtId="0" fontId="65" fillId="0" borderId="0" xfId="0" applyFont="1" applyFill="1" applyAlignment="1">
      <alignment horizontal="center"/>
    </xf>
    <xf numFmtId="0" fontId="29" fillId="0" borderId="14" xfId="117" applyFont="1" applyFill="1" applyBorder="1"/>
    <xf numFmtId="0" fontId="66" fillId="0" borderId="8" xfId="0" applyFont="1" applyFill="1" applyBorder="1" applyAlignment="1">
      <alignment horizontal="center"/>
    </xf>
    <xf numFmtId="0" fontId="29" fillId="0" borderId="3" xfId="0" applyFont="1" applyFill="1" applyBorder="1" applyAlignment="1">
      <alignment horizontal="left" vertical="center"/>
    </xf>
    <xf numFmtId="0" fontId="29" fillId="0" borderId="13" xfId="117" applyFont="1" applyFill="1" applyBorder="1"/>
    <xf numFmtId="0" fontId="56" fillId="4" borderId="15" xfId="117" applyFont="1" applyFill="1" applyBorder="1" applyAlignment="1">
      <alignment vertical="center"/>
    </xf>
    <xf numFmtId="0" fontId="29" fillId="0" borderId="12" xfId="117" applyFont="1" applyBorder="1"/>
    <xf numFmtId="0" fontId="17" fillId="0" borderId="15" xfId="117" applyFont="1" applyFill="1" applyBorder="1" applyAlignment="1">
      <alignment horizontal="left" vertical="center"/>
    </xf>
    <xf numFmtId="0" fontId="4" fillId="0" borderId="5" xfId="117" applyFont="1" applyBorder="1"/>
    <xf numFmtId="0" fontId="12" fillId="0" borderId="3" xfId="0" applyFont="1" applyBorder="1"/>
    <xf numFmtId="165" fontId="15" fillId="0" borderId="8" xfId="5" applyNumberFormat="1" applyFont="1" applyFill="1" applyBorder="1"/>
    <xf numFmtId="0" fontId="41" fillId="0" borderId="0" xfId="0" applyFont="1" applyFill="1" applyAlignment="1">
      <alignment horizontal="right" vertical="center"/>
    </xf>
    <xf numFmtId="164" fontId="34" fillId="0" borderId="0" xfId="1" applyNumberFormat="1" applyFont="1" applyFill="1" applyBorder="1" applyAlignment="1"/>
    <xf numFmtId="166" fontId="7" fillId="0" borderId="0" xfId="0" applyNumberFormat="1" applyFont="1"/>
    <xf numFmtId="0" fontId="32" fillId="0" borderId="0" xfId="117" applyFont="1" applyFill="1"/>
    <xf numFmtId="164" fontId="17" fillId="0" borderId="0" xfId="0" applyNumberFormat="1" applyFont="1" applyFill="1"/>
    <xf numFmtId="0" fontId="18" fillId="0" borderId="7" xfId="0" applyFont="1" applyFill="1" applyBorder="1"/>
    <xf numFmtId="165" fontId="17" fillId="0" borderId="8" xfId="5" applyNumberFormat="1" applyFont="1" applyFill="1" applyBorder="1"/>
    <xf numFmtId="170" fontId="17" fillId="0" borderId="0" xfId="0" applyNumberFormat="1" applyFont="1" applyFill="1"/>
    <xf numFmtId="166" fontId="17" fillId="0" borderId="8" xfId="5" applyNumberFormat="1" applyFont="1" applyFill="1" applyBorder="1"/>
    <xf numFmtId="166" fontId="17" fillId="0" borderId="10" xfId="5" applyNumberFormat="1" applyFont="1" applyFill="1" applyBorder="1"/>
    <xf numFmtId="0" fontId="65" fillId="0" borderId="3" xfId="133" applyFont="1" applyFill="1" applyBorder="1"/>
    <xf numFmtId="0" fontId="7" fillId="0" borderId="1" xfId="0" quotePrefix="1" applyFont="1" applyBorder="1"/>
    <xf numFmtId="0" fontId="7" fillId="2" borderId="0" xfId="0" applyFont="1" applyFill="1"/>
    <xf numFmtId="166" fontId="34" fillId="0" borderId="7" xfId="5" applyNumberFormat="1" applyFont="1" applyFill="1" applyBorder="1"/>
    <xf numFmtId="0" fontId="7" fillId="0" borderId="8" xfId="0" applyFont="1" applyBorder="1" applyAlignment="1">
      <alignment horizontal="center"/>
    </xf>
    <xf numFmtId="0" fontId="65" fillId="0" borderId="14" xfId="0" applyFont="1" applyFill="1" applyBorder="1" applyAlignment="1">
      <alignment horizontal="center"/>
    </xf>
    <xf numFmtId="0" fontId="65" fillId="0" borderId="14" xfId="0" applyFont="1" applyBorder="1" applyAlignment="1">
      <alignment horizontal="center"/>
    </xf>
    <xf numFmtId="0" fontId="66" fillId="0" borderId="14" xfId="0" applyFont="1" applyFill="1" applyBorder="1" applyAlignment="1">
      <alignment horizontal="center"/>
    </xf>
    <xf numFmtId="0" fontId="66" fillId="0" borderId="13" xfId="0" applyFont="1" applyFill="1" applyBorder="1" applyAlignment="1">
      <alignment horizontal="center"/>
    </xf>
    <xf numFmtId="0" fontId="65" fillId="0" borderId="7" xfId="0" applyFont="1" applyFill="1" applyBorder="1" applyAlignment="1">
      <alignment horizontal="center"/>
    </xf>
    <xf numFmtId="0" fontId="66" fillId="0" borderId="11" xfId="0" applyFont="1" applyFill="1" applyBorder="1" applyAlignment="1">
      <alignment horizontal="center"/>
    </xf>
    <xf numFmtId="0" fontId="66" fillId="0" borderId="12" xfId="0" applyFont="1" applyFill="1" applyBorder="1" applyAlignment="1">
      <alignment horizontal="center"/>
    </xf>
    <xf numFmtId="0" fontId="65" fillId="0" borderId="12" xfId="0" applyFont="1" applyFill="1" applyBorder="1" applyAlignment="1">
      <alignment horizontal="center"/>
    </xf>
    <xf numFmtId="0" fontId="65" fillId="0" borderId="0" xfId="0" applyFont="1" applyFill="1" applyBorder="1" applyAlignment="1">
      <alignment horizontal="center"/>
    </xf>
    <xf numFmtId="0" fontId="66" fillId="0" borderId="0" xfId="0" applyFont="1" applyFill="1" applyBorder="1" applyAlignment="1">
      <alignment horizontal="center"/>
    </xf>
    <xf numFmtId="0" fontId="66" fillId="0" borderId="14" xfId="0" applyFont="1" applyBorder="1" applyAlignment="1">
      <alignment horizontal="center"/>
    </xf>
    <xf numFmtId="0" fontId="71" fillId="0" borderId="0" xfId="133" applyFont="1"/>
    <xf numFmtId="0" fontId="71" fillId="0" borderId="0" xfId="117" applyFont="1"/>
    <xf numFmtId="0" fontId="34" fillId="0" borderId="0" xfId="117" applyFont="1"/>
    <xf numFmtId="0" fontId="34" fillId="0" borderId="0" xfId="117" applyFont="1" applyBorder="1"/>
    <xf numFmtId="0" fontId="34" fillId="0" borderId="8" xfId="117" applyFont="1" applyBorder="1"/>
    <xf numFmtId="0" fontId="73" fillId="4" borderId="0" xfId="117" applyFont="1" applyFill="1" applyBorder="1" applyAlignment="1">
      <alignment vertical="center"/>
    </xf>
    <xf numFmtId="0" fontId="55" fillId="0" borderId="0" xfId="117" applyFont="1" applyFill="1" applyBorder="1" applyAlignment="1">
      <alignment horizontal="center"/>
    </xf>
    <xf numFmtId="0" fontId="54" fillId="0" borderId="1" xfId="133" applyFont="1" applyFill="1" applyBorder="1" applyAlignment="1">
      <alignment horizontal="left"/>
    </xf>
    <xf numFmtId="0" fontId="72" fillId="4" borderId="15" xfId="117" applyFont="1" applyFill="1" applyBorder="1" applyAlignment="1">
      <alignment horizontal="left" vertical="center"/>
    </xf>
    <xf numFmtId="0" fontId="67" fillId="0" borderId="1" xfId="117" applyFont="1" applyFill="1" applyBorder="1" applyAlignment="1">
      <alignment horizontal="left"/>
    </xf>
    <xf numFmtId="0" fontId="67" fillId="0" borderId="3" xfId="117" applyFont="1" applyFill="1" applyBorder="1" applyAlignment="1">
      <alignment horizontal="left"/>
    </xf>
    <xf numFmtId="0" fontId="67" fillId="0" borderId="4" xfId="117" applyFont="1" applyFill="1" applyBorder="1" applyAlignment="1">
      <alignment horizontal="left"/>
    </xf>
    <xf numFmtId="0" fontId="67" fillId="0" borderId="15" xfId="117" applyFont="1" applyFill="1" applyBorder="1" applyAlignment="1">
      <alignment horizontal="left"/>
    </xf>
    <xf numFmtId="0" fontId="67" fillId="0" borderId="1" xfId="133" applyFont="1" applyFill="1" applyBorder="1" applyAlignment="1">
      <alignment horizontal="left"/>
    </xf>
    <xf numFmtId="0" fontId="67" fillId="0" borderId="4" xfId="133" applyFont="1" applyFill="1" applyBorder="1" applyAlignment="1">
      <alignment horizontal="left"/>
    </xf>
    <xf numFmtId="0" fontId="67" fillId="0" borderId="15" xfId="133" applyFont="1" applyFill="1" applyBorder="1" applyAlignment="1">
      <alignment horizontal="left"/>
    </xf>
    <xf numFmtId="0" fontId="55" fillId="0" borderId="3" xfId="117" applyFont="1" applyFill="1" applyBorder="1" applyAlignment="1">
      <alignment horizontal="left"/>
    </xf>
    <xf numFmtId="0" fontId="55" fillId="0" borderId="4" xfId="117" applyFont="1" applyFill="1" applyBorder="1" applyAlignment="1">
      <alignment horizontal="left"/>
    </xf>
    <xf numFmtId="0" fontId="54" fillId="0" borderId="3" xfId="117" applyFont="1" applyFill="1" applyBorder="1" applyAlignment="1">
      <alignment horizontal="left"/>
    </xf>
    <xf numFmtId="0" fontId="55" fillId="0" borderId="1" xfId="133" applyFont="1" applyFill="1" applyBorder="1" applyAlignment="1">
      <alignment horizontal="left"/>
    </xf>
    <xf numFmtId="0" fontId="55" fillId="0" borderId="4" xfId="133" applyFont="1" applyFill="1" applyBorder="1" applyAlignment="1">
      <alignment horizontal="left"/>
    </xf>
    <xf numFmtId="0" fontId="54" fillId="0" borderId="3" xfId="133" applyFont="1" applyFill="1" applyBorder="1" applyAlignment="1">
      <alignment horizontal="left"/>
    </xf>
    <xf numFmtId="0" fontId="54" fillId="0" borderId="1" xfId="117" applyFont="1" applyFill="1" applyBorder="1" applyAlignment="1">
      <alignment horizontal="left"/>
    </xf>
    <xf numFmtId="0" fontId="55" fillId="0" borderId="3" xfId="133" applyFont="1" applyFill="1" applyBorder="1" applyAlignment="1">
      <alignment horizontal="left"/>
    </xf>
    <xf numFmtId="0" fontId="55" fillId="0" borderId="1" xfId="117" applyFont="1" applyFill="1" applyBorder="1" applyAlignment="1">
      <alignment horizontal="left"/>
    </xf>
    <xf numFmtId="0" fontId="56" fillId="4" borderId="0" xfId="117" applyFont="1" applyFill="1" applyBorder="1" applyAlignment="1">
      <alignment vertical="center"/>
    </xf>
    <xf numFmtId="0" fontId="48" fillId="0" borderId="0" xfId="117" applyFont="1" applyFill="1" applyBorder="1" applyAlignment="1">
      <alignment horizontal="center"/>
    </xf>
    <xf numFmtId="0" fontId="55" fillId="0" borderId="4" xfId="133" applyFont="1" applyFill="1" applyBorder="1"/>
    <xf numFmtId="0" fontId="55" fillId="0" borderId="4" xfId="117" applyFont="1" applyFill="1" applyBorder="1"/>
    <xf numFmtId="0" fontId="55" fillId="0" borderId="3" xfId="117" applyFont="1" applyFill="1" applyBorder="1"/>
    <xf numFmtId="0" fontId="55" fillId="0" borderId="1" xfId="117" applyFont="1" applyFill="1" applyBorder="1"/>
    <xf numFmtId="0" fontId="55" fillId="0" borderId="15" xfId="117" applyFont="1" applyFill="1" applyBorder="1"/>
    <xf numFmtId="0" fontId="55" fillId="0" borderId="1" xfId="133" applyFont="1" applyFill="1" applyBorder="1"/>
    <xf numFmtId="0" fontId="55" fillId="0" borderId="15" xfId="133" applyFont="1" applyFill="1" applyBorder="1"/>
    <xf numFmtId="0" fontId="55" fillId="0" borderId="3" xfId="133" applyFont="1" applyFill="1" applyBorder="1"/>
    <xf numFmtId="0" fontId="55" fillId="0" borderId="13" xfId="133" applyFont="1" applyFill="1" applyBorder="1"/>
    <xf numFmtId="0" fontId="55" fillId="0" borderId="12" xfId="133" applyFont="1" applyFill="1" applyBorder="1"/>
    <xf numFmtId="0" fontId="29" fillId="0" borderId="2" xfId="133" applyFont="1" applyFill="1" applyBorder="1"/>
    <xf numFmtId="0" fontId="29" fillId="0" borderId="2" xfId="117" applyFont="1" applyFill="1" applyBorder="1"/>
    <xf numFmtId="0" fontId="54" fillId="0" borderId="3" xfId="133" applyFont="1" applyFill="1" applyBorder="1"/>
    <xf numFmtId="0" fontId="69" fillId="0" borderId="1" xfId="133" applyFont="1" applyFill="1" applyBorder="1" applyAlignment="1">
      <alignment horizontal="left"/>
    </xf>
    <xf numFmtId="0" fontId="7" fillId="0" borderId="10" xfId="117" applyFont="1" applyFill="1" applyBorder="1" applyAlignment="1"/>
    <xf numFmtId="171" fontId="17" fillId="0" borderId="0" xfId="5" applyNumberFormat="1" applyFont="1"/>
    <xf numFmtId="0" fontId="40" fillId="0" borderId="0" xfId="117" applyFont="1"/>
    <xf numFmtId="0" fontId="61" fillId="0" borderId="0" xfId="0" applyFont="1" applyBorder="1"/>
    <xf numFmtId="0" fontId="29" fillId="0" borderId="0" xfId="117" applyFont="1" applyFill="1" applyBorder="1"/>
    <xf numFmtId="0" fontId="61" fillId="0" borderId="0" xfId="0" applyFont="1" applyFill="1" applyBorder="1"/>
    <xf numFmtId="0" fontId="71" fillId="0" borderId="0" xfId="133" quotePrefix="1" applyFont="1"/>
    <xf numFmtId="0" fontId="7" fillId="6" borderId="0" xfId="0" applyFont="1" applyFill="1" applyBorder="1" applyAlignment="1">
      <alignment horizontal="center"/>
    </xf>
    <xf numFmtId="164" fontId="7" fillId="6" borderId="0" xfId="0" applyNumberFormat="1" applyFont="1" applyFill="1" applyBorder="1"/>
    <xf numFmtId="43" fontId="17" fillId="0" borderId="0" xfId="0" applyNumberFormat="1" applyFont="1"/>
    <xf numFmtId="0" fontId="7" fillId="0" borderId="0" xfId="117" applyFont="1" applyFill="1"/>
    <xf numFmtId="0" fontId="7" fillId="0" borderId="0" xfId="117" quotePrefix="1" applyFont="1" applyFill="1"/>
    <xf numFmtId="168" fontId="38" fillId="0" borderId="0" xfId="1" applyNumberFormat="1" applyFont="1" applyFill="1" applyAlignment="1">
      <alignment horizontal="right"/>
    </xf>
    <xf numFmtId="43" fontId="27" fillId="0" borderId="0" xfId="1" applyFont="1"/>
    <xf numFmtId="164" fontId="7" fillId="0" borderId="0" xfId="0" applyNumberFormat="1" applyFont="1" applyBorder="1"/>
    <xf numFmtId="164" fontId="7" fillId="0" borderId="15" xfId="0" applyNumberFormat="1" applyFont="1" applyBorder="1"/>
    <xf numFmtId="44" fontId="16" fillId="0" borderId="0" xfId="5" applyNumberFormat="1" applyFont="1" applyBorder="1"/>
    <xf numFmtId="44" fontId="16" fillId="0" borderId="0" xfId="5" applyNumberFormat="1" applyFont="1" applyFill="1" applyBorder="1"/>
    <xf numFmtId="0" fontId="0" fillId="0" borderId="0" xfId="0" quotePrefix="1"/>
    <xf numFmtId="0" fontId="7" fillId="0" borderId="14" xfId="164" applyFont="1" applyFill="1" applyBorder="1" applyAlignment="1"/>
    <xf numFmtId="164" fontId="7" fillId="0" borderId="10" xfId="1" applyNumberFormat="1" applyFont="1" applyBorder="1"/>
    <xf numFmtId="165" fontId="7" fillId="0" borderId="10" xfId="5" applyNumberFormat="1" applyFont="1" applyBorder="1"/>
    <xf numFmtId="165" fontId="7" fillId="0" borderId="8" xfId="5" applyNumberFormat="1" applyFont="1" applyBorder="1"/>
    <xf numFmtId="0" fontId="7" fillId="0" borderId="13" xfId="164" applyFont="1" applyFill="1" applyBorder="1" applyAlignment="1"/>
    <xf numFmtId="0" fontId="34" fillId="0" borderId="10" xfId="0" quotePrefix="1" applyFont="1" applyFill="1" applyBorder="1" applyAlignment="1"/>
    <xf numFmtId="165" fontId="34" fillId="0" borderId="10" xfId="5" quotePrefix="1" applyNumberFormat="1" applyFont="1" applyFill="1" applyBorder="1" applyAlignment="1"/>
    <xf numFmtId="164" fontId="7" fillId="0" borderId="1" xfId="1" applyNumberFormat="1" applyFont="1" applyBorder="1"/>
    <xf numFmtId="0" fontId="7" fillId="0" borderId="11" xfId="0" applyFont="1" applyFill="1" applyBorder="1"/>
    <xf numFmtId="0" fontId="20" fillId="0" borderId="3" xfId="117" applyBorder="1"/>
    <xf numFmtId="0" fontId="48" fillId="0" borderId="5" xfId="117" applyFont="1" applyFill="1" applyBorder="1"/>
    <xf numFmtId="0" fontId="48" fillId="0" borderId="4" xfId="0" applyFont="1" applyFill="1" applyBorder="1" applyAlignment="1">
      <alignment horizontal="left" vertical="center"/>
    </xf>
    <xf numFmtId="0" fontId="48" fillId="0" borderId="14" xfId="117" applyFont="1" applyFill="1" applyBorder="1"/>
    <xf numFmtId="0" fontId="67" fillId="0" borderId="4" xfId="117" applyFont="1" applyFill="1" applyBorder="1" applyAlignment="1">
      <alignment horizontal="center"/>
    </xf>
    <xf numFmtId="0" fontId="67" fillId="0" borderId="14" xfId="0" applyFont="1" applyFill="1" applyBorder="1" applyAlignment="1">
      <alignment horizontal="center"/>
    </xf>
    <xf numFmtId="0" fontId="48" fillId="14" borderId="15" xfId="117" applyFont="1" applyFill="1" applyBorder="1"/>
    <xf numFmtId="0" fontId="65" fillId="14" borderId="15" xfId="117" applyFont="1" applyFill="1" applyBorder="1" applyAlignment="1">
      <alignment horizontal="center"/>
    </xf>
    <xf numFmtId="0" fontId="68" fillId="14" borderId="4" xfId="0" applyFont="1" applyFill="1" applyBorder="1" applyAlignment="1">
      <alignment horizontal="center"/>
    </xf>
    <xf numFmtId="43" fontId="7" fillId="0" borderId="0" xfId="0" applyNumberFormat="1" applyFont="1"/>
    <xf numFmtId="0" fontId="7" fillId="0" borderId="15" xfId="0" applyFont="1" applyFill="1" applyBorder="1"/>
    <xf numFmtId="0" fontId="55" fillId="3" borderId="0" xfId="0" applyFont="1" applyFill="1"/>
    <xf numFmtId="0" fontId="40" fillId="0" borderId="0" xfId="0" applyFont="1"/>
    <xf numFmtId="0" fontId="83" fillId="0" borderId="0" xfId="0" applyFont="1" applyAlignment="1">
      <alignment horizontal="left" vertical="center" readingOrder="1"/>
    </xf>
    <xf numFmtId="164" fontId="59" fillId="0" borderId="0" xfId="1" quotePrefix="1" applyNumberFormat="1" applyFont="1" applyAlignment="1">
      <alignment horizontal="right"/>
    </xf>
    <xf numFmtId="164" fontId="59" fillId="0" borderId="0" xfId="0" applyNumberFormat="1" applyFont="1"/>
    <xf numFmtId="0" fontId="7" fillId="0" borderId="0" xfId="0" applyFont="1" applyAlignment="1">
      <alignment horizontal="left"/>
    </xf>
    <xf numFmtId="164" fontId="34" fillId="0" borderId="12" xfId="0" applyNumberFormat="1" applyFont="1" applyFill="1" applyBorder="1"/>
    <xf numFmtId="164" fontId="34" fillId="0" borderId="14" xfId="0" applyNumberFormat="1" applyFont="1" applyFill="1" applyBorder="1"/>
    <xf numFmtId="166" fontId="16" fillId="0" borderId="8" xfId="0" applyNumberFormat="1" applyFont="1" applyFill="1" applyBorder="1"/>
    <xf numFmtId="0" fontId="7" fillId="2" borderId="15" xfId="117" applyFont="1" applyFill="1" applyBorder="1" applyAlignment="1">
      <alignment horizontal="center"/>
    </xf>
    <xf numFmtId="0" fontId="7" fillId="0" borderId="1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12" xfId="0" applyFont="1" applyBorder="1"/>
    <xf numFmtId="165" fontId="15" fillId="0" borderId="5" xfId="5" applyNumberFormat="1" applyFont="1" applyFill="1" applyBorder="1"/>
    <xf numFmtId="0" fontId="59" fillId="0" borderId="0" xfId="122" quotePrefix="1" applyFont="1"/>
    <xf numFmtId="0" fontId="16" fillId="0" borderId="9" xfId="0" applyFont="1" applyFill="1" applyBorder="1"/>
    <xf numFmtId="164" fontId="67" fillId="0" borderId="0" xfId="1" applyNumberFormat="1" applyFont="1" applyFill="1"/>
    <xf numFmtId="164" fontId="67" fillId="0" borderId="0" xfId="0" applyNumberFormat="1" applyFont="1" applyFill="1"/>
    <xf numFmtId="0" fontId="31" fillId="0" borderId="0" xfId="0" applyFont="1" applyFill="1" applyAlignment="1">
      <alignment horizontal="right"/>
    </xf>
    <xf numFmtId="165" fontId="7" fillId="0" borderId="12" xfId="5" applyNumberFormat="1" applyFont="1" applyFill="1" applyBorder="1" applyAlignment="1"/>
    <xf numFmtId="0" fontId="7" fillId="0" borderId="12" xfId="117" applyFont="1" applyFill="1" applyBorder="1" applyAlignment="1"/>
    <xf numFmtId="0" fontId="34" fillId="0" borderId="8" xfId="0" quotePrefix="1" applyFont="1" applyFill="1" applyBorder="1" applyAlignment="1"/>
    <xf numFmtId="0" fontId="7" fillId="0" borderId="6" xfId="0" applyFont="1" applyBorder="1" applyAlignment="1">
      <alignment horizontal="right"/>
    </xf>
    <xf numFmtId="0" fontId="7" fillId="0" borderId="5" xfId="0" applyFont="1" applyBorder="1" applyAlignment="1">
      <alignment horizontal="right"/>
    </xf>
    <xf numFmtId="0" fontId="7" fillId="0" borderId="2" xfId="0" applyFont="1" applyBorder="1" applyAlignment="1">
      <alignment horizontal="right"/>
    </xf>
    <xf numFmtId="0" fontId="0" fillId="6" borderId="6" xfId="0" applyFill="1" applyBorder="1"/>
    <xf numFmtId="164" fontId="7" fillId="6" borderId="9" xfId="0" applyNumberFormat="1" applyFont="1" applyFill="1" applyBorder="1"/>
    <xf numFmtId="164" fontId="7" fillId="7" borderId="9" xfId="0" applyNumberFormat="1" applyFont="1" applyFill="1" applyBorder="1"/>
    <xf numFmtId="164" fontId="7" fillId="7" borderId="5" xfId="0" applyNumberFormat="1" applyFont="1" applyFill="1" applyBorder="1"/>
    <xf numFmtId="9" fontId="7" fillId="0" borderId="9" xfId="8" applyFont="1" applyBorder="1"/>
    <xf numFmtId="9" fontId="7" fillId="0" borderId="9" xfId="8" applyNumberFormat="1" applyFont="1" applyBorder="1"/>
    <xf numFmtId="164" fontId="38" fillId="0" borderId="9" xfId="0" applyNumberFormat="1" applyFont="1" applyBorder="1"/>
    <xf numFmtId="164" fontId="7" fillId="0" borderId="9" xfId="1" applyNumberFormat="1" applyFont="1" applyBorder="1"/>
    <xf numFmtId="164" fontId="7" fillId="0" borderId="9" xfId="0" applyNumberFormat="1" applyFont="1" applyBorder="1"/>
    <xf numFmtId="167" fontId="7" fillId="0" borderId="9" xfId="8" applyNumberFormat="1" applyFont="1" applyBorder="1"/>
    <xf numFmtId="168" fontId="38" fillId="0" borderId="9" xfId="1" applyNumberFormat="1" applyFont="1" applyFill="1" applyBorder="1" applyAlignment="1">
      <alignment horizontal="right"/>
    </xf>
    <xf numFmtId="166" fontId="34" fillId="0" borderId="5" xfId="5" applyNumberFormat="1" applyFont="1" applyFill="1" applyBorder="1"/>
    <xf numFmtId="0" fontId="56" fillId="0" borderId="8" xfId="0" applyFont="1" applyBorder="1" applyAlignment="1">
      <alignment horizontal="right"/>
    </xf>
    <xf numFmtId="0" fontId="12" fillId="0" borderId="1" xfId="0" applyFont="1" applyBorder="1" applyAlignment="1">
      <alignment horizontal="right" indent="2"/>
    </xf>
    <xf numFmtId="0" fontId="12" fillId="0" borderId="3" xfId="0" applyFont="1" applyFill="1" applyBorder="1" applyAlignment="1">
      <alignment horizontal="right" indent="2"/>
    </xf>
    <xf numFmtId="0" fontId="12" fillId="0" borderId="3" xfId="0" applyFont="1" applyBorder="1" applyAlignment="1">
      <alignment horizontal="right" indent="2"/>
    </xf>
    <xf numFmtId="0" fontId="7" fillId="0" borderId="4" xfId="0" applyFont="1" applyBorder="1" applyAlignment="1">
      <alignment horizontal="right" indent="2"/>
    </xf>
    <xf numFmtId="0" fontId="16" fillId="0" borderId="0" xfId="0" applyFont="1" applyAlignment="1">
      <alignment horizontal="right"/>
    </xf>
    <xf numFmtId="0" fontId="12" fillId="0" borderId="4" xfId="0" applyFont="1" applyBorder="1" applyAlignment="1">
      <alignment horizontal="right" indent="2"/>
    </xf>
    <xf numFmtId="0" fontId="7" fillId="0" borderId="0" xfId="0" quotePrefix="1" applyFont="1"/>
    <xf numFmtId="44" fontId="17" fillId="0" borderId="0" xfId="5" applyNumberFormat="1" applyFont="1" applyBorder="1"/>
    <xf numFmtId="165" fontId="7" fillId="0" borderId="1" xfId="5" applyNumberFormat="1" applyFont="1" applyBorder="1"/>
    <xf numFmtId="164" fontId="7" fillId="0" borderId="4" xfId="0" applyNumberFormat="1" applyFont="1" applyBorder="1"/>
    <xf numFmtId="9" fontId="35" fillId="6" borderId="15" xfId="8" applyFont="1" applyFill="1" applyBorder="1"/>
    <xf numFmtId="0" fontId="31" fillId="17" borderId="15" xfId="122" applyFont="1" applyFill="1" applyBorder="1"/>
    <xf numFmtId="0" fontId="31" fillId="17" borderId="1" xfId="122" applyFont="1" applyFill="1" applyBorder="1"/>
    <xf numFmtId="3" fontId="7" fillId="0" borderId="0" xfId="0" applyNumberFormat="1" applyFont="1"/>
    <xf numFmtId="0" fontId="1" fillId="9" borderId="0" xfId="0" applyFont="1" applyFill="1" applyAlignment="1">
      <alignment horizontal="center"/>
    </xf>
    <xf numFmtId="0" fontId="1" fillId="4" borderId="0" xfId="0" applyFont="1" applyFill="1" applyAlignment="1">
      <alignment horizontal="center"/>
    </xf>
    <xf numFmtId="0" fontId="1" fillId="10" borderId="0" xfId="0" applyFont="1" applyFill="1" applyAlignment="1">
      <alignment horizontal="center"/>
    </xf>
    <xf numFmtId="0" fontId="1" fillId="6" borderId="8" xfId="0" applyFont="1" applyFill="1" applyBorder="1" applyAlignment="1">
      <alignment horizontal="center"/>
    </xf>
    <xf numFmtId="0" fontId="1" fillId="11" borderId="0" xfId="0" applyFont="1" applyFill="1" applyAlignment="1">
      <alignment horizontal="center"/>
    </xf>
    <xf numFmtId="0" fontId="1" fillId="12" borderId="0" xfId="0" applyFont="1" applyFill="1" applyAlignment="1">
      <alignment horizontal="center"/>
    </xf>
    <xf numFmtId="0" fontId="1" fillId="13" borderId="0" xfId="0" applyFont="1" applyFill="1" applyAlignment="1">
      <alignment horizontal="center"/>
    </xf>
    <xf numFmtId="0" fontId="1" fillId="2" borderId="0" xfId="0" applyFont="1" applyFill="1" applyBorder="1" applyAlignment="1">
      <alignment horizontal="center"/>
    </xf>
    <xf numFmtId="0" fontId="1" fillId="16" borderId="8" xfId="0" applyFont="1" applyFill="1" applyBorder="1" applyAlignment="1">
      <alignment horizontal="center"/>
    </xf>
    <xf numFmtId="166" fontId="38" fillId="0" borderId="0" xfId="5" applyNumberFormat="1" applyFont="1" applyFill="1" applyBorder="1"/>
    <xf numFmtId="0" fontId="7" fillId="0" borderId="15" xfId="0" applyFont="1" applyBorder="1" applyAlignment="1">
      <alignment horizontal="left" indent="1"/>
    </xf>
    <xf numFmtId="0" fontId="7" fillId="0" borderId="15" xfId="0" applyFont="1" applyBorder="1" applyAlignment="1">
      <alignment horizontal="left" indent="2"/>
    </xf>
    <xf numFmtId="0" fontId="7" fillId="0" borderId="4" xfId="0" applyFont="1" applyBorder="1" applyAlignment="1">
      <alignment horizontal="right"/>
    </xf>
    <xf numFmtId="0" fontId="7" fillId="0" borderId="1" xfId="0" applyFont="1" applyBorder="1" applyAlignment="1">
      <alignment horizontal="right"/>
    </xf>
    <xf numFmtId="0" fontId="58" fillId="2" borderId="0" xfId="0" applyFont="1" applyFill="1" applyAlignment="1">
      <alignment horizontal="left"/>
    </xf>
    <xf numFmtId="0" fontId="58" fillId="0" borderId="0" xfId="0" applyFont="1" applyFill="1" applyAlignment="1">
      <alignment horizontal="left"/>
    </xf>
    <xf numFmtId="165" fontId="7" fillId="0" borderId="15" xfId="5" applyNumberFormat="1" applyFont="1" applyBorder="1"/>
    <xf numFmtId="0" fontId="7" fillId="5" borderId="15" xfId="0" applyFont="1" applyFill="1" applyBorder="1" applyAlignment="1">
      <alignment horizontal="right" indent="1"/>
    </xf>
    <xf numFmtId="164" fontId="7" fillId="5" borderId="15" xfId="0" applyNumberFormat="1" applyFont="1" applyFill="1" applyBorder="1"/>
    <xf numFmtId="164" fontId="7" fillId="5" borderId="15" xfId="1" applyNumberFormat="1" applyFont="1" applyFill="1" applyBorder="1"/>
    <xf numFmtId="165" fontId="7" fillId="5" borderId="15" xfId="5" applyNumberFormat="1" applyFont="1" applyFill="1" applyBorder="1"/>
    <xf numFmtId="166" fontId="7" fillId="5" borderId="15" xfId="5" applyNumberFormat="1" applyFont="1" applyFill="1" applyBorder="1"/>
    <xf numFmtId="0" fontId="1" fillId="0" borderId="0" xfId="0" applyFont="1"/>
    <xf numFmtId="0" fontId="86" fillId="0" borderId="0" xfId="0" applyFont="1" applyAlignment="1">
      <alignment horizontal="left" vertical="center" readingOrder="1"/>
    </xf>
    <xf numFmtId="175" fontId="7" fillId="0" borderId="0" xfId="0" applyNumberFormat="1" applyFont="1"/>
    <xf numFmtId="17" fontId="1" fillId="0" borderId="0" xfId="117" quotePrefix="1" applyNumberFormat="1" applyFont="1"/>
    <xf numFmtId="9" fontId="16" fillId="0" borderId="0" xfId="8" applyFont="1" applyFill="1" applyBorder="1"/>
    <xf numFmtId="165" fontId="16" fillId="0" borderId="2" xfId="5" applyNumberFormat="1" applyFont="1" applyFill="1" applyBorder="1"/>
    <xf numFmtId="0" fontId="29" fillId="0" borderId="6" xfId="117" applyFont="1" applyFill="1" applyBorder="1"/>
    <xf numFmtId="9" fontId="7" fillId="0" borderId="8" xfId="8" applyFont="1" applyBorder="1"/>
    <xf numFmtId="0" fontId="42" fillId="0" borderId="0" xfId="0" applyFont="1" applyAlignment="1">
      <alignment horizontal="left"/>
    </xf>
    <xf numFmtId="0" fontId="34" fillId="7" borderId="0" xfId="0" applyFont="1" applyFill="1"/>
    <xf numFmtId="0" fontId="15" fillId="0" borderId="0" xfId="0" applyFont="1" applyFill="1"/>
    <xf numFmtId="164" fontId="15" fillId="0" borderId="0" xfId="1" quotePrefix="1" applyNumberFormat="1" applyFont="1" applyFill="1" applyAlignment="1">
      <alignment horizontal="right"/>
    </xf>
    <xf numFmtId="164" fontId="15" fillId="0" borderId="0" xfId="0" applyNumberFormat="1" applyFont="1" applyFill="1"/>
    <xf numFmtId="0" fontId="16" fillId="0" borderId="0" xfId="0" applyFont="1" applyFill="1" applyAlignment="1">
      <alignment horizontal="center" vertical="center"/>
    </xf>
    <xf numFmtId="9" fontId="16" fillId="0" borderId="0" xfId="8" applyFont="1" applyFill="1"/>
    <xf numFmtId="166" fontId="16" fillId="0" borderId="7" xfId="5" applyNumberFormat="1" applyFont="1" applyFill="1" applyBorder="1"/>
    <xf numFmtId="166" fontId="16" fillId="0" borderId="9" xfId="5" applyNumberFormat="1" applyFont="1" applyFill="1" applyBorder="1"/>
    <xf numFmtId="165" fontId="16" fillId="0" borderId="9" xfId="0" applyNumberFormat="1" applyFont="1" applyFill="1" applyBorder="1"/>
    <xf numFmtId="165" fontId="16" fillId="0" borderId="5" xfId="0" applyNumberFormat="1" applyFont="1" applyFill="1" applyBorder="1"/>
    <xf numFmtId="166" fontId="16" fillId="0" borderId="9" xfId="0" applyNumberFormat="1" applyFont="1" applyFill="1" applyBorder="1"/>
    <xf numFmtId="0" fontId="16" fillId="0" borderId="5" xfId="0" applyFont="1" applyFill="1" applyBorder="1"/>
    <xf numFmtId="0" fontId="16" fillId="0" borderId="8" xfId="0" applyFont="1" applyFill="1" applyBorder="1"/>
    <xf numFmtId="165" fontId="16" fillId="0" borderId="6" xfId="5" applyNumberFormat="1" applyFont="1" applyFill="1" applyBorder="1"/>
    <xf numFmtId="3" fontId="7" fillId="0" borderId="0" xfId="0" applyNumberFormat="1" applyFont="1" applyFill="1"/>
    <xf numFmtId="9" fontId="7" fillId="0" borderId="0" xfId="8" applyFont="1" applyBorder="1"/>
    <xf numFmtId="0" fontId="22" fillId="3" borderId="0" xfId="0" applyFont="1" applyFill="1" applyAlignment="1">
      <alignment horizontal="left" vertical="center" wrapText="1"/>
    </xf>
    <xf numFmtId="0" fontId="22" fillId="3" borderId="0" xfId="0" applyFont="1" applyFill="1" applyAlignment="1" applyProtection="1">
      <alignment wrapText="1"/>
      <protection locked="0"/>
    </xf>
    <xf numFmtId="0" fontId="40" fillId="4" borderId="2" xfId="117" applyFont="1" applyFill="1" applyBorder="1" applyAlignment="1">
      <alignment horizontal="center" vertical="center"/>
    </xf>
    <xf numFmtId="0" fontId="40" fillId="4" borderId="7" xfId="117" applyFont="1" applyFill="1" applyBorder="1" applyAlignment="1">
      <alignment horizontal="center" vertical="center"/>
    </xf>
    <xf numFmtId="0" fontId="40" fillId="4" borderId="11" xfId="117" applyFont="1" applyFill="1" applyBorder="1" applyAlignment="1">
      <alignment horizontal="center" vertical="center"/>
    </xf>
    <xf numFmtId="0" fontId="59" fillId="0" borderId="6" xfId="117" applyFont="1" applyBorder="1" applyAlignment="1">
      <alignment horizontal="left" wrapText="1"/>
    </xf>
    <xf numFmtId="0" fontId="59" fillId="0" borderId="10" xfId="117" applyFont="1" applyBorder="1" applyAlignment="1">
      <alignment horizontal="left" wrapText="1"/>
    </xf>
    <xf numFmtId="0" fontId="59" fillId="0" borderId="12" xfId="117" applyFont="1" applyBorder="1" applyAlignment="1">
      <alignment horizontal="left" wrapText="1"/>
    </xf>
    <xf numFmtId="0" fontId="59" fillId="0" borderId="9" xfId="117" applyFont="1" applyBorder="1" applyAlignment="1">
      <alignment horizontal="left" wrapText="1"/>
    </xf>
    <xf numFmtId="0" fontId="59" fillId="0" borderId="0" xfId="117" applyFont="1" applyBorder="1" applyAlignment="1">
      <alignment horizontal="left" wrapText="1"/>
    </xf>
    <xf numFmtId="0" fontId="59" fillId="0" borderId="13" xfId="117" applyFont="1" applyBorder="1" applyAlignment="1">
      <alignment horizontal="left" wrapText="1"/>
    </xf>
    <xf numFmtId="0" fontId="48" fillId="0" borderId="1" xfId="117" applyFont="1" applyFill="1" applyBorder="1" applyAlignment="1">
      <alignment horizontal="center" vertical="center"/>
    </xf>
    <xf numFmtId="0" fontId="48" fillId="0" borderId="3" xfId="117" applyFont="1" applyFill="1" applyBorder="1" applyAlignment="1">
      <alignment horizontal="center" vertical="center"/>
    </xf>
    <xf numFmtId="0" fontId="48" fillId="0" borderId="4" xfId="117" applyFont="1" applyFill="1" applyBorder="1" applyAlignment="1">
      <alignment horizontal="center" vertical="center"/>
    </xf>
    <xf numFmtId="0" fontId="62" fillId="6" borderId="2" xfId="122" applyFont="1" applyFill="1" applyBorder="1" applyAlignment="1">
      <alignment horizontal="center"/>
    </xf>
    <xf numFmtId="0" fontId="62" fillId="6" borderId="7" xfId="122" applyFont="1" applyFill="1" applyBorder="1" applyAlignment="1">
      <alignment horizontal="center"/>
    </xf>
    <xf numFmtId="0" fontId="62" fillId="6" borderId="11" xfId="122" applyFont="1" applyFill="1" applyBorder="1" applyAlignment="1">
      <alignment horizontal="center"/>
    </xf>
    <xf numFmtId="0" fontId="47" fillId="6" borderId="2" xfId="122" applyFont="1" applyFill="1" applyBorder="1" applyAlignment="1">
      <alignment horizontal="center"/>
    </xf>
    <xf numFmtId="0" fontId="47" fillId="6" borderId="7" xfId="122" applyFont="1" applyFill="1" applyBorder="1" applyAlignment="1">
      <alignment horizontal="center"/>
    </xf>
    <xf numFmtId="0" fontId="47" fillId="6" borderId="11" xfId="122" applyFont="1" applyFill="1" applyBorder="1" applyAlignment="1">
      <alignment horizontal="center"/>
    </xf>
    <xf numFmtId="0" fontId="70" fillId="8" borderId="0" xfId="0" quotePrefix="1" applyFont="1" applyFill="1" applyBorder="1" applyAlignment="1">
      <alignment horizontal="center" vertical="center"/>
    </xf>
    <xf numFmtId="0" fontId="70" fillId="8" borderId="13" xfId="0" quotePrefix="1" applyFont="1" applyFill="1" applyBorder="1" applyAlignment="1">
      <alignment horizontal="center" vertical="center"/>
    </xf>
    <xf numFmtId="0" fontId="29" fillId="2" borderId="2" xfId="0" applyFont="1" applyFill="1" applyBorder="1" applyAlignment="1">
      <alignment horizontal="center" wrapText="1"/>
    </xf>
    <xf numFmtId="0" fontId="29" fillId="2" borderId="7" xfId="0" applyFont="1" applyFill="1" applyBorder="1" applyAlignment="1">
      <alignment horizontal="center" wrapText="1"/>
    </xf>
    <xf numFmtId="0" fontId="29" fillId="2" borderId="11" xfId="0" applyFont="1" applyFill="1" applyBorder="1" applyAlignment="1">
      <alignment horizontal="center" wrapText="1"/>
    </xf>
  </cellXfs>
  <cellStyles count="441">
    <cellStyle name="%" xfId="173"/>
    <cellStyle name="Comma" xfId="1" builtinId="3"/>
    <cellStyle name="Comma 2" xfId="2"/>
    <cellStyle name="Comma 2 2" xfId="128"/>
    <cellStyle name="Comma 2 2 2" xfId="162"/>
    <cellStyle name="Comma 3" xfId="3"/>
    <cellStyle name="Comma 3 2" xfId="127"/>
    <cellStyle name="Comma 3 2 2" xfId="163"/>
    <cellStyle name="Comma 3 2 3" xfId="165"/>
    <cellStyle name="Comma 4" xfId="4"/>
    <cellStyle name="Comma 5" xfId="118"/>
    <cellStyle name="Comma 5 2" xfId="123"/>
    <cellStyle name="Comma 5 2 2" xfId="174"/>
    <cellStyle name="Comma 5 3" xfId="166"/>
    <cellStyle name="Comma 6" xfId="121"/>
    <cellStyle name="Comma 7" xfId="130"/>
    <cellStyle name="Comma 8" xfId="170"/>
    <cellStyle name="Comma 9" xfId="175"/>
    <cellStyle name="Currency" xfId="5" builtinId="4"/>
    <cellStyle name="Currency 2" xfId="6"/>
    <cellStyle name="Currency 2 10" xfId="176"/>
    <cellStyle name="Currency 2 100" xfId="177"/>
    <cellStyle name="Currency 2 101" xfId="178"/>
    <cellStyle name="Currency 2 102" xfId="179"/>
    <cellStyle name="Currency 2 103" xfId="180"/>
    <cellStyle name="Currency 2 104" xfId="181"/>
    <cellStyle name="Currency 2 105" xfId="182"/>
    <cellStyle name="Currency 2 106" xfId="183"/>
    <cellStyle name="Currency 2 107" xfId="184"/>
    <cellStyle name="Currency 2 108" xfId="185"/>
    <cellStyle name="Currency 2 109" xfId="186"/>
    <cellStyle name="Currency 2 11" xfId="187"/>
    <cellStyle name="Currency 2 110" xfId="188"/>
    <cellStyle name="Currency 2 111" xfId="189"/>
    <cellStyle name="Currency 2 112" xfId="190"/>
    <cellStyle name="Currency 2 113" xfId="191"/>
    <cellStyle name="Currency 2 114" xfId="192"/>
    <cellStyle name="Currency 2 115" xfId="193"/>
    <cellStyle name="Currency 2 116" xfId="194"/>
    <cellStyle name="Currency 2 117" xfId="195"/>
    <cellStyle name="Currency 2 118" xfId="196"/>
    <cellStyle name="Currency 2 119" xfId="197"/>
    <cellStyle name="Currency 2 12" xfId="198"/>
    <cellStyle name="Currency 2 120" xfId="199"/>
    <cellStyle name="Currency 2 121" xfId="200"/>
    <cellStyle name="Currency 2 122" xfId="201"/>
    <cellStyle name="Currency 2 123" xfId="202"/>
    <cellStyle name="Currency 2 124" xfId="203"/>
    <cellStyle name="Currency 2 125" xfId="204"/>
    <cellStyle name="Currency 2 126" xfId="205"/>
    <cellStyle name="Currency 2 127" xfId="206"/>
    <cellStyle name="Currency 2 128" xfId="207"/>
    <cellStyle name="Currency 2 129" xfId="208"/>
    <cellStyle name="Currency 2 13" xfId="209"/>
    <cellStyle name="Currency 2 130" xfId="210"/>
    <cellStyle name="Currency 2 131" xfId="211"/>
    <cellStyle name="Currency 2 132" xfId="212"/>
    <cellStyle name="Currency 2 133" xfId="213"/>
    <cellStyle name="Currency 2 134" xfId="214"/>
    <cellStyle name="Currency 2 135" xfId="215"/>
    <cellStyle name="Currency 2 136" xfId="216"/>
    <cellStyle name="Currency 2 137" xfId="217"/>
    <cellStyle name="Currency 2 138" xfId="218"/>
    <cellStyle name="Currency 2 139" xfId="219"/>
    <cellStyle name="Currency 2 14" xfId="220"/>
    <cellStyle name="Currency 2 140" xfId="221"/>
    <cellStyle name="Currency 2 141" xfId="222"/>
    <cellStyle name="Currency 2 142" xfId="223"/>
    <cellStyle name="Currency 2 143" xfId="224"/>
    <cellStyle name="Currency 2 144" xfId="225"/>
    <cellStyle name="Currency 2 145" xfId="226"/>
    <cellStyle name="Currency 2 146" xfId="227"/>
    <cellStyle name="Currency 2 147" xfId="228"/>
    <cellStyle name="Currency 2 148" xfId="229"/>
    <cellStyle name="Currency 2 149" xfId="230"/>
    <cellStyle name="Currency 2 15" xfId="231"/>
    <cellStyle name="Currency 2 150" xfId="232"/>
    <cellStyle name="Currency 2 151" xfId="233"/>
    <cellStyle name="Currency 2 152" xfId="234"/>
    <cellStyle name="Currency 2 153" xfId="235"/>
    <cellStyle name="Currency 2 154" xfId="236"/>
    <cellStyle name="Currency 2 155" xfId="237"/>
    <cellStyle name="Currency 2 156" xfId="238"/>
    <cellStyle name="Currency 2 157" xfId="239"/>
    <cellStyle name="Currency 2 158" xfId="240"/>
    <cellStyle name="Currency 2 159" xfId="241"/>
    <cellStyle name="Currency 2 16" xfId="242"/>
    <cellStyle name="Currency 2 160" xfId="243"/>
    <cellStyle name="Currency 2 161" xfId="244"/>
    <cellStyle name="Currency 2 162" xfId="245"/>
    <cellStyle name="Currency 2 163" xfId="246"/>
    <cellStyle name="Currency 2 164" xfId="247"/>
    <cellStyle name="Currency 2 165" xfId="248"/>
    <cellStyle name="Currency 2 166" xfId="249"/>
    <cellStyle name="Currency 2 167" xfId="250"/>
    <cellStyle name="Currency 2 168" xfId="251"/>
    <cellStyle name="Currency 2 169" xfId="252"/>
    <cellStyle name="Currency 2 17" xfId="253"/>
    <cellStyle name="Currency 2 170" xfId="254"/>
    <cellStyle name="Currency 2 171" xfId="255"/>
    <cellStyle name="Currency 2 172" xfId="256"/>
    <cellStyle name="Currency 2 173" xfId="257"/>
    <cellStyle name="Currency 2 174" xfId="258"/>
    <cellStyle name="Currency 2 175" xfId="259"/>
    <cellStyle name="Currency 2 176" xfId="260"/>
    <cellStyle name="Currency 2 177" xfId="261"/>
    <cellStyle name="Currency 2 178" xfId="262"/>
    <cellStyle name="Currency 2 179" xfId="263"/>
    <cellStyle name="Currency 2 18" xfId="264"/>
    <cellStyle name="Currency 2 180" xfId="265"/>
    <cellStyle name="Currency 2 181" xfId="266"/>
    <cellStyle name="Currency 2 182" xfId="267"/>
    <cellStyle name="Currency 2 183" xfId="268"/>
    <cellStyle name="Currency 2 184" xfId="269"/>
    <cellStyle name="Currency 2 185" xfId="270"/>
    <cellStyle name="Currency 2 186" xfId="271"/>
    <cellStyle name="Currency 2 187" xfId="272"/>
    <cellStyle name="Currency 2 188" xfId="273"/>
    <cellStyle name="Currency 2 189" xfId="274"/>
    <cellStyle name="Currency 2 19" xfId="275"/>
    <cellStyle name="Currency 2 190" xfId="276"/>
    <cellStyle name="Currency 2 191" xfId="277"/>
    <cellStyle name="Currency 2 192" xfId="278"/>
    <cellStyle name="Currency 2 193" xfId="279"/>
    <cellStyle name="Currency 2 194" xfId="280"/>
    <cellStyle name="Currency 2 195" xfId="281"/>
    <cellStyle name="Currency 2 196" xfId="282"/>
    <cellStyle name="Currency 2 197" xfId="283"/>
    <cellStyle name="Currency 2 198" xfId="284"/>
    <cellStyle name="Currency 2 199" xfId="285"/>
    <cellStyle name="Currency 2 2" xfId="286"/>
    <cellStyle name="Currency 2 20" xfId="287"/>
    <cellStyle name="Currency 2 200" xfId="288"/>
    <cellStyle name="Currency 2 201" xfId="289"/>
    <cellStyle name="Currency 2 202" xfId="290"/>
    <cellStyle name="Currency 2 203" xfId="291"/>
    <cellStyle name="Currency 2 204" xfId="292"/>
    <cellStyle name="Currency 2 205" xfId="293"/>
    <cellStyle name="Currency 2 206" xfId="294"/>
    <cellStyle name="Currency 2 207" xfId="295"/>
    <cellStyle name="Currency 2 208" xfId="296"/>
    <cellStyle name="Currency 2 209" xfId="297"/>
    <cellStyle name="Currency 2 21" xfId="298"/>
    <cellStyle name="Currency 2 210" xfId="299"/>
    <cellStyle name="Currency 2 211" xfId="300"/>
    <cellStyle name="Currency 2 212" xfId="301"/>
    <cellStyle name="Currency 2 213" xfId="302"/>
    <cellStyle name="Currency 2 214" xfId="303"/>
    <cellStyle name="Currency 2 215" xfId="304"/>
    <cellStyle name="Currency 2 216" xfId="305"/>
    <cellStyle name="Currency 2 217" xfId="306"/>
    <cellStyle name="Currency 2 218" xfId="307"/>
    <cellStyle name="Currency 2 219" xfId="308"/>
    <cellStyle name="Currency 2 22" xfId="309"/>
    <cellStyle name="Currency 2 220" xfId="310"/>
    <cellStyle name="Currency 2 221" xfId="311"/>
    <cellStyle name="Currency 2 222" xfId="312"/>
    <cellStyle name="Currency 2 223" xfId="313"/>
    <cellStyle name="Currency 2 224" xfId="314"/>
    <cellStyle name="Currency 2 225" xfId="315"/>
    <cellStyle name="Currency 2 226" xfId="316"/>
    <cellStyle name="Currency 2 227" xfId="317"/>
    <cellStyle name="Currency 2 228" xfId="318"/>
    <cellStyle name="Currency 2 229" xfId="319"/>
    <cellStyle name="Currency 2 23" xfId="320"/>
    <cellStyle name="Currency 2 230" xfId="321"/>
    <cellStyle name="Currency 2 231" xfId="322"/>
    <cellStyle name="Currency 2 232" xfId="323"/>
    <cellStyle name="Currency 2 233" xfId="324"/>
    <cellStyle name="Currency 2 234" xfId="325"/>
    <cellStyle name="Currency 2 235" xfId="326"/>
    <cellStyle name="Currency 2 236" xfId="327"/>
    <cellStyle name="Currency 2 237" xfId="328"/>
    <cellStyle name="Currency 2 238" xfId="329"/>
    <cellStyle name="Currency 2 239" xfId="330"/>
    <cellStyle name="Currency 2 24" xfId="331"/>
    <cellStyle name="Currency 2 240" xfId="332"/>
    <cellStyle name="Currency 2 241" xfId="333"/>
    <cellStyle name="Currency 2 242" xfId="334"/>
    <cellStyle name="Currency 2 243" xfId="335"/>
    <cellStyle name="Currency 2 244" xfId="336"/>
    <cellStyle name="Currency 2 245" xfId="337"/>
    <cellStyle name="Currency 2 246" xfId="338"/>
    <cellStyle name="Currency 2 247" xfId="339"/>
    <cellStyle name="Currency 2 248" xfId="340"/>
    <cellStyle name="Currency 2 249" xfId="341"/>
    <cellStyle name="Currency 2 25" xfId="342"/>
    <cellStyle name="Currency 2 250" xfId="343"/>
    <cellStyle name="Currency 2 251" xfId="344"/>
    <cellStyle name="Currency 2 252" xfId="345"/>
    <cellStyle name="Currency 2 253" xfId="346"/>
    <cellStyle name="Currency 2 254" xfId="347"/>
    <cellStyle name="Currency 2 26" xfId="348"/>
    <cellStyle name="Currency 2 27" xfId="349"/>
    <cellStyle name="Currency 2 28" xfId="350"/>
    <cellStyle name="Currency 2 29" xfId="351"/>
    <cellStyle name="Currency 2 3" xfId="352"/>
    <cellStyle name="Currency 2 30" xfId="353"/>
    <cellStyle name="Currency 2 31" xfId="354"/>
    <cellStyle name="Currency 2 32" xfId="355"/>
    <cellStyle name="Currency 2 33" xfId="356"/>
    <cellStyle name="Currency 2 34" xfId="357"/>
    <cellStyle name="Currency 2 35" xfId="358"/>
    <cellStyle name="Currency 2 36" xfId="359"/>
    <cellStyle name="Currency 2 37" xfId="360"/>
    <cellStyle name="Currency 2 38" xfId="361"/>
    <cellStyle name="Currency 2 39" xfId="362"/>
    <cellStyle name="Currency 2 4" xfId="363"/>
    <cellStyle name="Currency 2 40" xfId="364"/>
    <cellStyle name="Currency 2 41" xfId="365"/>
    <cellStyle name="Currency 2 42" xfId="366"/>
    <cellStyle name="Currency 2 43" xfId="367"/>
    <cellStyle name="Currency 2 44" xfId="368"/>
    <cellStyle name="Currency 2 45" xfId="369"/>
    <cellStyle name="Currency 2 46" xfId="370"/>
    <cellStyle name="Currency 2 47" xfId="371"/>
    <cellStyle name="Currency 2 48" xfId="372"/>
    <cellStyle name="Currency 2 49" xfId="373"/>
    <cellStyle name="Currency 2 5" xfId="374"/>
    <cellStyle name="Currency 2 50" xfId="375"/>
    <cellStyle name="Currency 2 51" xfId="376"/>
    <cellStyle name="Currency 2 52" xfId="377"/>
    <cellStyle name="Currency 2 53" xfId="378"/>
    <cellStyle name="Currency 2 54" xfId="379"/>
    <cellStyle name="Currency 2 55" xfId="380"/>
    <cellStyle name="Currency 2 56" xfId="381"/>
    <cellStyle name="Currency 2 57" xfId="382"/>
    <cellStyle name="Currency 2 58" xfId="383"/>
    <cellStyle name="Currency 2 59" xfId="384"/>
    <cellStyle name="Currency 2 6" xfId="385"/>
    <cellStyle name="Currency 2 60" xfId="386"/>
    <cellStyle name="Currency 2 61" xfId="387"/>
    <cellStyle name="Currency 2 62" xfId="388"/>
    <cellStyle name="Currency 2 63" xfId="389"/>
    <cellStyle name="Currency 2 64" xfId="390"/>
    <cellStyle name="Currency 2 65" xfId="391"/>
    <cellStyle name="Currency 2 66" xfId="392"/>
    <cellStyle name="Currency 2 67" xfId="393"/>
    <cellStyle name="Currency 2 68" xfId="394"/>
    <cellStyle name="Currency 2 69" xfId="395"/>
    <cellStyle name="Currency 2 7" xfId="396"/>
    <cellStyle name="Currency 2 70" xfId="397"/>
    <cellStyle name="Currency 2 71" xfId="398"/>
    <cellStyle name="Currency 2 72" xfId="399"/>
    <cellStyle name="Currency 2 73" xfId="400"/>
    <cellStyle name="Currency 2 74" xfId="401"/>
    <cellStyle name="Currency 2 75" xfId="402"/>
    <cellStyle name="Currency 2 76" xfId="403"/>
    <cellStyle name="Currency 2 77" xfId="404"/>
    <cellStyle name="Currency 2 78" xfId="405"/>
    <cellStyle name="Currency 2 79" xfId="406"/>
    <cellStyle name="Currency 2 8" xfId="407"/>
    <cellStyle name="Currency 2 80" xfId="408"/>
    <cellStyle name="Currency 2 81" xfId="409"/>
    <cellStyle name="Currency 2 82" xfId="410"/>
    <cellStyle name="Currency 2 83" xfId="411"/>
    <cellStyle name="Currency 2 84" xfId="412"/>
    <cellStyle name="Currency 2 85" xfId="413"/>
    <cellStyle name="Currency 2 86" xfId="414"/>
    <cellStyle name="Currency 2 87" xfId="415"/>
    <cellStyle name="Currency 2 88" xfId="416"/>
    <cellStyle name="Currency 2 89" xfId="417"/>
    <cellStyle name="Currency 2 9" xfId="418"/>
    <cellStyle name="Currency 2 90" xfId="419"/>
    <cellStyle name="Currency 2 91" xfId="420"/>
    <cellStyle name="Currency 2 92" xfId="421"/>
    <cellStyle name="Currency 2 93" xfId="422"/>
    <cellStyle name="Currency 2 94" xfId="423"/>
    <cellStyle name="Currency 2 95" xfId="424"/>
    <cellStyle name="Currency 2 96" xfId="425"/>
    <cellStyle name="Currency 2 97" xfId="426"/>
    <cellStyle name="Currency 2 98" xfId="427"/>
    <cellStyle name="Currency 2 99" xfId="428"/>
    <cellStyle name="Currency 3" xfId="119"/>
    <cellStyle name="Currency 3 2" xfId="124"/>
    <cellStyle name="Currency 3 2 2" xfId="429"/>
    <cellStyle name="Currency 3 3" xfId="430"/>
    <cellStyle name="Currency 4" xfId="131"/>
    <cellStyle name="Currency 5" xfId="171"/>
    <cellStyle name="Date" xfId="43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1" builtinId="9" hidden="1"/>
    <cellStyle name="Followed Hyperlink" xfId="167" builtinId="9" hidden="1"/>
    <cellStyle name="Followed Hyperlink" xfId="168" builtinId="9" hidden="1"/>
    <cellStyle name="Heading 2 2" xfId="432"/>
    <cellStyle name="Heading 3 2" xfId="433"/>
    <cellStyle name="Hyperlink 2" xfId="151"/>
    <cellStyle name="Normal" xfId="0" builtinId="0"/>
    <cellStyle name="Normal - Style1" xfId="434"/>
    <cellStyle name="Normal 2" xfId="7"/>
    <cellStyle name="Normal 3" xfId="117"/>
    <cellStyle name="Normal 3 2" xfId="122"/>
    <cellStyle name="Normal 3 2 2" xfId="125"/>
    <cellStyle name="Normal 3 2 2 2" xfId="164"/>
    <cellStyle name="Normal 3 2 3" xfId="435"/>
    <cellStyle name="Normal 3 3" xfId="126"/>
    <cellStyle name="Normal 3 3 2" xfId="436"/>
    <cellStyle name="Normal 3 4" xfId="133"/>
    <cellStyle name="Normal 3 5" xfId="160"/>
    <cellStyle name="Normal 4" xfId="120"/>
    <cellStyle name="Normal 5" xfId="129"/>
    <cellStyle name="Normal 6" xfId="134"/>
    <cellStyle name="Normal 6 2" xfId="437"/>
    <cellStyle name="Normal 7" xfId="169"/>
    <cellStyle name="Percent" xfId="8" builtinId="5"/>
    <cellStyle name="Percent 2" xfId="9"/>
    <cellStyle name="Percent 3" xfId="132"/>
    <cellStyle name="Percent 4" xfId="135"/>
    <cellStyle name="Percent 4 2" xfId="438"/>
    <cellStyle name="Percent 5" xfId="172"/>
    <cellStyle name="Style 1" xfId="439"/>
    <cellStyle name="Volume" xfId="440"/>
  </cellStyles>
  <dxfs count="3">
    <dxf>
      <font>
        <b/>
        <i val="0"/>
        <strike val="0"/>
        <color rgb="FFFF0000"/>
      </font>
      <fill>
        <patternFill>
          <bgColor rgb="FFFFFF00"/>
        </patternFill>
      </fill>
    </dxf>
    <dxf>
      <font>
        <b/>
        <i val="0"/>
        <strike val="0"/>
        <color rgb="FFFF0000"/>
      </font>
      <fill>
        <patternFill>
          <bgColor rgb="FFFFFF00"/>
        </patternFill>
      </fill>
    </dxf>
    <dxf>
      <font>
        <b/>
        <i val="0"/>
        <strike val="0"/>
        <color rgb="FFFF0000"/>
      </font>
      <fill>
        <patternFill>
          <bgColor rgb="FFFFFF00"/>
        </patternFill>
      </fill>
    </dxf>
  </dxfs>
  <tableStyles count="0" defaultTableStyle="TableStyleMedium9" defaultPivotStyle="PivotStyleLight16"/>
  <colors>
    <mruColors>
      <color rgb="FFCCFFCC"/>
      <color rgb="FFFFCCCC"/>
      <color rgb="FFFFFFCC"/>
      <color rgb="FFCCFFFF"/>
      <color rgb="FFE6FEF6"/>
      <color rgb="FF3244F2"/>
      <color rgb="FFC0F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5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5.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Ethernet transceiver market has three major customer segments</a:t>
            </a:r>
          </a:p>
        </c:rich>
      </c:tx>
      <c:overlay val="1"/>
    </c:title>
    <c:autoTitleDeleted val="0"/>
    <c:plotArea>
      <c:layout>
        <c:manualLayout>
          <c:layoutTarget val="inner"/>
          <c:xMode val="edge"/>
          <c:yMode val="edge"/>
          <c:x val="0.30308983410756801"/>
          <c:y val="0.297743172515953"/>
          <c:w val="0.31540559392624201"/>
          <c:h val="0.67565366266512505"/>
        </c:manualLayout>
      </c:layout>
      <c:pieChart>
        <c:varyColors val="1"/>
        <c:ser>
          <c:idx val="0"/>
          <c:order val="0"/>
          <c:dLbls>
            <c:dLbl>
              <c:idx val="0"/>
              <c:layout>
                <c:manualLayout>
                  <c:x val="4.04532143995412E-2"/>
                  <c:y val="5.6695201425014698E-2"/>
                </c:manualLayout>
              </c:layout>
              <c:dLblPos val="bestFit"/>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8BE-BA4D-B8B7-4DE6850AF434}"/>
                </c:ext>
              </c:extLst>
            </c:dLbl>
            <c:dLbl>
              <c:idx val="1"/>
              <c:layout>
                <c:manualLayout>
                  <c:x val="2.2222222222222199E-2"/>
                  <c:y val="-9.2592592592592601E-2"/>
                </c:manualLayout>
              </c:layout>
              <c:dLblPos val="bestFit"/>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8BE-BA4D-B8B7-4DE6850AF434}"/>
                </c:ext>
              </c:extLst>
            </c:dLbl>
            <c:spPr>
              <a:noFill/>
              <a:ln>
                <a:noFill/>
              </a:ln>
              <a:effectLst/>
            </c:spPr>
            <c:txPr>
              <a:bodyPr/>
              <a:lstStyle/>
              <a:p>
                <a:pPr>
                  <a:defRPr sz="1400" b="1"/>
                </a:pPr>
                <a:endParaRPr lang="en-US"/>
              </a:p>
            </c:txPr>
            <c:dLblPos val="outEnd"/>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'Products x segment'!$B$32:$B$34</c:f>
              <c:strCache>
                <c:ptCount val="3"/>
                <c:pt idx="0">
                  <c:v>Telecom</c:v>
                </c:pt>
                <c:pt idx="1">
                  <c:v>Cloud</c:v>
                </c:pt>
                <c:pt idx="2">
                  <c:v>Enterprise</c:v>
                </c:pt>
              </c:strCache>
            </c:strRef>
          </c:cat>
          <c:val>
            <c:numRef>
              <c:f>'Products x segment'!$N$32:$N$34</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28BE-BA4D-B8B7-4DE6850AF434}"/>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71050141584193"/>
          <c:y val="6.2015795685431342E-2"/>
          <c:w val="0.81279017520375507"/>
          <c:h val="0.83045118644786242"/>
        </c:manualLayout>
      </c:layout>
      <c:lineChart>
        <c:grouping val="standard"/>
        <c:varyColors val="0"/>
        <c:ser>
          <c:idx val="0"/>
          <c:order val="0"/>
          <c:tx>
            <c:strRef>
              <c:f>Summary!$B$356</c:f>
              <c:strCache>
                <c:ptCount val="1"/>
                <c:pt idx="0">
                  <c:v>100 m</c:v>
                </c:pt>
              </c:strCache>
            </c:strRef>
          </c:tx>
          <c:cat>
            <c:numRef>
              <c:f>Summary!$C$355:$M$355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Summary!$C$356:$M$356</c:f>
              <c:numCache>
                <c:formatCode>_(* #,##0_);_(* \(#,##0\);_(* "-"??_);_(@_)</c:formatCode>
                <c:ptCount val="11"/>
                <c:pt idx="0">
                  <c:v>1254229</c:v>
                </c:pt>
                <c:pt idx="1">
                  <c:v>1544331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E5A1-4040-A02F-85C09F091F79}"/>
            </c:ext>
          </c:extLst>
        </c:ser>
        <c:ser>
          <c:idx val="1"/>
          <c:order val="1"/>
          <c:tx>
            <c:strRef>
              <c:f>Summary!$B$357</c:f>
              <c:strCache>
                <c:ptCount val="1"/>
                <c:pt idx="0">
                  <c:v>300 m</c:v>
                </c:pt>
              </c:strCache>
            </c:strRef>
          </c:tx>
          <c:spPr>
            <a:ln>
              <a:solidFill>
                <a:schemeClr val="accent4"/>
              </a:solidFill>
            </a:ln>
          </c:spPr>
          <c:marker>
            <c:symbol val="square"/>
            <c:size val="5"/>
            <c:spPr>
              <a:solidFill>
                <a:schemeClr val="accent4"/>
              </a:solidFill>
              <a:ln>
                <a:solidFill>
                  <a:schemeClr val="accent4"/>
                </a:solidFill>
              </a:ln>
            </c:spPr>
          </c:marker>
          <c:cat>
            <c:numRef>
              <c:f>Summary!$C$355:$M$355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Summary!$C$357:$M$357</c:f>
              <c:numCache>
                <c:formatCode>_(* #,##0_);_(* \(#,##0\);_(* "-"??_);_(@_)</c:formatCode>
                <c:ptCount val="11"/>
                <c:pt idx="0">
                  <c:v>275269</c:v>
                </c:pt>
                <c:pt idx="1">
                  <c:v>466535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E5A1-4040-A02F-85C09F091F79}"/>
            </c:ext>
          </c:extLst>
        </c:ser>
        <c:ser>
          <c:idx val="5"/>
          <c:order val="2"/>
          <c:tx>
            <c:strRef>
              <c:f>Summary!$B$358</c:f>
              <c:strCache>
                <c:ptCount val="1"/>
                <c:pt idx="0">
                  <c:v>500 m</c:v>
                </c:pt>
              </c:strCache>
            </c:strRef>
          </c:tx>
          <c:cat>
            <c:numRef>
              <c:f>Summary!$C$355:$M$355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Summary!$C$358:$M$358</c:f>
              <c:numCache>
                <c:formatCode>_(* #,##0_);_(* \(#,##0\);_(* "-"??_);_(@_)</c:formatCode>
                <c:ptCount val="11"/>
                <c:pt idx="0">
                  <c:v>813790</c:v>
                </c:pt>
                <c:pt idx="1">
                  <c:v>613640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E5A1-4040-A02F-85C09F091F79}"/>
            </c:ext>
          </c:extLst>
        </c:ser>
        <c:ser>
          <c:idx val="2"/>
          <c:order val="3"/>
          <c:tx>
            <c:strRef>
              <c:f>Summary!$B$359</c:f>
              <c:strCache>
                <c:ptCount val="1"/>
                <c:pt idx="0">
                  <c:v>2 km</c:v>
                </c:pt>
              </c:strCache>
            </c:strRef>
          </c:tx>
          <c:spPr>
            <a:ln>
              <a:solidFill>
                <a:schemeClr val="accent2"/>
              </a:solidFill>
            </a:ln>
          </c:spPr>
          <c:marker>
            <c:spPr>
              <a:solidFill>
                <a:schemeClr val="accent2"/>
              </a:solidFill>
              <a:ln>
                <a:solidFill>
                  <a:schemeClr val="accent2"/>
                </a:solidFill>
              </a:ln>
            </c:spPr>
          </c:marker>
          <c:cat>
            <c:numRef>
              <c:f>Summary!$C$355:$M$355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Summary!$C$359:$M$359</c:f>
              <c:numCache>
                <c:formatCode>_(* #,##0_);_(* \(#,##0\);_(* "-"??_);_(@_)</c:formatCode>
                <c:ptCount val="11"/>
                <c:pt idx="0">
                  <c:v>471000</c:v>
                </c:pt>
                <c:pt idx="1">
                  <c:v>807018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E5A1-4040-A02F-85C09F091F79}"/>
            </c:ext>
          </c:extLst>
        </c:ser>
        <c:ser>
          <c:idx val="3"/>
          <c:order val="4"/>
          <c:tx>
            <c:strRef>
              <c:f>Summary!$B$360</c:f>
              <c:strCache>
                <c:ptCount val="1"/>
                <c:pt idx="0">
                  <c:v>10 km</c:v>
                </c:pt>
              </c:strCache>
            </c:strRef>
          </c:tx>
          <c:spPr>
            <a:ln>
              <a:solidFill>
                <a:schemeClr val="accent3"/>
              </a:solidFill>
            </a:ln>
          </c:spPr>
          <c:marker>
            <c:symbol val="x"/>
            <c:size val="5"/>
            <c:spPr>
              <a:solidFill>
                <a:schemeClr val="accent3"/>
              </a:solidFill>
              <a:ln>
                <a:solidFill>
                  <a:schemeClr val="accent3"/>
                </a:solidFill>
              </a:ln>
            </c:spPr>
          </c:marker>
          <c:cat>
            <c:numRef>
              <c:f>Summary!$C$355:$M$355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Summary!$C$360:$M$360</c:f>
              <c:numCache>
                <c:formatCode>_(* #,##0_);_(* \(#,##0\);_(* "-"??_);_(@_)</c:formatCode>
                <c:ptCount val="11"/>
                <c:pt idx="0">
                  <c:v>333886</c:v>
                </c:pt>
                <c:pt idx="1">
                  <c:v>427204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E5A1-4040-A02F-85C09F091F79}"/>
            </c:ext>
          </c:extLst>
        </c:ser>
        <c:ser>
          <c:idx val="4"/>
          <c:order val="5"/>
          <c:tx>
            <c:strRef>
              <c:f>Summary!$B$361</c:f>
              <c:strCache>
                <c:ptCount val="1"/>
                <c:pt idx="0">
                  <c:v>40 km</c:v>
                </c:pt>
              </c:strCache>
            </c:strRef>
          </c:tx>
          <c:cat>
            <c:numRef>
              <c:f>Summary!$C$355:$M$355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Summary!$C$361:$M$361</c:f>
              <c:numCache>
                <c:formatCode>_(* #,##0_);_(* \(#,##0\);_(* "-"??_);_(@_)</c:formatCode>
                <c:ptCount val="11"/>
                <c:pt idx="0">
                  <c:v>4894</c:v>
                </c:pt>
                <c:pt idx="1">
                  <c:v>5432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E5A1-4040-A02F-85C09F091F79}"/>
            </c:ext>
          </c:extLst>
        </c:ser>
        <c:dLbls>
          <c:showLegendKey val="0"/>
          <c:showVal val="0"/>
          <c:showCatName val="0"/>
          <c:showSerName val="0"/>
          <c:showPercent val="0"/>
          <c:showBubbleSize val="0"/>
        </c:dLbls>
        <c:marker val="1"/>
        <c:smooth val="0"/>
        <c:axId val="230844672"/>
        <c:axId val="230850560"/>
      </c:lineChart>
      <c:catAx>
        <c:axId val="230844672"/>
        <c:scaling>
          <c:orientation val="minMax"/>
        </c:scaling>
        <c:delete val="0"/>
        <c:axPos val="b"/>
        <c:numFmt formatCode="General" sourceLinked="1"/>
        <c:majorTickMark val="out"/>
        <c:minorTickMark val="none"/>
        <c:tickLblPos val="nextTo"/>
        <c:txPr>
          <a:bodyPr/>
          <a:lstStyle/>
          <a:p>
            <a:pPr>
              <a:defRPr sz="1000"/>
            </a:pPr>
            <a:endParaRPr lang="en-US"/>
          </a:p>
        </c:txPr>
        <c:crossAx val="230850560"/>
        <c:crosses val="autoZero"/>
        <c:auto val="1"/>
        <c:lblAlgn val="ctr"/>
        <c:lblOffset val="100"/>
        <c:noMultiLvlLbl val="0"/>
      </c:catAx>
      <c:valAx>
        <c:axId val="230850560"/>
        <c:scaling>
          <c:orientation val="minMax"/>
          <c:max val="1600000"/>
        </c:scaling>
        <c:delete val="0"/>
        <c:axPos val="l"/>
        <c:majorGridlines/>
        <c:title>
          <c:tx>
            <c:rich>
              <a:bodyPr rot="-5400000" vert="horz"/>
              <a:lstStyle/>
              <a:p>
                <a:pPr>
                  <a:defRPr sz="1400"/>
                </a:pPr>
                <a:r>
                  <a:rPr lang="en-US" sz="1400"/>
                  <a:t>Annual shipments (Units)</a:t>
                </a:r>
              </a:p>
            </c:rich>
          </c:tx>
          <c:overlay val="0"/>
        </c:title>
        <c:numFmt formatCode="_(* #,##0_);_(* \(#,##0\);_(* &quot;-&quot;??_);_(@_)" sourceLinked="1"/>
        <c:majorTickMark val="out"/>
        <c:minorTickMark val="none"/>
        <c:tickLblPos val="nextTo"/>
        <c:txPr>
          <a:bodyPr/>
          <a:lstStyle/>
          <a:p>
            <a:pPr>
              <a:defRPr sz="1000"/>
            </a:pPr>
            <a:endParaRPr lang="en-US"/>
          </a:p>
        </c:txPr>
        <c:crossAx val="230844672"/>
        <c:crosses val="autoZero"/>
        <c:crossBetween val="between"/>
      </c:valAx>
    </c:plotArea>
    <c:legend>
      <c:legendPos val="t"/>
      <c:layout>
        <c:manualLayout>
          <c:xMode val="edge"/>
          <c:yMode val="edge"/>
          <c:x val="0.82648683899731656"/>
          <c:y val="6.3585545525659176E-2"/>
          <c:w val="0.15189796737783431"/>
          <c:h val="0.5706233153390905"/>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580654628726852"/>
          <c:y val="4.3952713374130495E-2"/>
          <c:w val="0.81527553424805821"/>
          <c:h val="0.86134541117128949"/>
        </c:manualLayout>
      </c:layout>
      <c:lineChart>
        <c:grouping val="standard"/>
        <c:varyColors val="0"/>
        <c:ser>
          <c:idx val="5"/>
          <c:order val="0"/>
          <c:tx>
            <c:strRef>
              <c:f>Summary!$B$434</c:f>
              <c:strCache>
                <c:ptCount val="1"/>
                <c:pt idx="0">
                  <c:v>500m 40G PSM4 QSFP+</c:v>
                </c:pt>
              </c:strCache>
            </c:strRef>
          </c:tx>
          <c:cat>
            <c:numRef>
              <c:f>Summary!$C$433:$M$433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Summary!$C$434:$M$434</c:f>
              <c:numCache>
                <c:formatCode>_(* #,##0_);_(* \(#,##0\);_(* "-"??_);_(@_)</c:formatCode>
                <c:ptCount val="11"/>
                <c:pt idx="0">
                  <c:v>813790</c:v>
                </c:pt>
                <c:pt idx="1">
                  <c:v>613640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1CF4-5E4E-B425-604C7E3108CC}"/>
            </c:ext>
          </c:extLst>
        </c:ser>
        <c:ser>
          <c:idx val="0"/>
          <c:order val="1"/>
          <c:tx>
            <c:strRef>
              <c:f>Summary!$B$435</c:f>
              <c:strCache>
                <c:ptCount val="1"/>
                <c:pt idx="0">
                  <c:v>2 km  40G (FR) CFP</c:v>
                </c:pt>
              </c:strCache>
            </c:strRef>
          </c:tx>
          <c:cat>
            <c:numRef>
              <c:f>Summary!$C$433:$M$433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Summary!$C$435:$M$435</c:f>
              <c:numCache>
                <c:formatCode>_(* #,##0_);_(* \(#,##0\);_(* "-"??_);_(@_)</c:formatCode>
                <c:ptCount val="11"/>
                <c:pt idx="0">
                  <c:v>791</c:v>
                </c:pt>
                <c:pt idx="1">
                  <c:v>402</c:v>
                </c:pt>
              </c:numCache>
            </c:numRef>
          </c:val>
          <c:smooth val="0"/>
          <c:extLst xmlns:c16r2="http://schemas.microsoft.com/office/drawing/2015/06/chart">
            <c:ext xmlns:c16="http://schemas.microsoft.com/office/drawing/2014/chart" uri="{C3380CC4-5D6E-409C-BE32-E72D297353CC}">
              <c16:uniqueId val="{00000001-1CF4-5E4E-B425-604C7E3108CC}"/>
            </c:ext>
          </c:extLst>
        </c:ser>
        <c:ser>
          <c:idx val="1"/>
          <c:order val="2"/>
          <c:tx>
            <c:strRef>
              <c:f>Summary!$B$436</c:f>
              <c:strCache>
                <c:ptCount val="1"/>
                <c:pt idx="0">
                  <c:v>2 km 40G LR4 subspec QSFP+</c:v>
                </c:pt>
              </c:strCache>
            </c:strRef>
          </c:tx>
          <c:cat>
            <c:numRef>
              <c:f>Summary!$C$433:$M$433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Summary!$C$436:$M$436</c:f>
              <c:numCache>
                <c:formatCode>_(* #,##0_);_(* \(#,##0\);_(* "-"??_);_(@_)</c:formatCode>
                <c:ptCount val="11"/>
                <c:pt idx="0">
                  <c:v>470209</c:v>
                </c:pt>
                <c:pt idx="1">
                  <c:v>806616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1CF4-5E4E-B425-604C7E3108CC}"/>
            </c:ext>
          </c:extLst>
        </c:ser>
        <c:ser>
          <c:idx val="2"/>
          <c:order val="3"/>
          <c:tx>
            <c:strRef>
              <c:f>Summary!$B$437</c:f>
              <c:strCache>
                <c:ptCount val="1"/>
                <c:pt idx="0">
                  <c:v>10 km 40G CFP</c:v>
                </c:pt>
              </c:strCache>
            </c:strRef>
          </c:tx>
          <c:cat>
            <c:numRef>
              <c:f>Summary!$C$433:$M$433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Summary!$C$437:$M$437</c:f>
              <c:numCache>
                <c:formatCode>_(* #,##0_);_(* \(#,##0\);_(* "-"??_);_(@_)</c:formatCode>
                <c:ptCount val="11"/>
                <c:pt idx="0">
                  <c:v>6655</c:v>
                </c:pt>
                <c:pt idx="1">
                  <c:v>2846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1CF4-5E4E-B425-604C7E3108CC}"/>
            </c:ext>
          </c:extLst>
        </c:ser>
        <c:ser>
          <c:idx val="3"/>
          <c:order val="4"/>
          <c:tx>
            <c:strRef>
              <c:f>Summary!$B$438</c:f>
              <c:strCache>
                <c:ptCount val="1"/>
                <c:pt idx="0">
                  <c:v>10 km  40G QSFP+</c:v>
                </c:pt>
              </c:strCache>
            </c:strRef>
          </c:tx>
          <c:marker>
            <c:symbol val="square"/>
            <c:size val="5"/>
          </c:marker>
          <c:cat>
            <c:numRef>
              <c:f>Summary!$C$433:$M$433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Summary!$C$438:$M$438</c:f>
              <c:numCache>
                <c:formatCode>_(* #,##0_);_(* \(#,##0\);_(* "-"??_);_(@_)</c:formatCode>
                <c:ptCount val="11"/>
                <c:pt idx="0">
                  <c:v>327231</c:v>
                </c:pt>
                <c:pt idx="1">
                  <c:v>424358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1CF4-5E4E-B425-604C7E3108CC}"/>
            </c:ext>
          </c:extLst>
        </c:ser>
        <c:ser>
          <c:idx val="4"/>
          <c:order val="5"/>
          <c:tx>
            <c:strRef>
              <c:f>Summary!$B$439</c:f>
              <c:strCache>
                <c:ptCount val="1"/>
                <c:pt idx="0">
                  <c:v>40 km 40G all</c:v>
                </c:pt>
              </c:strCache>
            </c:strRef>
          </c:tx>
          <c:cat>
            <c:numRef>
              <c:f>Summary!$C$433:$M$433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Summary!$C$439:$M$439</c:f>
              <c:numCache>
                <c:formatCode>_(* #,##0_);_(* \(#,##0\);_(* "-"??_);_(@_)</c:formatCode>
                <c:ptCount val="11"/>
                <c:pt idx="0">
                  <c:v>4894</c:v>
                </c:pt>
                <c:pt idx="1">
                  <c:v>5432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1CF4-5E4E-B425-604C7E3108CC}"/>
            </c:ext>
          </c:extLst>
        </c:ser>
        <c:dLbls>
          <c:showLegendKey val="0"/>
          <c:showVal val="0"/>
          <c:showCatName val="0"/>
          <c:showSerName val="0"/>
          <c:showPercent val="0"/>
          <c:showBubbleSize val="0"/>
        </c:dLbls>
        <c:marker val="1"/>
        <c:smooth val="0"/>
        <c:axId val="230881920"/>
        <c:axId val="230556032"/>
      </c:lineChart>
      <c:catAx>
        <c:axId val="230881920"/>
        <c:scaling>
          <c:orientation val="minMax"/>
        </c:scaling>
        <c:delete val="0"/>
        <c:axPos val="b"/>
        <c:numFmt formatCode="General" sourceLinked="1"/>
        <c:majorTickMark val="out"/>
        <c:minorTickMark val="none"/>
        <c:tickLblPos val="nextTo"/>
        <c:txPr>
          <a:bodyPr/>
          <a:lstStyle/>
          <a:p>
            <a:pPr>
              <a:defRPr sz="1050"/>
            </a:pPr>
            <a:endParaRPr lang="en-US"/>
          </a:p>
        </c:txPr>
        <c:crossAx val="230556032"/>
        <c:crosses val="autoZero"/>
        <c:auto val="1"/>
        <c:lblAlgn val="ctr"/>
        <c:lblOffset val="100"/>
        <c:noMultiLvlLbl val="0"/>
      </c:catAx>
      <c:valAx>
        <c:axId val="230556032"/>
        <c:scaling>
          <c:orientation val="minMax"/>
          <c:min val="0"/>
        </c:scaling>
        <c:delete val="0"/>
        <c:axPos val="l"/>
        <c:majorGridlines/>
        <c:title>
          <c:tx>
            <c:rich>
              <a:bodyPr rot="-5400000" vert="horz"/>
              <a:lstStyle/>
              <a:p>
                <a:pPr>
                  <a:defRPr sz="1400"/>
                </a:pPr>
                <a:r>
                  <a:rPr lang="en-US" sz="1400"/>
                  <a:t>Annual shipments</a:t>
                </a:r>
              </a:p>
            </c:rich>
          </c:tx>
          <c:overlay val="0"/>
        </c:title>
        <c:numFmt formatCode="#,##0" sourceLinked="0"/>
        <c:majorTickMark val="out"/>
        <c:minorTickMark val="none"/>
        <c:tickLblPos val="nextTo"/>
        <c:txPr>
          <a:bodyPr/>
          <a:lstStyle/>
          <a:p>
            <a:pPr>
              <a:defRPr sz="1100"/>
            </a:pPr>
            <a:endParaRPr lang="en-US"/>
          </a:p>
        </c:txPr>
        <c:crossAx val="230881920"/>
        <c:crosses val="autoZero"/>
        <c:crossBetween val="between"/>
      </c:valAx>
    </c:plotArea>
    <c:legend>
      <c:legendPos val="t"/>
      <c:layout>
        <c:manualLayout>
          <c:xMode val="edge"/>
          <c:yMode val="edge"/>
          <c:x val="0.66542919714521842"/>
          <c:y val="5.4345651718956473E-2"/>
          <c:w val="0.3238385731109733"/>
          <c:h val="0.44029319100870484"/>
        </c:manualLayout>
      </c:layout>
      <c:overlay val="0"/>
      <c:spPr>
        <a:solidFill>
          <a:schemeClr val="bg1"/>
        </a:solidFill>
        <a:ln>
          <a:solidFill>
            <a:schemeClr val="tx1"/>
          </a:solidFill>
        </a:ln>
      </c:spPr>
      <c:txPr>
        <a:bodyPr/>
        <a:lstStyle/>
        <a:p>
          <a:pPr>
            <a:defRPr lang="en-US"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35386850370981"/>
          <c:y val="3.2895576992769252E-2"/>
          <c:w val="0.76545195838128821"/>
          <c:h val="0.88129472991329527"/>
        </c:manualLayout>
      </c:layout>
      <c:lineChart>
        <c:grouping val="standard"/>
        <c:varyColors val="0"/>
        <c:ser>
          <c:idx val="0"/>
          <c:order val="0"/>
          <c:tx>
            <c:strRef>
              <c:f>Summary!$B$633</c:f>
              <c:strCache>
                <c:ptCount val="1"/>
                <c:pt idx="0">
                  <c:v>100G PSM4_500 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Summary!$C$633:$M$633</c:f>
              <c:numCache>
                <c:formatCode>_(* #,##0_);_(* \(#,##0\);_(* "-"??_);_(@_)</c:formatCode>
                <c:ptCount val="11"/>
                <c:pt idx="0">
                  <c:v>200861</c:v>
                </c:pt>
                <c:pt idx="1">
                  <c:v>710038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0742-FF43-B74E-AD72223D05C9}"/>
            </c:ext>
          </c:extLst>
        </c:ser>
        <c:ser>
          <c:idx val="7"/>
          <c:order val="1"/>
          <c:tx>
            <c:strRef>
              <c:f>Summary!$B$634</c:f>
              <c:strCache>
                <c:ptCount val="1"/>
                <c:pt idx="0">
                  <c:v>100G DR/DR+_500m, 2km_QSFP28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Summary!$C$634:$M$634</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AEFC-0541-A2A8-6BE89802A05E}"/>
            </c:ext>
          </c:extLst>
        </c:ser>
        <c:ser>
          <c:idx val="8"/>
          <c:order val="2"/>
          <c:tx>
            <c:strRef>
              <c:f>Summary!$B$635</c:f>
              <c:strCache>
                <c:ptCount val="1"/>
                <c:pt idx="0">
                  <c:v>100G CWDM4-subspec_500 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Summary!$C$635:$M$635</c:f>
              <c:numCache>
                <c:formatCode>_(* #,##0_);_(* \(#,##0\);_(* "-"??_);_(@_)</c:formatCode>
                <c:ptCount val="11"/>
                <c:pt idx="0">
                  <c:v>88200.6</c:v>
                </c:pt>
                <c:pt idx="1">
                  <c:v>683412.1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AEFC-0541-A2A8-6BE89802A05E}"/>
            </c:ext>
          </c:extLst>
        </c:ser>
        <c:ser>
          <c:idx val="5"/>
          <c:order val="3"/>
          <c:tx>
            <c:strRef>
              <c:f>Summary!$B$636</c:f>
              <c:strCache>
                <c:ptCount val="1"/>
                <c:pt idx="0">
                  <c:v>100G CWDM4_2 km_QSFP28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Summary!$C$636:$M$636</c:f>
              <c:numCache>
                <c:formatCode>_(* #,##0_);_(* \(#,##0\);_(* "-"??_);_(@_)</c:formatCode>
                <c:ptCount val="11"/>
                <c:pt idx="0">
                  <c:v>30989.399999999994</c:v>
                </c:pt>
                <c:pt idx="1">
                  <c:v>292890.90000000002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0742-FF43-B74E-AD72223D05C9}"/>
            </c:ext>
          </c:extLst>
        </c:ser>
        <c:ser>
          <c:idx val="10"/>
          <c:order val="4"/>
          <c:tx>
            <c:strRef>
              <c:f>Summary!$B$637</c:f>
              <c:strCache>
                <c:ptCount val="1"/>
                <c:pt idx="0">
                  <c:v>100G FR1_2 km_QSFP28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Summary!$C$637:$M$637</c:f>
              <c:numCache>
                <c:formatCode>_(* #,##0_);_(* \(#,##0\);_(* "-"??_);_(@_)</c:formatCode>
                <c:ptCount val="11"/>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AEFC-0541-A2A8-6BE89802A05E}"/>
            </c:ext>
          </c:extLst>
        </c:ser>
        <c:ser>
          <c:idx val="1"/>
          <c:order val="5"/>
          <c:tx>
            <c:strRef>
              <c:f>Summary!$B$638</c:f>
              <c:strCache>
                <c:ptCount val="1"/>
                <c:pt idx="0">
                  <c:v>100G LR4_10 km_CFP</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Summary!$C$638:$M$638</c:f>
              <c:numCache>
                <c:formatCode>_(* #,##0_);_(* \(#,##0\);_(* "-"??_);_(@_)</c:formatCode>
                <c:ptCount val="11"/>
                <c:pt idx="0">
                  <c:v>109936</c:v>
                </c:pt>
                <c:pt idx="1">
                  <c:v>67349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0742-FF43-B74E-AD72223D05C9}"/>
            </c:ext>
          </c:extLst>
        </c:ser>
        <c:ser>
          <c:idx val="2"/>
          <c:order val="6"/>
          <c:tx>
            <c:strRef>
              <c:f>Summary!$B$639</c:f>
              <c:strCache>
                <c:ptCount val="1"/>
                <c:pt idx="0">
                  <c:v>100G LR4_10 km_CFP2/4</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Summary!$C$639:$M$639</c:f>
              <c:numCache>
                <c:formatCode>_(* #,##0_);_(* \(#,##0\);_(* "-"??_);_(@_)</c:formatCode>
                <c:ptCount val="11"/>
                <c:pt idx="0">
                  <c:v>92243</c:v>
                </c:pt>
                <c:pt idx="1">
                  <c:v>78202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0742-FF43-B74E-AD72223D05C9}"/>
            </c:ext>
          </c:extLst>
        </c:ser>
        <c:ser>
          <c:idx val="3"/>
          <c:order val="7"/>
          <c:tx>
            <c:strRef>
              <c:f>Summary!$B$640</c:f>
              <c:strCache>
                <c:ptCount val="1"/>
                <c:pt idx="0">
                  <c:v>100G LR4 and LR1_10 km_QSFP28</c:v>
                </c:pt>
              </c:strCache>
            </c:strRef>
          </c:tx>
          <c:marker>
            <c:symbol val="square"/>
            <c:size val="5"/>
          </c:marker>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Summary!$C$640:$M$640</c:f>
              <c:numCache>
                <c:formatCode>_(* #,##0_);_(* \(#,##0\);_(* "-"??_);_(@_)</c:formatCode>
                <c:ptCount val="11"/>
                <c:pt idx="0">
                  <c:v>90443</c:v>
                </c:pt>
                <c:pt idx="1">
                  <c:v>362352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0742-FF43-B74E-AD72223D05C9}"/>
            </c:ext>
          </c:extLst>
        </c:ser>
        <c:ser>
          <c:idx val="9"/>
          <c:order val="8"/>
          <c:tx>
            <c:strRef>
              <c:f>Summary!$B$641</c:f>
              <c:strCache>
                <c:ptCount val="1"/>
                <c:pt idx="0">
                  <c:v>100G 4WDM10_10 km_QSFP28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Summary!$C$641:$M$641</c:f>
              <c:numCache>
                <c:formatCode>_(* #,##0_);_(* \(#,##0\);_(* "-"??_);_(@_)</c:formatCode>
                <c:ptCount val="11"/>
                <c:pt idx="1">
                  <c:v>45000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AEFC-0541-A2A8-6BE89802A05E}"/>
            </c:ext>
          </c:extLst>
        </c:ser>
        <c:ser>
          <c:idx val="6"/>
          <c:order val="9"/>
          <c:tx>
            <c:strRef>
              <c:f>Summary!$B$642</c:f>
              <c:strCache>
                <c:ptCount val="1"/>
                <c:pt idx="0">
                  <c:v>100G 4WDM20_20 km_QSFP28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Summary!$C$642:$M$642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0742-FF43-B74E-AD72223D05C9}"/>
            </c:ext>
          </c:extLst>
        </c:ser>
        <c:ser>
          <c:idx val="4"/>
          <c:order val="10"/>
          <c:tx>
            <c:strRef>
              <c:f>Summary!$B$643</c:f>
              <c:strCache>
                <c:ptCount val="1"/>
                <c:pt idx="0">
                  <c:v>100G ER4-Lite_30 km_QSFP28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Summary!$C$643:$M$643</c:f>
              <c:numCache>
                <c:formatCode>_(* #,##0_);_(* \(#,##0\);_(* "-"??_);_(@_)</c:formatCode>
                <c:ptCount val="11"/>
                <c:pt idx="0">
                  <c:v>0</c:v>
                </c:pt>
                <c:pt idx="1">
                  <c:v>2000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6-0742-FF43-B74E-AD72223D05C9}"/>
            </c:ext>
          </c:extLst>
        </c:ser>
        <c:ser>
          <c:idx val="11"/>
          <c:order val="11"/>
          <c:tx>
            <c:strRef>
              <c:f>Summary!$B$644</c:f>
              <c:strCache>
                <c:ptCount val="1"/>
                <c:pt idx="0">
                  <c:v>100G ER4_40 km_QSFP28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Summary!$C$644:$M$644</c:f>
              <c:numCache>
                <c:formatCode>_(* #,##0_);_(* \(#,##0\);_(* "-"??_);_(@_)</c:formatCode>
                <c:ptCount val="11"/>
                <c:pt idx="0">
                  <c:v>7456</c:v>
                </c:pt>
                <c:pt idx="1">
                  <c:v>8272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784A-9049-8669-DA576F19C94E}"/>
            </c:ext>
          </c:extLst>
        </c:ser>
        <c:ser>
          <c:idx val="12"/>
          <c:order val="12"/>
          <c:tx>
            <c:strRef>
              <c:f>Summary!$B$645</c:f>
              <c:strCache>
                <c:ptCount val="1"/>
                <c:pt idx="0">
                  <c:v>100G ZR4_80 km_QSFP28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Summary!$C$645:$M$645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784A-9049-8669-DA576F19C94E}"/>
            </c:ext>
          </c:extLst>
        </c:ser>
        <c:dLbls>
          <c:showLegendKey val="0"/>
          <c:showVal val="0"/>
          <c:showCatName val="0"/>
          <c:showSerName val="0"/>
          <c:showPercent val="0"/>
          <c:showBubbleSize val="0"/>
        </c:dLbls>
        <c:marker val="1"/>
        <c:smooth val="0"/>
        <c:axId val="230640640"/>
        <c:axId val="230667008"/>
      </c:lineChart>
      <c:catAx>
        <c:axId val="230640640"/>
        <c:scaling>
          <c:orientation val="minMax"/>
        </c:scaling>
        <c:delete val="0"/>
        <c:axPos val="b"/>
        <c:numFmt formatCode="General" sourceLinked="1"/>
        <c:majorTickMark val="out"/>
        <c:minorTickMark val="none"/>
        <c:tickLblPos val="nextTo"/>
        <c:txPr>
          <a:bodyPr/>
          <a:lstStyle/>
          <a:p>
            <a:pPr>
              <a:defRPr sz="1050"/>
            </a:pPr>
            <a:endParaRPr lang="en-US"/>
          </a:p>
        </c:txPr>
        <c:crossAx val="230667008"/>
        <c:crosses val="autoZero"/>
        <c:auto val="1"/>
        <c:lblAlgn val="ctr"/>
        <c:lblOffset val="100"/>
        <c:noMultiLvlLbl val="0"/>
      </c:catAx>
      <c:valAx>
        <c:axId val="230667008"/>
        <c:scaling>
          <c:orientation val="minMax"/>
          <c:min val="0"/>
        </c:scaling>
        <c:delete val="0"/>
        <c:axPos val="l"/>
        <c:majorGridlines/>
        <c:title>
          <c:tx>
            <c:rich>
              <a:bodyPr rot="-5400000" vert="horz"/>
              <a:lstStyle/>
              <a:p>
                <a:pPr>
                  <a:defRPr sz="1400"/>
                </a:pPr>
                <a:r>
                  <a:rPr lang="en-US" sz="1400"/>
                  <a:t>Annual shipments
</a:t>
                </a:r>
              </a:p>
            </c:rich>
          </c:tx>
          <c:overlay val="0"/>
        </c:title>
        <c:numFmt formatCode="#,##0" sourceLinked="0"/>
        <c:majorTickMark val="out"/>
        <c:minorTickMark val="none"/>
        <c:tickLblPos val="nextTo"/>
        <c:txPr>
          <a:bodyPr/>
          <a:lstStyle/>
          <a:p>
            <a:pPr>
              <a:defRPr sz="1100"/>
            </a:pPr>
            <a:endParaRPr lang="en-US"/>
          </a:p>
        </c:txPr>
        <c:crossAx val="230640640"/>
        <c:crosses val="autoZero"/>
        <c:crossBetween val="between"/>
      </c:valAx>
    </c:plotArea>
    <c:legend>
      <c:legendPos val="t"/>
      <c:layout>
        <c:manualLayout>
          <c:xMode val="edge"/>
          <c:yMode val="edge"/>
          <c:x val="0.20178010540665142"/>
          <c:y val="5.1199495105133011E-2"/>
          <c:w val="0.71655703516995561"/>
          <c:h val="0.521401124320932"/>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75688679781172"/>
          <c:y val="4.2306270244038963E-2"/>
          <c:w val="0.82519515019078471"/>
          <c:h val="0.86289738655314385"/>
        </c:manualLayout>
      </c:layout>
      <c:lineChart>
        <c:grouping val="standard"/>
        <c:varyColors val="0"/>
        <c:ser>
          <c:idx val="0"/>
          <c:order val="0"/>
          <c:tx>
            <c:strRef>
              <c:f>Summary!$B$401</c:f>
              <c:strCache>
                <c:ptCount val="1"/>
                <c:pt idx="0">
                  <c:v>100 m  40G QSFP+</c:v>
                </c:pt>
              </c:strCache>
            </c:strRef>
          </c:tx>
          <c:cat>
            <c:numRef>
              <c:f>Summary!$C$400:$M$400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Summary!$C$401:$M$401</c:f>
              <c:numCache>
                <c:formatCode>_("$"* #,##0_);_("$"* \(#,##0\);_("$"* "-"??_);_(@_)</c:formatCode>
                <c:ptCount val="11"/>
                <c:pt idx="0">
                  <c:v>96.595063887564976</c:v>
                </c:pt>
                <c:pt idx="1">
                  <c:v>80.379797575925679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A296-AD4C-8705-1C468C75B2C8}"/>
            </c:ext>
          </c:extLst>
        </c:ser>
        <c:ser>
          <c:idx val="2"/>
          <c:order val="1"/>
          <c:tx>
            <c:strRef>
              <c:f>Summary!$B$402</c:f>
              <c:strCache>
                <c:ptCount val="1"/>
                <c:pt idx="0">
                  <c:v>100 m  40G MM duplex</c:v>
                </c:pt>
              </c:strCache>
            </c:strRef>
          </c:tx>
          <c:cat>
            <c:numRef>
              <c:f>Summary!$C$400:$M$400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Summary!$C$402:$M$402</c:f>
              <c:numCache>
                <c:formatCode>_("$"* #,##0_);_("$"* \(#,##0\);_("$"* "-"??_);_(@_)</c:formatCode>
                <c:ptCount val="11"/>
                <c:pt idx="0">
                  <c:v>250</c:v>
                </c:pt>
                <c:pt idx="1">
                  <c:v>240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A296-AD4C-8705-1C468C75B2C8}"/>
            </c:ext>
          </c:extLst>
        </c:ser>
        <c:ser>
          <c:idx val="1"/>
          <c:order val="2"/>
          <c:tx>
            <c:strRef>
              <c:f>Summary!$B$403</c:f>
              <c:strCache>
                <c:ptCount val="1"/>
                <c:pt idx="0">
                  <c:v>300 m  40 G eSR QSFP+</c:v>
                </c:pt>
              </c:strCache>
            </c:strRef>
          </c:tx>
          <c:cat>
            <c:numRef>
              <c:f>Summary!$C$400:$M$400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Summary!$C$403:$M$403</c:f>
              <c:numCache>
                <c:formatCode>_("$"* #,##0_);_("$"* \(#,##0\);_("$"* "-"??_);_(@_)</c:formatCode>
                <c:ptCount val="11"/>
                <c:pt idx="0">
                  <c:v>106.66614587912188</c:v>
                </c:pt>
                <c:pt idx="1">
                  <c:v>80.99928194026171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A296-AD4C-8705-1C468C75B2C8}"/>
            </c:ext>
          </c:extLst>
        </c:ser>
        <c:dLbls>
          <c:showLegendKey val="0"/>
          <c:showVal val="0"/>
          <c:showCatName val="0"/>
          <c:showSerName val="0"/>
          <c:showPercent val="0"/>
          <c:showBubbleSize val="0"/>
        </c:dLbls>
        <c:marker val="1"/>
        <c:smooth val="0"/>
        <c:axId val="230695296"/>
        <c:axId val="230696832"/>
      </c:lineChart>
      <c:catAx>
        <c:axId val="230695296"/>
        <c:scaling>
          <c:orientation val="minMax"/>
        </c:scaling>
        <c:delete val="0"/>
        <c:axPos val="b"/>
        <c:numFmt formatCode="General" sourceLinked="1"/>
        <c:majorTickMark val="out"/>
        <c:minorTickMark val="none"/>
        <c:tickLblPos val="nextTo"/>
        <c:txPr>
          <a:bodyPr/>
          <a:lstStyle/>
          <a:p>
            <a:pPr>
              <a:defRPr sz="1050"/>
            </a:pPr>
            <a:endParaRPr lang="en-US"/>
          </a:p>
        </c:txPr>
        <c:crossAx val="230696832"/>
        <c:crosses val="autoZero"/>
        <c:auto val="1"/>
        <c:lblAlgn val="ctr"/>
        <c:lblOffset val="100"/>
        <c:noMultiLvlLbl val="0"/>
      </c:catAx>
      <c:valAx>
        <c:axId val="230696832"/>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2.4035855319214587E-2"/>
              <c:y val="0.40424722023588677"/>
            </c:manualLayout>
          </c:layout>
          <c:overlay val="0"/>
        </c:title>
        <c:numFmt formatCode="&quot;$&quot;#,##0" sourceLinked="0"/>
        <c:majorTickMark val="out"/>
        <c:minorTickMark val="none"/>
        <c:tickLblPos val="nextTo"/>
        <c:txPr>
          <a:bodyPr/>
          <a:lstStyle/>
          <a:p>
            <a:pPr>
              <a:defRPr sz="1200"/>
            </a:pPr>
            <a:endParaRPr lang="en-US"/>
          </a:p>
        </c:txPr>
        <c:crossAx val="230695296"/>
        <c:crosses val="autoZero"/>
        <c:crossBetween val="between"/>
      </c:valAx>
    </c:plotArea>
    <c:legend>
      <c:legendPos val="t"/>
      <c:layout>
        <c:manualLayout>
          <c:xMode val="edge"/>
          <c:yMode val="edge"/>
          <c:x val="0.59379916214148942"/>
          <c:y val="4.3385653130271255E-2"/>
          <c:w val="0.38604741795783842"/>
          <c:h val="0.233443090704270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58586214111809"/>
          <c:y val="3.5766284295518598E-2"/>
          <c:w val="0.82582543362373229"/>
          <c:h val="0.8523798229910875"/>
        </c:manualLayout>
      </c:layout>
      <c:lineChart>
        <c:grouping val="standard"/>
        <c:varyColors val="0"/>
        <c:ser>
          <c:idx val="2"/>
          <c:order val="0"/>
          <c:tx>
            <c:strRef>
              <c:f>Summary!$B$563</c:f>
              <c:strCache>
                <c:ptCount val="1"/>
                <c:pt idx="0">
                  <c:v>100 m  100G SR2, SR4  QSFP28</c:v>
                </c:pt>
              </c:strCache>
            </c:strRef>
          </c:tx>
          <c:cat>
            <c:numRef>
              <c:f>Summary!$C$552:$M$552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Summary!$C$563:$M$563</c:f>
              <c:numCache>
                <c:formatCode>_("$"* #,##0_);_("$"* \(#,##0\);_("$"* "-"??_);_(@_)</c:formatCode>
                <c:ptCount val="11"/>
                <c:pt idx="0">
                  <c:v>258.09426618771823</c:v>
                </c:pt>
                <c:pt idx="1">
                  <c:v>182.02277386466108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65E2-914D-9780-0F3F5FB47860}"/>
            </c:ext>
          </c:extLst>
        </c:ser>
        <c:ser>
          <c:idx val="3"/>
          <c:order val="1"/>
          <c:tx>
            <c:strRef>
              <c:f>Summary!$B$564</c:f>
              <c:strCache>
                <c:ptCount val="1"/>
                <c:pt idx="0">
                  <c:v>100 m  100G QSFP28 MM Duplex</c:v>
                </c:pt>
              </c:strCache>
            </c:strRef>
          </c:tx>
          <c:cat>
            <c:numRef>
              <c:f>Summary!$C$552:$M$552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Summary!$C$564:$M$564</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65E2-914D-9780-0F3F5FB47860}"/>
            </c:ext>
          </c:extLst>
        </c:ser>
        <c:ser>
          <c:idx val="4"/>
          <c:order val="2"/>
          <c:tx>
            <c:strRef>
              <c:f>Summary!$B$565</c:f>
              <c:strCache>
                <c:ptCount val="1"/>
                <c:pt idx="0">
                  <c:v>300 m  100G QSFP28  eSR4</c:v>
                </c:pt>
              </c:strCache>
            </c:strRef>
          </c:tx>
          <c:cat>
            <c:numRef>
              <c:f>Summary!$C$552:$M$552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Summary!$C$565:$M$565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65E2-914D-9780-0F3F5FB47860}"/>
            </c:ext>
          </c:extLst>
        </c:ser>
        <c:dLbls>
          <c:showLegendKey val="0"/>
          <c:showVal val="0"/>
          <c:showCatName val="0"/>
          <c:showSerName val="0"/>
          <c:showPercent val="0"/>
          <c:showBubbleSize val="0"/>
        </c:dLbls>
        <c:marker val="1"/>
        <c:smooth val="0"/>
        <c:axId val="230732544"/>
        <c:axId val="230734080"/>
      </c:lineChart>
      <c:catAx>
        <c:axId val="230732544"/>
        <c:scaling>
          <c:orientation val="minMax"/>
        </c:scaling>
        <c:delete val="0"/>
        <c:axPos val="b"/>
        <c:numFmt formatCode="General" sourceLinked="1"/>
        <c:majorTickMark val="out"/>
        <c:minorTickMark val="none"/>
        <c:tickLblPos val="nextTo"/>
        <c:txPr>
          <a:bodyPr/>
          <a:lstStyle/>
          <a:p>
            <a:pPr>
              <a:defRPr sz="1100"/>
            </a:pPr>
            <a:endParaRPr lang="en-US"/>
          </a:p>
        </c:txPr>
        <c:crossAx val="230734080"/>
        <c:crosses val="autoZero"/>
        <c:auto val="1"/>
        <c:lblAlgn val="ctr"/>
        <c:lblOffset val="100"/>
        <c:noMultiLvlLbl val="0"/>
      </c:catAx>
      <c:valAx>
        <c:axId val="230734080"/>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2.6878718658461209E-2"/>
              <c:y val="0.38912298227147679"/>
            </c:manualLayout>
          </c:layout>
          <c:overlay val="0"/>
        </c:title>
        <c:numFmt formatCode="&quot;$&quot;#,##0" sourceLinked="0"/>
        <c:majorTickMark val="out"/>
        <c:minorTickMark val="none"/>
        <c:tickLblPos val="nextTo"/>
        <c:txPr>
          <a:bodyPr/>
          <a:lstStyle/>
          <a:p>
            <a:pPr>
              <a:defRPr sz="1200"/>
            </a:pPr>
            <a:endParaRPr lang="en-US"/>
          </a:p>
        </c:txPr>
        <c:crossAx val="230732544"/>
        <c:crosses val="autoZero"/>
        <c:crossBetween val="between"/>
      </c:valAx>
    </c:plotArea>
    <c:legend>
      <c:legendPos val="t"/>
      <c:layout>
        <c:manualLayout>
          <c:xMode val="edge"/>
          <c:yMode val="edge"/>
          <c:x val="0.61847762549219165"/>
          <c:y val="4.6658610278654936E-2"/>
          <c:w val="0.35215332939678884"/>
          <c:h val="0.35953089786339548"/>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75377290285891"/>
          <c:y val="4.3751134432091006E-2"/>
          <c:w val="0.83633763989259313"/>
          <c:h val="0.85713486951690254"/>
        </c:manualLayout>
      </c:layout>
      <c:lineChart>
        <c:grouping val="standard"/>
        <c:varyColors val="0"/>
        <c:ser>
          <c:idx val="0"/>
          <c:order val="0"/>
          <c:tx>
            <c:strRef>
              <c:f>Summary!$B$649</c:f>
              <c:strCache>
                <c:ptCount val="1"/>
                <c:pt idx="0">
                  <c:v>100G PSM4_500 m_QSFP28</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Summary!$C$649:$M$649</c:f>
              <c:numCache>
                <c:formatCode>_("$"* #,##0_);_("$"* \(#,##0\);_("$"* "-"??_);_(@_)</c:formatCode>
                <c:ptCount val="11"/>
                <c:pt idx="0">
                  <c:v>337.41687156790022</c:v>
                </c:pt>
                <c:pt idx="1">
                  <c:v>222.65569307558187</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D455-2A45-B2C8-6267A3389E6C}"/>
            </c:ext>
          </c:extLst>
        </c:ser>
        <c:ser>
          <c:idx val="7"/>
          <c:order val="1"/>
          <c:tx>
            <c:strRef>
              <c:f>Summary!$B$650</c:f>
              <c:strCache>
                <c:ptCount val="1"/>
                <c:pt idx="0">
                  <c:v>100G DR/DR+_500m, 2km_QSFP28</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Summary!$C$650:$M$650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6DB7-6449-97D8-C194F1CD0C91}"/>
            </c:ext>
          </c:extLst>
        </c:ser>
        <c:ser>
          <c:idx val="8"/>
          <c:order val="2"/>
          <c:tx>
            <c:strRef>
              <c:f>Summary!$B$651</c:f>
              <c:strCache>
                <c:ptCount val="1"/>
                <c:pt idx="0">
                  <c:v>100G CWDM4-subspec_500 m_QSFP28</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Summary!$C$651:$M$651</c:f>
              <c:numCache>
                <c:formatCode>_("$"* #,##0_);_("$"* \(#,##0\);_("$"* "-"??_);_(@_)</c:formatCode>
                <c:ptCount val="11"/>
                <c:pt idx="0">
                  <c:v>625</c:v>
                </c:pt>
                <c:pt idx="1">
                  <c:v>450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6DB7-6449-97D8-C194F1CD0C91}"/>
            </c:ext>
          </c:extLst>
        </c:ser>
        <c:ser>
          <c:idx val="5"/>
          <c:order val="3"/>
          <c:tx>
            <c:strRef>
              <c:f>Summary!$B$652</c:f>
              <c:strCache>
                <c:ptCount val="1"/>
                <c:pt idx="0">
                  <c:v>100G CWDM4_2 km_QSFP28</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Summary!$C$652:$M$652</c:f>
              <c:numCache>
                <c:formatCode>_("$"* #,##0_);_("$"* \(#,##0\);_("$"* "-"??_);_(@_)</c:formatCode>
                <c:ptCount val="11"/>
                <c:pt idx="0">
                  <c:v>825</c:v>
                </c:pt>
                <c:pt idx="1">
                  <c:v>650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D455-2A45-B2C8-6267A3389E6C}"/>
            </c:ext>
          </c:extLst>
        </c:ser>
        <c:ser>
          <c:idx val="9"/>
          <c:order val="4"/>
          <c:tx>
            <c:strRef>
              <c:f>Summary!$B$653</c:f>
              <c:strCache>
                <c:ptCount val="1"/>
                <c:pt idx="0">
                  <c:v>100G FR1_2 km_QSFP28</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Summary!$C$653:$M$653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6DB7-6449-97D8-C194F1CD0C91}"/>
            </c:ext>
          </c:extLst>
        </c:ser>
        <c:ser>
          <c:idx val="1"/>
          <c:order val="5"/>
          <c:tx>
            <c:strRef>
              <c:f>Summary!$B$654</c:f>
              <c:strCache>
                <c:ptCount val="1"/>
                <c:pt idx="0">
                  <c:v>100G LR4_10 km_CFP</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Summary!$C$654:$M$654</c:f>
              <c:numCache>
                <c:formatCode>_("$"* #,##0_);_("$"* \(#,##0\);_("$"* "-"??_);_(@_)</c:formatCode>
                <c:ptCount val="11"/>
                <c:pt idx="0">
                  <c:v>3527.8709620331333</c:v>
                </c:pt>
                <c:pt idx="1">
                  <c:v>2768.0701132780364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D455-2A45-B2C8-6267A3389E6C}"/>
            </c:ext>
          </c:extLst>
        </c:ser>
        <c:ser>
          <c:idx val="2"/>
          <c:order val="6"/>
          <c:tx>
            <c:strRef>
              <c:f>Summary!$B$655</c:f>
              <c:strCache>
                <c:ptCount val="1"/>
                <c:pt idx="0">
                  <c:v>100G LR4_10 km_CFP2/4</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Summary!$C$655:$M$655</c:f>
              <c:numCache>
                <c:formatCode>_("$"* #,##0_);_("$"* \(#,##0\);_("$"* "-"??_);_(@_)</c:formatCode>
                <c:ptCount val="11"/>
                <c:pt idx="0">
                  <c:v>2882.5268681316725</c:v>
                </c:pt>
                <c:pt idx="1">
                  <c:v>2140.3307221126156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D455-2A45-B2C8-6267A3389E6C}"/>
            </c:ext>
          </c:extLst>
        </c:ser>
        <c:ser>
          <c:idx val="3"/>
          <c:order val="7"/>
          <c:tx>
            <c:strRef>
              <c:f>Summary!$B$656</c:f>
              <c:strCache>
                <c:ptCount val="1"/>
                <c:pt idx="0">
                  <c:v>100G LR4 and LR1_10 km_QSFP28</c:v>
                </c:pt>
              </c:strCache>
            </c:strRef>
          </c:tx>
          <c:marker>
            <c:symbol val="square"/>
            <c:size val="5"/>
          </c:marker>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Summary!$C$656:$M$656</c:f>
              <c:numCache>
                <c:formatCode>_("$"* #,##0_);_("$"* \(#,##0\);_("$"* "-"??_);_(@_)</c:formatCode>
                <c:ptCount val="11"/>
                <c:pt idx="0">
                  <c:v>1938.1501024552811</c:v>
                </c:pt>
                <c:pt idx="1">
                  <c:v>1200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D455-2A45-B2C8-6267A3389E6C}"/>
            </c:ext>
          </c:extLst>
        </c:ser>
        <c:ser>
          <c:idx val="10"/>
          <c:order val="8"/>
          <c:tx>
            <c:strRef>
              <c:f>Summary!$B$657</c:f>
              <c:strCache>
                <c:ptCount val="1"/>
                <c:pt idx="0">
                  <c:v>100G 4WDM10_10 km_QSFP28</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Summary!$C$657:$M$657</c:f>
              <c:numCache>
                <c:formatCode>_("$"* #,##0_);_("$"* \(#,##0\);_("$"* "-"??_);_(@_)</c:formatCode>
                <c:ptCount val="11"/>
                <c:pt idx="0">
                  <c:v>0</c:v>
                </c:pt>
                <c:pt idx="1">
                  <c:v>500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6DB7-6449-97D8-C194F1CD0C91}"/>
            </c:ext>
          </c:extLst>
        </c:ser>
        <c:ser>
          <c:idx val="6"/>
          <c:order val="9"/>
          <c:tx>
            <c:strRef>
              <c:f>Summary!$B$658</c:f>
              <c:strCache>
                <c:ptCount val="1"/>
                <c:pt idx="0">
                  <c:v>100G 4WDM20_20 km_QSFP28</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Summary!$C$658:$M$658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D455-2A45-B2C8-6267A3389E6C}"/>
            </c:ext>
          </c:extLst>
        </c:ser>
        <c:ser>
          <c:idx val="4"/>
          <c:order val="10"/>
          <c:tx>
            <c:strRef>
              <c:f>Summary!$B$659</c:f>
              <c:strCache>
                <c:ptCount val="1"/>
                <c:pt idx="0">
                  <c:v>100G ER4-Lite_30 km_QSFP28</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Summary!$C$659:$M$659</c:f>
              <c:numCache>
                <c:formatCode>_("$"* #,##0_);_("$"* \(#,##0\);_("$"* "-"??_);_(@_)</c:formatCode>
                <c:ptCount val="11"/>
                <c:pt idx="0">
                  <c:v>0</c:v>
                </c:pt>
                <c:pt idx="1">
                  <c:v>3487.2423945044161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AF05-E843-84B8-791173DE1B5D}"/>
            </c:ext>
          </c:extLst>
        </c:ser>
        <c:ser>
          <c:idx val="11"/>
          <c:order val="11"/>
          <c:tx>
            <c:strRef>
              <c:f>Summary!$B$660</c:f>
              <c:strCache>
                <c:ptCount val="1"/>
                <c:pt idx="0">
                  <c:v>100G ER4_40 km_QSFP28</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Summary!$C$660:$M$660</c:f>
              <c:numCache>
                <c:formatCode>_("$"* #,##0_);_("$"* \(#,##0\);_("$"* "-"??_);_(@_)</c:formatCode>
                <c:ptCount val="11"/>
                <c:pt idx="0">
                  <c:v>8992.3604525403425</c:v>
                </c:pt>
                <c:pt idx="1">
                  <c:v>6675.4855675304152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7186-7847-86D2-43B0860D890F}"/>
            </c:ext>
          </c:extLst>
        </c:ser>
        <c:ser>
          <c:idx val="12"/>
          <c:order val="12"/>
          <c:tx>
            <c:strRef>
              <c:f>Summary!$B$661</c:f>
              <c:strCache>
                <c:ptCount val="1"/>
                <c:pt idx="0">
                  <c:v>100G ZR4_80 km_QSFP28</c:v>
                </c:pt>
              </c:strCache>
            </c:strRef>
          </c:tx>
          <c:cat>
            <c:numRef>
              <c:f>Summary!$C$648:$M$648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Summary!$C$661:$M$661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7186-7847-86D2-43B0860D890F}"/>
            </c:ext>
          </c:extLst>
        </c:ser>
        <c:dLbls>
          <c:showLegendKey val="0"/>
          <c:showVal val="0"/>
          <c:showCatName val="0"/>
          <c:showSerName val="0"/>
          <c:showPercent val="0"/>
          <c:showBubbleSize val="0"/>
        </c:dLbls>
        <c:marker val="1"/>
        <c:smooth val="0"/>
        <c:axId val="230954112"/>
        <c:axId val="230955648"/>
      </c:lineChart>
      <c:catAx>
        <c:axId val="230954112"/>
        <c:scaling>
          <c:orientation val="minMax"/>
        </c:scaling>
        <c:delete val="0"/>
        <c:axPos val="b"/>
        <c:numFmt formatCode="General" sourceLinked="1"/>
        <c:majorTickMark val="out"/>
        <c:minorTickMark val="none"/>
        <c:tickLblPos val="nextTo"/>
        <c:txPr>
          <a:bodyPr/>
          <a:lstStyle/>
          <a:p>
            <a:pPr>
              <a:defRPr sz="1100"/>
            </a:pPr>
            <a:endParaRPr lang="en-US"/>
          </a:p>
        </c:txPr>
        <c:crossAx val="230955648"/>
        <c:crosses val="autoZero"/>
        <c:auto val="1"/>
        <c:lblAlgn val="ctr"/>
        <c:lblOffset val="100"/>
        <c:noMultiLvlLbl val="0"/>
      </c:catAx>
      <c:valAx>
        <c:axId val="230955648"/>
        <c:scaling>
          <c:orientation val="minMax"/>
          <c:min val="0"/>
        </c:scaling>
        <c:delete val="0"/>
        <c:axPos val="l"/>
        <c:majorGridlines/>
        <c:title>
          <c:tx>
            <c:rich>
              <a:bodyPr rot="-5400000" vert="horz"/>
              <a:lstStyle/>
              <a:p>
                <a:pPr>
                  <a:defRPr sz="1400"/>
                </a:pPr>
                <a:r>
                  <a:rPr lang="en-US" sz="1400"/>
                  <a:t>A.S.P.s</a:t>
                </a:r>
              </a:p>
            </c:rich>
          </c:tx>
          <c:overlay val="0"/>
        </c:title>
        <c:numFmt formatCode="&quot;$&quot;#,##0" sourceLinked="0"/>
        <c:majorTickMark val="out"/>
        <c:minorTickMark val="none"/>
        <c:tickLblPos val="nextTo"/>
        <c:txPr>
          <a:bodyPr/>
          <a:lstStyle/>
          <a:p>
            <a:pPr>
              <a:defRPr sz="1100"/>
            </a:pPr>
            <a:endParaRPr lang="en-US"/>
          </a:p>
        </c:txPr>
        <c:crossAx val="230954112"/>
        <c:crosses val="autoZero"/>
        <c:crossBetween val="between"/>
        <c:majorUnit val="1000"/>
      </c:valAx>
    </c:plotArea>
    <c:legend>
      <c:legendPos val="t"/>
      <c:layout>
        <c:manualLayout>
          <c:xMode val="edge"/>
          <c:yMode val="edge"/>
          <c:x val="0.46093466727330473"/>
          <c:y val="7.0469303553456417E-2"/>
          <c:w val="0.46953832325297468"/>
          <c:h val="0.59533248986263476"/>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0567056913174"/>
          <c:y val="3.778602565976448E-2"/>
          <c:w val="0.82462256352084295"/>
          <c:h val="0.88510706586246157"/>
        </c:manualLayout>
      </c:layout>
      <c:lineChart>
        <c:grouping val="standard"/>
        <c:varyColors val="0"/>
        <c:ser>
          <c:idx val="4"/>
          <c:order val="0"/>
          <c:tx>
            <c:strRef>
              <c:f>Summary!$B$791</c:f>
              <c:strCache>
                <c:ptCount val="1"/>
                <c:pt idx="0">
                  <c:v>2x200 (400G-SR8)</c:v>
                </c:pt>
              </c:strCache>
            </c:strRef>
          </c:tx>
          <c:cat>
            <c:numRef>
              <c:f>Summary!$E$790:$M$790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Summary!$E$791:$M$791</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0-9009-5347-B4AF-9FED4C00316F}"/>
            </c:ext>
          </c:extLst>
        </c:ser>
        <c:ser>
          <c:idx val="2"/>
          <c:order val="1"/>
          <c:tx>
            <c:strRef>
              <c:f>Summary!$B$792</c:f>
              <c:strCache>
                <c:ptCount val="1"/>
                <c:pt idx="0">
                  <c:v>400G SR4.2, SR4</c:v>
                </c:pt>
              </c:strCache>
            </c:strRef>
          </c:tx>
          <c:spPr>
            <a:ln>
              <a:solidFill>
                <a:schemeClr val="accent2"/>
              </a:solidFill>
            </a:ln>
          </c:spPr>
          <c:marker>
            <c:spPr>
              <a:solidFill>
                <a:schemeClr val="accent2"/>
              </a:solidFill>
              <a:ln>
                <a:solidFill>
                  <a:schemeClr val="accent2"/>
                </a:solidFill>
              </a:ln>
            </c:spPr>
          </c:marker>
          <c:cat>
            <c:numRef>
              <c:f>Summary!$E$790:$M$790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Summary!$E$792:$M$792</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0-DCD4-1B4A-BF00-DACF0025900F}"/>
            </c:ext>
          </c:extLst>
        </c:ser>
        <c:ser>
          <c:idx val="0"/>
          <c:order val="2"/>
          <c:tx>
            <c:strRef>
              <c:f>Summary!$B$793</c:f>
              <c:strCache>
                <c:ptCount val="1"/>
                <c:pt idx="0">
                  <c:v>400G DR4</c:v>
                </c:pt>
              </c:strCache>
            </c:strRef>
          </c:tx>
          <c:cat>
            <c:numRef>
              <c:f>Summary!$E$790:$M$790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Summary!$E$793:$M$793</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1-DCD4-1B4A-BF00-DACF0025900F}"/>
            </c:ext>
          </c:extLst>
        </c:ser>
        <c:ser>
          <c:idx val="5"/>
          <c:order val="3"/>
          <c:tx>
            <c:strRef>
              <c:f>Summary!$B$794</c:f>
              <c:strCache>
                <c:ptCount val="1"/>
                <c:pt idx="0">
                  <c:v>2x(200G FR4)</c:v>
                </c:pt>
              </c:strCache>
            </c:strRef>
          </c:tx>
          <c:cat>
            <c:numRef>
              <c:f>Summary!$E$790:$M$790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Summary!$E$794:$M$794</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1-9009-5347-B4AF-9FED4C00316F}"/>
            </c:ext>
          </c:extLst>
        </c:ser>
        <c:ser>
          <c:idx val="1"/>
          <c:order val="4"/>
          <c:tx>
            <c:strRef>
              <c:f>Summary!$B$795</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Summary!$E$790:$M$790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Summary!$E$795:$M$795</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2-DCD4-1B4A-BF00-DACF0025900F}"/>
            </c:ext>
          </c:extLst>
        </c:ser>
        <c:ser>
          <c:idx val="3"/>
          <c:order val="5"/>
          <c:tx>
            <c:strRef>
              <c:f>Summary!$B$796</c:f>
              <c:strCache>
                <c:ptCount val="1"/>
                <c:pt idx="0">
                  <c:v>400G LR4, LR8</c:v>
                </c:pt>
              </c:strCache>
            </c:strRef>
          </c:tx>
          <c:spPr>
            <a:ln>
              <a:solidFill>
                <a:schemeClr val="accent3"/>
              </a:solidFill>
            </a:ln>
          </c:spPr>
          <c:marker>
            <c:symbol val="x"/>
            <c:size val="5"/>
            <c:spPr>
              <a:solidFill>
                <a:schemeClr val="accent3"/>
              </a:solidFill>
              <a:ln>
                <a:solidFill>
                  <a:schemeClr val="accent3"/>
                </a:solidFill>
              </a:ln>
            </c:spPr>
          </c:marker>
          <c:cat>
            <c:numRef>
              <c:f>Summary!$E$790:$M$790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Summary!$E$796:$M$796</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3-DCD4-1B4A-BF00-DACF0025900F}"/>
            </c:ext>
          </c:extLst>
        </c:ser>
        <c:dLbls>
          <c:showLegendKey val="0"/>
          <c:showVal val="0"/>
          <c:showCatName val="0"/>
          <c:showSerName val="0"/>
          <c:showPercent val="0"/>
          <c:showBubbleSize val="0"/>
        </c:dLbls>
        <c:marker val="1"/>
        <c:smooth val="0"/>
        <c:axId val="231007360"/>
        <c:axId val="231009280"/>
      </c:lineChart>
      <c:catAx>
        <c:axId val="231007360"/>
        <c:scaling>
          <c:orientation val="minMax"/>
        </c:scaling>
        <c:delete val="0"/>
        <c:axPos val="b"/>
        <c:numFmt formatCode="General" sourceLinked="1"/>
        <c:majorTickMark val="out"/>
        <c:minorTickMark val="none"/>
        <c:tickLblPos val="nextTo"/>
        <c:txPr>
          <a:bodyPr/>
          <a:lstStyle/>
          <a:p>
            <a:pPr>
              <a:defRPr sz="1000"/>
            </a:pPr>
            <a:endParaRPr lang="en-US"/>
          </a:p>
        </c:txPr>
        <c:crossAx val="231009280"/>
        <c:crosses val="autoZero"/>
        <c:auto val="1"/>
        <c:lblAlgn val="ctr"/>
        <c:lblOffset val="100"/>
        <c:noMultiLvlLbl val="0"/>
      </c:catAx>
      <c:valAx>
        <c:axId val="231009280"/>
        <c:scaling>
          <c:orientation val="minMax"/>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231007360"/>
        <c:crosses val="autoZero"/>
        <c:crossBetween val="between"/>
        <c:majorUnit val="1000000"/>
      </c:valAx>
    </c:plotArea>
    <c:legend>
      <c:legendPos val="t"/>
      <c:layout>
        <c:manualLayout>
          <c:xMode val="edge"/>
          <c:yMode val="edge"/>
          <c:x val="0.20565082577760882"/>
          <c:y val="8.4609887847297921E-2"/>
          <c:w val="0.25886263461575026"/>
          <c:h val="0.51777205145169469"/>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123747343466249"/>
          <c:y val="3.9922824205911416E-2"/>
          <c:w val="0.80876257132657681"/>
          <c:h val="0.86312880721177543"/>
        </c:manualLayout>
      </c:layout>
      <c:lineChart>
        <c:grouping val="standard"/>
        <c:varyColors val="0"/>
        <c:ser>
          <c:idx val="2"/>
          <c:order val="0"/>
          <c:tx>
            <c:strRef>
              <c:f>Summary!$B$323</c:f>
              <c:strCache>
                <c:ptCount val="1"/>
                <c:pt idx="0">
                  <c:v>100 - 300 m</c:v>
                </c:pt>
              </c:strCache>
            </c:strRef>
          </c:tx>
          <c:spPr>
            <a:ln>
              <a:solidFill>
                <a:schemeClr val="accent2"/>
              </a:solidFill>
            </a:ln>
          </c:spPr>
          <c:marker>
            <c:spPr>
              <a:solidFill>
                <a:schemeClr val="accent2"/>
              </a:solidFill>
              <a:ln>
                <a:solidFill>
                  <a:schemeClr val="accent2"/>
                </a:solidFill>
              </a:ln>
            </c:spPr>
          </c:marker>
          <c:cat>
            <c:numRef>
              <c:f>Summary!$C$322:$M$322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Summary!$C$323:$M$323</c:f>
              <c:numCache>
                <c:formatCode>_(* #,##0_);_(* \(#,##0\);_(* "-"??_);_(@_)</c:formatCode>
                <c:ptCount val="11"/>
                <c:pt idx="0">
                  <c:v>7146</c:v>
                </c:pt>
                <c:pt idx="1">
                  <c:v>95865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9504-D143-A648-DC26B91E7A73}"/>
            </c:ext>
          </c:extLst>
        </c:ser>
        <c:ser>
          <c:idx val="0"/>
          <c:order val="1"/>
          <c:tx>
            <c:strRef>
              <c:f>Summary!$B$324</c:f>
              <c:strCache>
                <c:ptCount val="1"/>
                <c:pt idx="0">
                  <c:v>10 km</c:v>
                </c:pt>
              </c:strCache>
            </c:strRef>
          </c:tx>
          <c:cat>
            <c:numRef>
              <c:f>Summary!$C$322:$M$322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Summary!$C$324:$M$324</c:f>
              <c:numCache>
                <c:formatCode>_(* #,##0_);_(* \(#,##0\);_(* "-"??_);_(@_)</c:formatCode>
                <c:ptCount val="11"/>
                <c:pt idx="0">
                  <c:v>4548</c:v>
                </c:pt>
                <c:pt idx="1">
                  <c:v>17462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9504-D143-A648-DC26B91E7A73}"/>
            </c:ext>
          </c:extLst>
        </c:ser>
        <c:ser>
          <c:idx val="1"/>
          <c:order val="2"/>
          <c:tx>
            <c:strRef>
              <c:f>Summary!$B$325</c:f>
              <c:strCache>
                <c:ptCount val="1"/>
                <c:pt idx="0">
                  <c:v>40 km</c:v>
                </c:pt>
              </c:strCache>
            </c:strRef>
          </c:tx>
          <c:spPr>
            <a:ln>
              <a:solidFill>
                <a:schemeClr val="accent3"/>
              </a:solidFill>
            </a:ln>
          </c:spPr>
          <c:marker>
            <c:symbol val="square"/>
            <c:size val="5"/>
            <c:spPr>
              <a:solidFill>
                <a:schemeClr val="accent3"/>
              </a:solidFill>
              <a:ln>
                <a:solidFill>
                  <a:schemeClr val="accent3"/>
                </a:solidFill>
              </a:ln>
            </c:spPr>
          </c:marker>
          <c:cat>
            <c:numRef>
              <c:f>Summary!$C$322:$M$322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Summary!$C$325:$M$325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9504-D143-A648-DC26B91E7A73}"/>
            </c:ext>
          </c:extLst>
        </c:ser>
        <c:dLbls>
          <c:showLegendKey val="0"/>
          <c:showVal val="0"/>
          <c:showCatName val="0"/>
          <c:showSerName val="0"/>
          <c:showPercent val="0"/>
          <c:showBubbleSize val="0"/>
        </c:dLbls>
        <c:marker val="1"/>
        <c:smooth val="0"/>
        <c:axId val="231020416"/>
        <c:axId val="231055360"/>
      </c:lineChart>
      <c:catAx>
        <c:axId val="231020416"/>
        <c:scaling>
          <c:orientation val="minMax"/>
        </c:scaling>
        <c:delete val="0"/>
        <c:axPos val="b"/>
        <c:numFmt formatCode="General" sourceLinked="1"/>
        <c:majorTickMark val="out"/>
        <c:minorTickMark val="none"/>
        <c:tickLblPos val="nextTo"/>
        <c:txPr>
          <a:bodyPr/>
          <a:lstStyle/>
          <a:p>
            <a:pPr>
              <a:defRPr sz="1200"/>
            </a:pPr>
            <a:endParaRPr lang="en-US"/>
          </a:p>
        </c:txPr>
        <c:crossAx val="231055360"/>
        <c:crosses val="autoZero"/>
        <c:auto val="1"/>
        <c:lblAlgn val="ctr"/>
        <c:lblOffset val="100"/>
        <c:noMultiLvlLbl val="0"/>
      </c:catAx>
      <c:valAx>
        <c:axId val="231055360"/>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7630028284793809E-2"/>
              <c:y val="6.4222104164403854E-2"/>
            </c:manualLayout>
          </c:layout>
          <c:overlay val="0"/>
        </c:title>
        <c:numFmt formatCode="_(* #,##0_);_(* \(#,##0\);_(* &quot;-&quot;??_);_(@_)" sourceLinked="1"/>
        <c:majorTickMark val="out"/>
        <c:minorTickMark val="none"/>
        <c:tickLblPos val="nextTo"/>
        <c:txPr>
          <a:bodyPr/>
          <a:lstStyle/>
          <a:p>
            <a:pPr>
              <a:defRPr sz="1200"/>
            </a:pPr>
            <a:endParaRPr lang="en-US"/>
          </a:p>
        </c:txPr>
        <c:crossAx val="231020416"/>
        <c:crosses val="autoZero"/>
        <c:crossBetween val="between"/>
      </c:valAx>
    </c:plotArea>
    <c:legend>
      <c:legendPos val="t"/>
      <c:layout>
        <c:manualLayout>
          <c:xMode val="edge"/>
          <c:yMode val="edge"/>
          <c:x val="0.20236670625872261"/>
          <c:y val="7.8465331694341306E-2"/>
          <c:w val="0.21480827916164602"/>
          <c:h val="0.40817648469829576"/>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242321290293454"/>
          <c:y val="0.18404227725592476"/>
          <c:w val="0.7873671252066341"/>
          <c:h val="0.72109136680229713"/>
        </c:manualLayout>
      </c:layout>
      <c:lineChart>
        <c:grouping val="standard"/>
        <c:varyColors val="0"/>
        <c:ser>
          <c:idx val="0"/>
          <c:order val="0"/>
          <c:tx>
            <c:strRef>
              <c:f>Summary!$B$219</c:f>
              <c:strCache>
                <c:ptCount val="1"/>
                <c:pt idx="0">
                  <c:v>10G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Summary!$C$219:$M$219</c:f>
              <c:numCache>
                <c:formatCode>_(* #,##0_);_(* \(#,##0\);_(* "-"??_);_(@_)</c:formatCode>
                <c:ptCount val="11"/>
                <c:pt idx="0">
                  <c:v>7045433</c:v>
                </c:pt>
                <c:pt idx="1">
                  <c:v>7253278.0999999996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7A7E-4C49-8F73-1D034969DEF4}"/>
            </c:ext>
          </c:extLst>
        </c:ser>
        <c:ser>
          <c:idx val="2"/>
          <c:order val="1"/>
          <c:tx>
            <c:strRef>
              <c:f>Summary!$B$220</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Summary!$C$220:$M$220</c:f>
              <c:numCache>
                <c:formatCode>_(* #,##0_);_(* \(#,##0\);_(* "-"??_);_(@_)</c:formatCode>
                <c:ptCount val="11"/>
                <c:pt idx="0">
                  <c:v>4548</c:v>
                </c:pt>
                <c:pt idx="1">
                  <c:v>17462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7A7E-4C49-8F73-1D034969DEF4}"/>
            </c:ext>
          </c:extLst>
        </c:ser>
        <c:ser>
          <c:idx val="3"/>
          <c:order val="2"/>
          <c:tx>
            <c:strRef>
              <c:f>Summary!$B$221</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Summary!$C$221:$M$221</c:f>
              <c:numCache>
                <c:formatCode>_(* #,##0_);_(* \(#,##0\);_(* "-"??_);_(@_)</c:formatCode>
                <c:ptCount val="11"/>
                <c:pt idx="0">
                  <c:v>1623570</c:v>
                </c:pt>
                <c:pt idx="1">
                  <c:v>1853294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7A7E-4C49-8F73-1D034969DEF4}"/>
            </c:ext>
          </c:extLst>
        </c:ser>
        <c:ser>
          <c:idx val="5"/>
          <c:order val="3"/>
          <c:tx>
            <c:strRef>
              <c:f>Summary!$B$222</c:f>
              <c:strCache>
                <c:ptCount val="1"/>
                <c:pt idx="0">
                  <c:v>50G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Summary!$C$222:$M$222</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7A7E-4C49-8F73-1D034969DEF4}"/>
            </c:ext>
          </c:extLst>
        </c:ser>
        <c:ser>
          <c:idx val="1"/>
          <c:order val="4"/>
          <c:tx>
            <c:strRef>
              <c:f>Summary!$B$223</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Summary!$C$223:$M$223</c:f>
              <c:numCache>
                <c:formatCode>_(* #,##0_);_(* \(#,##0\);_(* "-"??_);_(@_)</c:formatCode>
                <c:ptCount val="11"/>
                <c:pt idx="0">
                  <c:v>620129</c:v>
                </c:pt>
                <c:pt idx="1">
                  <c:v>2249516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7A7E-4C49-8F73-1D034969DEF4}"/>
            </c:ext>
          </c:extLst>
        </c:ser>
        <c:ser>
          <c:idx val="6"/>
          <c:order val="5"/>
          <c:tx>
            <c:strRef>
              <c:f>Summary!$B$224</c:f>
              <c:strCache>
                <c:ptCount val="1"/>
                <c:pt idx="0">
                  <c:v>200G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Summary!$C$224:$M$224</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7A7E-4C49-8F73-1D034969DEF4}"/>
            </c:ext>
          </c:extLst>
        </c:ser>
        <c:ser>
          <c:idx val="4"/>
          <c:order val="6"/>
          <c:tx>
            <c:strRef>
              <c:f>Summary!$B$225</c:f>
              <c:strCache>
                <c:ptCount val="1"/>
                <c:pt idx="0">
                  <c:v>400G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Summary!$C$225:$M$225</c:f>
              <c:numCache>
                <c:formatCode>_(* #,##0_);_(* \(#,##0\);_(* "-"??_);_(@_)</c:formatCode>
                <c:ptCount val="11"/>
                <c:pt idx="1">
                  <c:v>89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6-7A7E-4C49-8F73-1D034969DEF4}"/>
            </c:ext>
          </c:extLst>
        </c:ser>
        <c:ser>
          <c:idx val="7"/>
          <c:order val="7"/>
          <c:tx>
            <c:strRef>
              <c:f>Summary!$B$226</c:f>
              <c:strCache>
                <c:ptCount val="1"/>
                <c:pt idx="0">
                  <c:v>800G SMF</c:v>
                </c:pt>
              </c:strCache>
            </c:strRef>
          </c:tx>
          <c:spPr>
            <a:ln>
              <a:solidFill>
                <a:srgbClr val="00B050"/>
              </a:solidFill>
            </a:ln>
          </c:spPr>
          <c:marker>
            <c:spPr>
              <a:ln>
                <a:solidFill>
                  <a:srgbClr val="00B050"/>
                </a:solidFill>
              </a:ln>
            </c:spPr>
          </c:marker>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Summary!$C$226:$M$226</c:f>
              <c:numCache>
                <c:formatCode>_(* #,##0_);_(* \(#,##0\);_(* "-"??_);_(@_)</c:formatCode>
                <c:ptCount val="11"/>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ED1D-1745-83C4-6B6B5D37EAFC}"/>
            </c:ext>
          </c:extLst>
        </c:ser>
        <c:dLbls>
          <c:showLegendKey val="0"/>
          <c:showVal val="0"/>
          <c:showCatName val="0"/>
          <c:showSerName val="0"/>
          <c:showPercent val="0"/>
          <c:showBubbleSize val="0"/>
        </c:dLbls>
        <c:marker val="1"/>
        <c:smooth val="0"/>
        <c:axId val="231161216"/>
        <c:axId val="231196160"/>
      </c:lineChart>
      <c:catAx>
        <c:axId val="231161216"/>
        <c:scaling>
          <c:orientation val="minMax"/>
        </c:scaling>
        <c:delete val="0"/>
        <c:axPos val="b"/>
        <c:numFmt formatCode="General" sourceLinked="1"/>
        <c:majorTickMark val="out"/>
        <c:minorTickMark val="none"/>
        <c:tickLblPos val="nextTo"/>
        <c:txPr>
          <a:bodyPr/>
          <a:lstStyle/>
          <a:p>
            <a:pPr>
              <a:defRPr sz="1000"/>
            </a:pPr>
            <a:endParaRPr lang="en-US"/>
          </a:p>
        </c:txPr>
        <c:crossAx val="231196160"/>
        <c:crosses val="autoZero"/>
        <c:auto val="1"/>
        <c:lblAlgn val="ctr"/>
        <c:lblOffset val="100"/>
        <c:noMultiLvlLbl val="0"/>
      </c:catAx>
      <c:valAx>
        <c:axId val="231196160"/>
        <c:scaling>
          <c:orientation val="minMax"/>
          <c:min val="0"/>
        </c:scaling>
        <c:delete val="0"/>
        <c:axPos val="l"/>
        <c:majorGridlines/>
        <c:title>
          <c:tx>
            <c:rich>
              <a:bodyPr/>
              <a:lstStyle/>
              <a:p>
                <a:pPr>
                  <a:defRPr sz="1200"/>
                </a:pPr>
                <a:r>
                  <a:rPr lang="en-US" sz="1200"/>
                  <a:t>Shipments (Units)</a:t>
                </a:r>
              </a:p>
            </c:rich>
          </c:tx>
          <c:layout>
            <c:manualLayout>
              <c:xMode val="edge"/>
              <c:yMode val="edge"/>
              <c:x val="2.3462327726077124E-2"/>
              <c:y val="0.28239084591574548"/>
            </c:manualLayout>
          </c:layout>
          <c:overlay val="0"/>
        </c:title>
        <c:numFmt formatCode="_(* #,##0_);_(* \(#,##0\);_(* &quot;-&quot;??_);_(@_)" sourceLinked="1"/>
        <c:majorTickMark val="out"/>
        <c:minorTickMark val="none"/>
        <c:tickLblPos val="nextTo"/>
        <c:txPr>
          <a:bodyPr/>
          <a:lstStyle/>
          <a:p>
            <a:pPr>
              <a:defRPr sz="1000"/>
            </a:pPr>
            <a:endParaRPr lang="en-US"/>
          </a:p>
        </c:txPr>
        <c:crossAx val="231161216"/>
        <c:crosses val="autoZero"/>
        <c:crossBetween val="between"/>
        <c:majorUnit val="2000000"/>
        <c:minorUnit val="40000"/>
      </c:valAx>
    </c:plotArea>
    <c:legend>
      <c:legendPos val="t"/>
      <c:layout>
        <c:manualLayout>
          <c:xMode val="edge"/>
          <c:yMode val="edge"/>
          <c:x val="0.19125859650870075"/>
          <c:y val="4.9251003679777888E-2"/>
          <c:w val="0.78137543015724964"/>
          <c:h val="0.1091796449206983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54103276350132"/>
          <c:y val="5.2991117388450623E-2"/>
          <c:w val="0.847492240784677"/>
          <c:h val="0.85122126856446434"/>
        </c:manualLayout>
      </c:layout>
      <c:lineChart>
        <c:grouping val="standard"/>
        <c:varyColors val="0"/>
        <c:ser>
          <c:idx val="0"/>
          <c:order val="0"/>
          <c:tx>
            <c:strRef>
              <c:f>Summary!$B$287</c:f>
              <c:strCache>
                <c:ptCount val="1"/>
                <c:pt idx="0">
                  <c:v>&lt;10G</c:v>
                </c:pt>
              </c:strCache>
            </c:strRef>
          </c:tx>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Summary!$C$287:$M$287</c:f>
              <c:numCache>
                <c:formatCode>0%</c:formatCode>
                <c:ptCount val="11"/>
                <c:pt idx="0">
                  <c:v>0.37511818939959324</c:v>
                </c:pt>
                <c:pt idx="1">
                  <c:v>0.2960701521301668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A81F-DA49-8B03-69DF76182AAB}"/>
            </c:ext>
          </c:extLst>
        </c:ser>
        <c:ser>
          <c:idx val="1"/>
          <c:order val="1"/>
          <c:tx>
            <c:strRef>
              <c:f>Summary!$B$288</c:f>
              <c:strCache>
                <c:ptCount val="1"/>
                <c:pt idx="0">
                  <c:v>10G</c:v>
                </c:pt>
              </c:strCache>
            </c:strRef>
          </c:tx>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Summary!$C$288:$M$288</c:f>
              <c:numCache>
                <c:formatCode>0%</c:formatCode>
                <c:ptCount val="11"/>
                <c:pt idx="0">
                  <c:v>0.59913931153889233</c:v>
                </c:pt>
                <c:pt idx="1">
                  <c:v>0.62527752748127097</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A81F-DA49-8B03-69DF76182AAB}"/>
            </c:ext>
          </c:extLst>
        </c:ser>
        <c:ser>
          <c:idx val="2"/>
          <c:order val="2"/>
          <c:tx>
            <c:strRef>
              <c:f>Summary!$B$289</c:f>
              <c:strCache>
                <c:ptCount val="1"/>
                <c:pt idx="0">
                  <c:v>25G</c:v>
                </c:pt>
              </c:strCache>
            </c:strRef>
          </c:tx>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Summary!$C$289:$M$289</c:f>
              <c:numCache>
                <c:formatCode>0.0%</c:formatCode>
                <c:ptCount val="11"/>
                <c:pt idx="0">
                  <c:v>2.5742499061514355E-2</c:v>
                </c:pt>
                <c:pt idx="1">
                  <c:v>7.8649983067619847E-2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A81F-DA49-8B03-69DF76182AAB}"/>
            </c:ext>
          </c:extLst>
        </c:ser>
        <c:ser>
          <c:idx val="3"/>
          <c:order val="3"/>
          <c:tx>
            <c:strRef>
              <c:f>Summary!$B$290</c:f>
              <c:strCache>
                <c:ptCount val="1"/>
                <c:pt idx="0">
                  <c:v>50G</c:v>
                </c:pt>
              </c:strCache>
            </c:strRef>
          </c:tx>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Summary!$C$290:$M$290</c:f>
              <c:numCache>
                <c:formatCode>0.0%</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A81F-DA49-8B03-69DF76182AAB}"/>
            </c:ext>
          </c:extLst>
        </c:ser>
        <c:ser>
          <c:idx val="4"/>
          <c:order val="4"/>
          <c:tx>
            <c:strRef>
              <c:f>Summary!$B$291</c:f>
              <c:strCache>
                <c:ptCount val="1"/>
                <c:pt idx="0">
                  <c:v>100G</c:v>
                </c:pt>
              </c:strCache>
            </c:strRef>
          </c:tx>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Summary!$C$291:$M$291</c:f>
              <c:numCache>
                <c:formatCode>0.0%</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38F2-DB4C-A0B8-52577B658713}"/>
            </c:ext>
          </c:extLst>
        </c:ser>
        <c:dLbls>
          <c:showLegendKey val="0"/>
          <c:showVal val="0"/>
          <c:showCatName val="0"/>
          <c:showSerName val="0"/>
          <c:showPercent val="0"/>
          <c:showBubbleSize val="0"/>
        </c:dLbls>
        <c:marker val="1"/>
        <c:smooth val="0"/>
        <c:axId val="231619200"/>
        <c:axId val="231620992"/>
      </c:lineChart>
      <c:catAx>
        <c:axId val="231619200"/>
        <c:scaling>
          <c:orientation val="minMax"/>
        </c:scaling>
        <c:delete val="0"/>
        <c:axPos val="b"/>
        <c:numFmt formatCode="General" sourceLinked="1"/>
        <c:majorTickMark val="out"/>
        <c:minorTickMark val="none"/>
        <c:tickLblPos val="nextTo"/>
        <c:txPr>
          <a:bodyPr/>
          <a:lstStyle/>
          <a:p>
            <a:pPr>
              <a:defRPr sz="1200"/>
            </a:pPr>
            <a:endParaRPr lang="en-US"/>
          </a:p>
        </c:txPr>
        <c:crossAx val="231620992"/>
        <c:crosses val="autoZero"/>
        <c:auto val="1"/>
        <c:lblAlgn val="ctr"/>
        <c:lblOffset val="100"/>
        <c:noMultiLvlLbl val="0"/>
      </c:catAx>
      <c:valAx>
        <c:axId val="231620992"/>
        <c:scaling>
          <c:orientation val="minMax"/>
          <c:max val="0.75"/>
          <c:min val="0"/>
        </c:scaling>
        <c:delete val="0"/>
        <c:axPos val="l"/>
        <c:majorGridlines/>
        <c:title>
          <c:tx>
            <c:rich>
              <a:bodyPr rot="-5400000" vert="horz"/>
              <a:lstStyle/>
              <a:p>
                <a:pPr>
                  <a:defRPr sz="1200" b="1"/>
                </a:pPr>
                <a:r>
                  <a:rPr lang="en-US" sz="1200" b="1"/>
                  <a:t>Percent of Total Modules Shipped</a:t>
                </a:r>
              </a:p>
            </c:rich>
          </c:tx>
          <c:layout>
            <c:manualLayout>
              <c:xMode val="edge"/>
              <c:yMode val="edge"/>
              <c:x val="2.4329020275974299E-2"/>
              <c:y val="0.18415878595864901"/>
            </c:manualLayout>
          </c:layout>
          <c:overlay val="0"/>
        </c:title>
        <c:numFmt formatCode="0%" sourceLinked="1"/>
        <c:majorTickMark val="out"/>
        <c:minorTickMark val="none"/>
        <c:tickLblPos val="nextTo"/>
        <c:crossAx val="231619200"/>
        <c:crosses val="autoZero"/>
        <c:crossBetween val="between"/>
      </c:valAx>
    </c:plotArea>
    <c:legend>
      <c:legendPos val="t"/>
      <c:layout>
        <c:manualLayout>
          <c:xMode val="edge"/>
          <c:yMode val="edge"/>
          <c:x val="0.82794557516532774"/>
          <c:y val="0.12211882752237646"/>
          <c:w val="0.12810631457573904"/>
          <c:h val="0.2605720857566610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The 'Mega-DCI' market segment</a:t>
            </a:r>
          </a:p>
          <a:p>
            <a:pPr>
              <a:defRPr/>
            </a:pPr>
            <a:r>
              <a:rPr lang="en-US"/>
              <a:t>is part of the overall DWDM market </a:t>
            </a:r>
          </a:p>
        </c:rich>
      </c:tx>
      <c:layout/>
      <c:overlay val="0"/>
    </c:title>
    <c:autoTitleDeleted val="0"/>
    <c:plotArea>
      <c:layout>
        <c:manualLayout>
          <c:layoutTarget val="inner"/>
          <c:xMode val="edge"/>
          <c:yMode val="edge"/>
          <c:x val="0.335553912794613"/>
          <c:y val="0.33331324079588798"/>
          <c:w val="0.34733540597424101"/>
          <c:h val="0.61576095894895"/>
        </c:manualLayout>
      </c:layout>
      <c:pieChart>
        <c:varyColors val="1"/>
        <c:ser>
          <c:idx val="0"/>
          <c:order val="0"/>
          <c:tx>
            <c:strRef>
              <c:f>Products!$O$25:$O$26</c:f>
              <c:strCache>
                <c:ptCount val="1"/>
                <c:pt idx="0">
                  <c:v>Rest of DWDM DCI DWDM</c:v>
                </c:pt>
              </c:strCache>
            </c:strRef>
          </c:tx>
          <c:dLbls>
            <c:dLbl>
              <c:idx val="0"/>
              <c:layout>
                <c:manualLayout>
                  <c:x val="1.7268504872627599E-2"/>
                  <c:y val="-8.3776699788748896E-2"/>
                </c:manualLayout>
              </c:layout>
              <c:spPr/>
              <c:txPr>
                <a:bodyPr/>
                <a:lstStyle/>
                <a:p>
                  <a:pPr>
                    <a:defRPr sz="1200" b="1"/>
                  </a:pPr>
                  <a:endParaRPr lang="en-US"/>
                </a:p>
              </c:txP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8E70-CF40-8792-892946E88A5B}"/>
                </c:ext>
              </c:extLst>
            </c:dLbl>
            <c:dLbl>
              <c:idx val="1"/>
              <c:layout>
                <c:manualLayout>
                  <c:x val="-1.9794493758546701E-2"/>
                  <c:y val="-2.5758499941718301E-2"/>
                </c:manualLayout>
              </c:layout>
              <c:spPr/>
              <c:txPr>
                <a:bodyPr/>
                <a:lstStyle/>
                <a:p>
                  <a:pPr>
                    <a:defRPr sz="1200" b="1"/>
                  </a:pPr>
                  <a:endParaRPr lang="en-US"/>
                </a:p>
              </c:txPr>
              <c:showLegendKey val="0"/>
              <c:showVal val="0"/>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8E70-CF40-8792-892946E88A5B}"/>
                </c:ext>
              </c:extLst>
            </c:dLbl>
            <c:spPr>
              <a:noFill/>
              <a:ln>
                <a:noFill/>
              </a:ln>
              <a:effectLst/>
            </c:spPr>
            <c:txPr>
              <a:bodyPr/>
              <a:lstStyle/>
              <a:p>
                <a:pPr>
                  <a:defRPr sz="1200"/>
                </a:pPr>
                <a:endParaRPr lang="en-US"/>
              </a:p>
            </c:txPr>
            <c:showLegendKey val="0"/>
            <c:showVal val="0"/>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Products!$O$25:$O$26</c:f>
              <c:strCache>
                <c:ptCount val="2"/>
                <c:pt idx="0">
                  <c:v>Rest of DWDM</c:v>
                </c:pt>
                <c:pt idx="1">
                  <c:v>DCI DWDM</c:v>
                </c:pt>
              </c:strCache>
            </c:strRef>
          </c:cat>
          <c:val>
            <c:numRef>
              <c:f>'[10]WDM segments'!#REF!</c:f>
              <c:numCache>
                <c:formatCode>General</c:formatCode>
                <c:ptCount val="2"/>
                <c:pt idx="0">
                  <c:v>86448.937900865014</c:v>
                </c:pt>
                <c:pt idx="1">
                  <c:v>30625</c:v>
                </c:pt>
              </c:numCache>
            </c:numRef>
          </c:val>
          <c:extLst xmlns:c16r2="http://schemas.microsoft.com/office/drawing/2015/06/chart">
            <c:ext xmlns:c16="http://schemas.microsoft.com/office/drawing/2014/chart" uri="{C3380CC4-5D6E-409C-BE32-E72D297353CC}">
              <c16:uniqueId val="{00000002-8E70-CF40-8792-892946E88A5B}"/>
            </c:ext>
          </c:extLst>
        </c:ser>
        <c:dLbls>
          <c:showLegendKey val="0"/>
          <c:showVal val="1"/>
          <c:showCatName val="0"/>
          <c:showSerName val="0"/>
          <c:showPercent val="0"/>
          <c:showBubbleSize val="0"/>
          <c:showLeaderLines val="0"/>
        </c:dLbls>
        <c:firstSliceAng val="310"/>
      </c:pieChart>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6061791252883"/>
          <c:y val="4.8373313543863969E-2"/>
          <c:w val="0.82100719121111554"/>
          <c:h val="0.82641762366504312"/>
        </c:manualLayout>
      </c:layout>
      <c:lineChart>
        <c:grouping val="standard"/>
        <c:varyColors val="0"/>
        <c:ser>
          <c:idx val="2"/>
          <c:order val="0"/>
          <c:tx>
            <c:strRef>
              <c:f>Summary!$B$483</c:f>
              <c:strCache>
                <c:ptCount val="1"/>
                <c:pt idx="0">
                  <c:v>100 m</c:v>
                </c:pt>
              </c:strCache>
            </c:strRef>
          </c:tx>
          <c:spPr>
            <a:ln>
              <a:solidFill>
                <a:schemeClr val="accent2"/>
              </a:solidFill>
            </a:ln>
          </c:spPr>
          <c:marker>
            <c:spPr>
              <a:solidFill>
                <a:schemeClr val="accent2"/>
              </a:solidFill>
              <a:ln>
                <a:solidFill>
                  <a:schemeClr val="accent2"/>
                </a:solidFill>
              </a:ln>
            </c:spPr>
          </c:marker>
          <c:cat>
            <c:numRef>
              <c:f>Summary!$C$482:$M$482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Summary!$C$483:$M$483</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B58D-3D48-A2D2-FCA817363A77}"/>
            </c:ext>
          </c:extLst>
        </c:ser>
        <c:ser>
          <c:idx val="0"/>
          <c:order val="1"/>
          <c:tx>
            <c:strRef>
              <c:f>Summary!$B$484</c:f>
              <c:strCache>
                <c:ptCount val="1"/>
                <c:pt idx="0">
                  <c:v>2 km</c:v>
                </c:pt>
              </c:strCache>
            </c:strRef>
          </c:tx>
          <c:cat>
            <c:numRef>
              <c:f>Summary!$C$482:$M$482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Summary!$C$484:$M$484</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B58D-3D48-A2D2-FCA817363A77}"/>
            </c:ext>
          </c:extLst>
        </c:ser>
        <c:ser>
          <c:idx val="1"/>
          <c:order val="2"/>
          <c:tx>
            <c:strRef>
              <c:f>Summary!$B$485</c:f>
              <c:strCache>
                <c:ptCount val="1"/>
                <c:pt idx="0">
                  <c:v>10 km</c:v>
                </c:pt>
              </c:strCache>
            </c:strRef>
          </c:tx>
          <c:spPr>
            <a:ln>
              <a:solidFill>
                <a:schemeClr val="accent3"/>
              </a:solidFill>
            </a:ln>
          </c:spPr>
          <c:marker>
            <c:symbol val="square"/>
            <c:size val="5"/>
            <c:spPr>
              <a:solidFill>
                <a:schemeClr val="accent3"/>
              </a:solidFill>
              <a:ln>
                <a:solidFill>
                  <a:schemeClr val="accent3"/>
                </a:solidFill>
              </a:ln>
            </c:spPr>
          </c:marker>
          <c:cat>
            <c:numRef>
              <c:f>Summary!$C$482:$M$482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Summary!$C$485:$M$485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B58D-3D48-A2D2-FCA817363A77}"/>
            </c:ext>
          </c:extLst>
        </c:ser>
        <c:dLbls>
          <c:showLegendKey val="0"/>
          <c:showVal val="0"/>
          <c:showCatName val="0"/>
          <c:showSerName val="0"/>
          <c:showPercent val="0"/>
          <c:showBubbleSize val="0"/>
        </c:dLbls>
        <c:marker val="1"/>
        <c:smooth val="0"/>
        <c:axId val="231648256"/>
        <c:axId val="231650432"/>
      </c:lineChart>
      <c:catAx>
        <c:axId val="231648256"/>
        <c:scaling>
          <c:orientation val="minMax"/>
        </c:scaling>
        <c:delete val="0"/>
        <c:axPos val="b"/>
        <c:numFmt formatCode="General" sourceLinked="1"/>
        <c:majorTickMark val="out"/>
        <c:minorTickMark val="none"/>
        <c:tickLblPos val="nextTo"/>
        <c:txPr>
          <a:bodyPr/>
          <a:lstStyle/>
          <a:p>
            <a:pPr>
              <a:defRPr sz="1200"/>
            </a:pPr>
            <a:endParaRPr lang="en-US"/>
          </a:p>
        </c:txPr>
        <c:crossAx val="231650432"/>
        <c:crosses val="autoZero"/>
        <c:auto val="1"/>
        <c:lblAlgn val="ctr"/>
        <c:lblOffset val="100"/>
        <c:noMultiLvlLbl val="0"/>
      </c:catAx>
      <c:valAx>
        <c:axId val="231650432"/>
        <c:scaling>
          <c:orientation val="minMax"/>
          <c:min val="0"/>
        </c:scaling>
        <c:delete val="0"/>
        <c:axPos val="l"/>
        <c:majorGridlines/>
        <c:title>
          <c:tx>
            <c:rich>
              <a:bodyPr/>
              <a:lstStyle/>
              <a:p>
                <a:pPr>
                  <a:defRPr sz="1200"/>
                </a:pPr>
                <a:r>
                  <a:rPr lang="en-US" sz="1200"/>
                  <a:t>Annual Shipments (Units)</a:t>
                </a:r>
              </a:p>
            </c:rich>
          </c:tx>
          <c:layout>
            <c:manualLayout>
              <c:xMode val="edge"/>
              <c:yMode val="edge"/>
              <c:x val="1.9848694251447089E-2"/>
              <c:y val="0.1064368075450569"/>
            </c:manualLayout>
          </c:layout>
          <c:overlay val="0"/>
        </c:title>
        <c:numFmt formatCode="_(* #,##0_);_(* \(#,##0\);_(* &quot;-&quot;??_);_(@_)" sourceLinked="1"/>
        <c:majorTickMark val="out"/>
        <c:minorTickMark val="none"/>
        <c:tickLblPos val="nextTo"/>
        <c:txPr>
          <a:bodyPr/>
          <a:lstStyle/>
          <a:p>
            <a:pPr>
              <a:defRPr sz="1100"/>
            </a:pPr>
            <a:endParaRPr lang="en-US"/>
          </a:p>
        </c:txPr>
        <c:crossAx val="231648256"/>
        <c:crosses val="autoZero"/>
        <c:crossBetween val="between"/>
      </c:valAx>
    </c:plotArea>
    <c:legend>
      <c:legendPos val="t"/>
      <c:layout>
        <c:manualLayout>
          <c:xMode val="edge"/>
          <c:yMode val="edge"/>
          <c:x val="0.17223735526622808"/>
          <c:y val="7.2361652046543962E-2"/>
          <c:w val="0.17431087194538772"/>
          <c:h val="0.72561965566774445"/>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19116978526157"/>
          <c:y val="4.2437647091752607E-2"/>
          <c:w val="0.84499471704530182"/>
          <c:h val="0.83264656323092701"/>
        </c:manualLayout>
      </c:layout>
      <c:lineChart>
        <c:grouping val="standard"/>
        <c:varyColors val="0"/>
        <c:ser>
          <c:idx val="2"/>
          <c:order val="0"/>
          <c:tx>
            <c:strRef>
              <c:f>Summary!$B$750</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Summary!$E$749:$M$749</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Summary!$E$750:$M$750</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0-C1AA-FB41-BF06-38DEF12B2A04}"/>
            </c:ext>
          </c:extLst>
        </c:ser>
        <c:ser>
          <c:idx val="3"/>
          <c:order val="1"/>
          <c:tx>
            <c:strRef>
              <c:f>Summary!$B$751</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Summary!$E$749:$M$749</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Summary!$E$751:$M$751</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3-C1AA-FB41-BF06-38DEF12B2A04}"/>
            </c:ext>
          </c:extLst>
        </c:ser>
        <c:dLbls>
          <c:showLegendKey val="0"/>
          <c:showVal val="0"/>
          <c:showCatName val="0"/>
          <c:showSerName val="0"/>
          <c:showPercent val="0"/>
          <c:showBubbleSize val="0"/>
        </c:dLbls>
        <c:marker val="1"/>
        <c:smooth val="0"/>
        <c:axId val="231356672"/>
        <c:axId val="231358848"/>
      </c:lineChart>
      <c:catAx>
        <c:axId val="231356672"/>
        <c:scaling>
          <c:orientation val="minMax"/>
        </c:scaling>
        <c:delete val="0"/>
        <c:axPos val="b"/>
        <c:numFmt formatCode="General" sourceLinked="1"/>
        <c:majorTickMark val="out"/>
        <c:minorTickMark val="none"/>
        <c:tickLblPos val="nextTo"/>
        <c:txPr>
          <a:bodyPr/>
          <a:lstStyle/>
          <a:p>
            <a:pPr>
              <a:defRPr sz="1000"/>
            </a:pPr>
            <a:endParaRPr lang="en-US"/>
          </a:p>
        </c:txPr>
        <c:crossAx val="231358848"/>
        <c:crosses val="autoZero"/>
        <c:auto val="1"/>
        <c:lblAlgn val="ctr"/>
        <c:lblOffset val="100"/>
        <c:noMultiLvlLbl val="0"/>
      </c:catAx>
      <c:valAx>
        <c:axId val="231358848"/>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_(* #,##0_);_(* \(#,##0\);_(* &quot;-&quot;??_);_(@_)" sourceLinked="1"/>
        <c:majorTickMark val="out"/>
        <c:minorTickMark val="none"/>
        <c:tickLblPos val="nextTo"/>
        <c:txPr>
          <a:bodyPr/>
          <a:lstStyle/>
          <a:p>
            <a:pPr>
              <a:defRPr sz="1000"/>
            </a:pPr>
            <a:endParaRPr lang="en-US"/>
          </a:p>
        </c:txPr>
        <c:crossAx val="231356672"/>
        <c:crosses val="autoZero"/>
        <c:crossBetween val="between"/>
        <c:majorUnit val="500000"/>
      </c:valAx>
    </c:plotArea>
    <c:legend>
      <c:legendPos val="t"/>
      <c:layout>
        <c:manualLayout>
          <c:xMode val="edge"/>
          <c:yMode val="edge"/>
          <c:x val="0.21665150585317014"/>
          <c:y val="0.10215844312590842"/>
          <c:w val="0.33482952626928653"/>
          <c:h val="0.2050348770477403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MMF vs SMF - All Modules</a:t>
            </a:r>
          </a:p>
        </c:rich>
      </c:tx>
      <c:overlay val="0"/>
    </c:title>
    <c:autoTitleDeleted val="0"/>
    <c:plotArea>
      <c:layout>
        <c:manualLayout>
          <c:layoutTarget val="inner"/>
          <c:xMode val="edge"/>
          <c:yMode val="edge"/>
          <c:x val="7.9823800076012461E-2"/>
          <c:y val="0.17144738361468323"/>
          <c:w val="0.90655526742312142"/>
          <c:h val="0.72018099405713021"/>
        </c:manualLayout>
      </c:layout>
      <c:barChart>
        <c:barDir val="col"/>
        <c:grouping val="percentStacked"/>
        <c:varyColors val="0"/>
        <c:ser>
          <c:idx val="1"/>
          <c:order val="0"/>
          <c:tx>
            <c:strRef>
              <c:f>Summary!$B$241</c:f>
              <c:strCache>
                <c:ptCount val="1"/>
                <c:pt idx="0">
                  <c:v>Percent  MMF</c:v>
                </c:pt>
              </c:strCache>
            </c:strRef>
          </c:tx>
          <c:spPr>
            <a:solidFill>
              <a:schemeClr val="accent1"/>
            </a:solidFill>
          </c:spPr>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Summary!$C$241:$M$241</c:f>
              <c:numCache>
                <c:formatCode>0%</c:formatCode>
                <c:ptCount val="11"/>
                <c:pt idx="0">
                  <c:v>0.49223811974149628</c:v>
                </c:pt>
                <c:pt idx="1">
                  <c:v>0.51759665005603139</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FC00-084B-B2B8-2C9898FD03FC}"/>
            </c:ext>
          </c:extLst>
        </c:ser>
        <c:ser>
          <c:idx val="0"/>
          <c:order val="1"/>
          <c:tx>
            <c:strRef>
              <c:f>Summary!$B$242</c:f>
              <c:strCache>
                <c:ptCount val="1"/>
                <c:pt idx="0">
                  <c:v>Percent  SMF</c:v>
                </c:pt>
              </c:strCache>
            </c:strRef>
          </c:tx>
          <c:spPr>
            <a:solidFill>
              <a:schemeClr val="accent2"/>
            </a:solidFill>
          </c:spPr>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Summary!$C$242:$M$242</c:f>
              <c:numCache>
                <c:formatCode>0%</c:formatCode>
                <c:ptCount val="11"/>
                <c:pt idx="0">
                  <c:v>0.50776188025850366</c:v>
                </c:pt>
                <c:pt idx="1">
                  <c:v>0.48240334994396855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B0B7-6F4B-8ADD-64C8B9B91F16}"/>
            </c:ext>
          </c:extLst>
        </c:ser>
        <c:dLbls>
          <c:showLegendKey val="0"/>
          <c:showVal val="0"/>
          <c:showCatName val="0"/>
          <c:showSerName val="0"/>
          <c:showPercent val="0"/>
          <c:showBubbleSize val="0"/>
        </c:dLbls>
        <c:gapWidth val="150"/>
        <c:overlap val="100"/>
        <c:axId val="231393536"/>
        <c:axId val="231403520"/>
      </c:barChart>
      <c:catAx>
        <c:axId val="231393536"/>
        <c:scaling>
          <c:orientation val="minMax"/>
        </c:scaling>
        <c:delete val="0"/>
        <c:axPos val="b"/>
        <c:numFmt formatCode="General" sourceLinked="1"/>
        <c:majorTickMark val="out"/>
        <c:minorTickMark val="none"/>
        <c:tickLblPos val="nextTo"/>
        <c:crossAx val="231403520"/>
        <c:crosses val="autoZero"/>
        <c:auto val="1"/>
        <c:lblAlgn val="ctr"/>
        <c:lblOffset val="100"/>
        <c:noMultiLvlLbl val="0"/>
      </c:catAx>
      <c:valAx>
        <c:axId val="231403520"/>
        <c:scaling>
          <c:orientation val="minMax"/>
        </c:scaling>
        <c:delete val="0"/>
        <c:axPos val="l"/>
        <c:majorGridlines/>
        <c:numFmt formatCode="0%" sourceLinked="1"/>
        <c:majorTickMark val="out"/>
        <c:minorTickMark val="none"/>
        <c:tickLblPos val="nextTo"/>
        <c:crossAx val="231393536"/>
        <c:crosses val="autoZero"/>
        <c:crossBetween val="between"/>
      </c:valAx>
    </c:plotArea>
    <c:legend>
      <c:legendPos val="r"/>
      <c:layout>
        <c:manualLayout>
          <c:xMode val="edge"/>
          <c:yMode val="edge"/>
          <c:x val="0.73444548283958089"/>
          <c:y val="0.26182278739748632"/>
          <c:w val="0.15975129797235127"/>
          <c:h val="0.16551133042256366"/>
        </c:manualLayout>
      </c:layout>
      <c:overlay val="0"/>
      <c:spPr>
        <a:solidFill>
          <a:sysClr val="window" lastClr="FFFFFF"/>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081044258781"/>
          <c:y val="5.530659146732407E-2"/>
          <c:w val="0.74542245196449697"/>
          <c:h val="0.82930913938073236"/>
        </c:manualLayout>
      </c:layout>
      <c:barChart>
        <c:barDir val="col"/>
        <c:grouping val="percentStacked"/>
        <c:varyColors val="0"/>
        <c:ser>
          <c:idx val="0"/>
          <c:order val="0"/>
          <c:tx>
            <c:strRef>
              <c:f>Summary!$B$229</c:f>
              <c:strCache>
                <c:ptCount val="1"/>
                <c:pt idx="0">
                  <c:v>1G SMF</c:v>
                </c:pt>
              </c:strCache>
            </c:strRef>
          </c:tx>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Summary!$C$229:$M$229</c:f>
              <c:numCache>
                <c:formatCode>0%</c:formatCode>
                <c:ptCount val="11"/>
                <c:pt idx="0">
                  <c:v>0.37511818939959324</c:v>
                </c:pt>
                <c:pt idx="1">
                  <c:v>0.2960701521301668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82D6-1E46-83C4-8721F7697AF7}"/>
            </c:ext>
          </c:extLst>
        </c:ser>
        <c:ser>
          <c:idx val="1"/>
          <c:order val="1"/>
          <c:tx>
            <c:strRef>
              <c:f>Summary!$B$230</c:f>
              <c:strCache>
                <c:ptCount val="1"/>
                <c:pt idx="0">
                  <c:v>10G SMF</c:v>
                </c:pt>
              </c:strCache>
            </c:strRef>
          </c:tx>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Summary!$C$230:$M$230</c:f>
              <c:numCache>
                <c:formatCode>0%</c:formatCode>
                <c:ptCount val="11"/>
                <c:pt idx="0">
                  <c:v>0.51196179202262815</c:v>
                </c:pt>
                <c:pt idx="1">
                  <c:v>0.52379682980572895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82D6-1E46-83C4-8721F7697AF7}"/>
            </c:ext>
          </c:extLst>
        </c:ser>
        <c:ser>
          <c:idx val="2"/>
          <c:order val="2"/>
          <c:tx>
            <c:strRef>
              <c:f>Summary!$B$231</c:f>
              <c:strCache>
                <c:ptCount val="1"/>
                <c:pt idx="0">
                  <c:v>25G SMF</c:v>
                </c:pt>
              </c:strCache>
            </c:strRef>
          </c:tx>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Summary!$C$231:$M$231</c:f>
              <c:numCache>
                <c:formatCode>0%</c:formatCode>
                <c:ptCount val="11"/>
                <c:pt idx="0">
                  <c:v>3.2332125828659351E-4</c:v>
                </c:pt>
                <c:pt idx="1">
                  <c:v>2.976197420778683E-3</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82D6-1E46-83C4-8721F7697AF7}"/>
            </c:ext>
          </c:extLst>
        </c:ser>
        <c:ser>
          <c:idx val="3"/>
          <c:order val="3"/>
          <c:tx>
            <c:strRef>
              <c:f>Summary!$B$232</c:f>
              <c:strCache>
                <c:ptCount val="1"/>
                <c:pt idx="0">
                  <c:v>40G SMF</c:v>
                </c:pt>
              </c:strCache>
            </c:strRef>
          </c:tx>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Summary!$C$232:$M$232</c:f>
              <c:numCache>
                <c:formatCode>0%</c:formatCode>
                <c:ptCount val="11"/>
                <c:pt idx="0">
                  <c:v>8.7177519516264138E-2</c:v>
                </c:pt>
                <c:pt idx="1">
                  <c:v>0.10148069767554208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82D6-1E46-83C4-8721F7697AF7}"/>
            </c:ext>
          </c:extLst>
        </c:ser>
        <c:ser>
          <c:idx val="4"/>
          <c:order val="4"/>
          <c:tx>
            <c:strRef>
              <c:f>Summary!$B$233</c:f>
              <c:strCache>
                <c:ptCount val="1"/>
                <c:pt idx="0">
                  <c:v>50G SMF</c:v>
                </c:pt>
              </c:strCache>
            </c:strRef>
          </c:tx>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Summary!$C$233:$M$233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82D6-1E46-83C4-8721F7697AF7}"/>
            </c:ext>
          </c:extLst>
        </c:ser>
        <c:ser>
          <c:idx val="5"/>
          <c:order val="5"/>
          <c:tx>
            <c:strRef>
              <c:f>Summary!$B$234</c:f>
              <c:strCache>
                <c:ptCount val="1"/>
                <c:pt idx="0">
                  <c:v>100G SMF</c:v>
                </c:pt>
              </c:strCache>
            </c:strRef>
          </c:tx>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Summary!$C$234:$M$234</c:f>
              <c:numCache>
                <c:formatCode>0%</c:formatCode>
                <c:ptCount val="11"/>
                <c:pt idx="0">
                  <c:v>2.5419177803227763E-2</c:v>
                </c:pt>
                <c:pt idx="1">
                  <c:v>7.5673785646841157E-2</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5-82D6-1E46-83C4-8721F7697AF7}"/>
            </c:ext>
          </c:extLst>
        </c:ser>
        <c:ser>
          <c:idx val="6"/>
          <c:order val="6"/>
          <c:tx>
            <c:strRef>
              <c:f>Summary!$B$235</c:f>
              <c:strCache>
                <c:ptCount val="1"/>
                <c:pt idx="0">
                  <c:v>200G SMF</c:v>
                </c:pt>
              </c:strCache>
            </c:strRef>
          </c:tx>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Summary!$C$235:$M$235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6-82D6-1E46-83C4-8721F7697AF7}"/>
            </c:ext>
          </c:extLst>
        </c:ser>
        <c:ser>
          <c:idx val="7"/>
          <c:order val="7"/>
          <c:tx>
            <c:strRef>
              <c:f>Summary!$B$236</c:f>
              <c:strCache>
                <c:ptCount val="1"/>
                <c:pt idx="0">
                  <c:v>400G SMF</c:v>
                </c:pt>
              </c:strCache>
            </c:strRef>
          </c:tx>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Summary!$C$236:$M$236</c:f>
              <c:numCache>
                <c:formatCode>0%</c:formatCode>
                <c:ptCount val="11"/>
                <c:pt idx="0">
                  <c:v>0</c:v>
                </c:pt>
                <c:pt idx="1">
                  <c:v>2.3373209424876932E-6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7-82D6-1E46-83C4-8721F7697AF7}"/>
            </c:ext>
          </c:extLst>
        </c:ser>
        <c:ser>
          <c:idx val="8"/>
          <c:order val="8"/>
          <c:tx>
            <c:strRef>
              <c:f>Summary!$B$237</c:f>
              <c:strCache>
                <c:ptCount val="1"/>
                <c:pt idx="0">
                  <c:v>800G SMF</c:v>
                </c:pt>
              </c:strCache>
            </c:strRef>
          </c:tx>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Summary!$C$237:$M$237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C0C2-D547-86B6-4B4FD9184421}"/>
            </c:ext>
          </c:extLst>
        </c:ser>
        <c:dLbls>
          <c:showLegendKey val="0"/>
          <c:showVal val="0"/>
          <c:showCatName val="0"/>
          <c:showSerName val="0"/>
          <c:showPercent val="0"/>
          <c:showBubbleSize val="0"/>
        </c:dLbls>
        <c:gapWidth val="150"/>
        <c:overlap val="100"/>
        <c:axId val="231470976"/>
        <c:axId val="231472512"/>
      </c:barChart>
      <c:catAx>
        <c:axId val="231470976"/>
        <c:scaling>
          <c:orientation val="minMax"/>
        </c:scaling>
        <c:delete val="0"/>
        <c:axPos val="b"/>
        <c:numFmt formatCode="0" sourceLinked="0"/>
        <c:majorTickMark val="out"/>
        <c:minorTickMark val="none"/>
        <c:tickLblPos val="nextTo"/>
        <c:crossAx val="231472512"/>
        <c:crosses val="autoZero"/>
        <c:auto val="1"/>
        <c:lblAlgn val="ctr"/>
        <c:lblOffset val="100"/>
        <c:noMultiLvlLbl val="0"/>
      </c:catAx>
      <c:valAx>
        <c:axId val="231472512"/>
        <c:scaling>
          <c:orientation val="minMax"/>
        </c:scaling>
        <c:delete val="0"/>
        <c:axPos val="l"/>
        <c:majorGridlines/>
        <c:title>
          <c:tx>
            <c:rich>
              <a:bodyPr rot="-5400000" vert="horz"/>
              <a:lstStyle/>
              <a:p>
                <a:pPr>
                  <a:defRPr/>
                </a:pPr>
                <a:r>
                  <a:rPr lang="en-US"/>
                  <a:t>Modules by speed, percent of total</a:t>
                </a:r>
              </a:p>
            </c:rich>
          </c:tx>
          <c:overlay val="0"/>
        </c:title>
        <c:numFmt formatCode="0%" sourceLinked="1"/>
        <c:majorTickMark val="out"/>
        <c:minorTickMark val="none"/>
        <c:tickLblPos val="nextTo"/>
        <c:crossAx val="231470976"/>
        <c:crosses val="autoZero"/>
        <c:crossBetween val="between"/>
      </c:valAx>
    </c:plotArea>
    <c:legend>
      <c:legendPos val="r"/>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b="1" i="0" u="none" strike="noStrike" baseline="0">
                <a:effectLst/>
              </a:rPr>
              <a:t>MMF vs SMF - 100</a:t>
            </a:r>
            <a:r>
              <a:rPr lang="en-US" sz="1600"/>
              <a:t>G to 800G speed</a:t>
            </a:r>
            <a:r>
              <a:rPr lang="en-US" sz="1600" baseline="0"/>
              <a:t> modules only</a:t>
            </a:r>
            <a:endParaRPr lang="en-US" sz="1600"/>
          </a:p>
        </c:rich>
      </c:tx>
      <c:overlay val="0"/>
    </c:title>
    <c:autoTitleDeleted val="0"/>
    <c:plotArea>
      <c:layout>
        <c:manualLayout>
          <c:layoutTarget val="inner"/>
          <c:xMode val="edge"/>
          <c:yMode val="edge"/>
          <c:x val="8.5003368831769593E-2"/>
          <c:y val="0.13132858667616301"/>
          <c:w val="0.869650948803813"/>
          <c:h val="0.77758084531418303"/>
        </c:manualLayout>
      </c:layout>
      <c:barChart>
        <c:barDir val="col"/>
        <c:grouping val="percentStacked"/>
        <c:varyColors val="0"/>
        <c:ser>
          <c:idx val="0"/>
          <c:order val="0"/>
          <c:tx>
            <c:strRef>
              <c:f>Summary!$B$247</c:f>
              <c:strCache>
                <c:ptCount val="1"/>
                <c:pt idx="0">
                  <c:v>Percent  MMF</c:v>
                </c:pt>
              </c:strCache>
            </c:strRef>
          </c:tx>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Summary!$C$247:$M$247</c:f>
              <c:numCache>
                <c:formatCode>0%</c:formatCode>
                <c:ptCount val="11"/>
                <c:pt idx="0">
                  <c:v>0.32548484288153845</c:v>
                </c:pt>
                <c:pt idx="1">
                  <c:v>0.21931517407643517</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8F85-3040-B1A6-83576B3BDD17}"/>
            </c:ext>
          </c:extLst>
        </c:ser>
        <c:ser>
          <c:idx val="1"/>
          <c:order val="1"/>
          <c:tx>
            <c:strRef>
              <c:f>Summary!$B$248</c:f>
              <c:strCache>
                <c:ptCount val="1"/>
                <c:pt idx="0">
                  <c:v>Percent  SMF</c:v>
                </c:pt>
              </c:strCache>
            </c:strRef>
          </c:tx>
          <c:invertIfNegative val="0"/>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Summary!$C$248:$M$248</c:f>
              <c:numCache>
                <c:formatCode>0%</c:formatCode>
                <c:ptCount val="11"/>
                <c:pt idx="0">
                  <c:v>0.67451515711846155</c:v>
                </c:pt>
                <c:pt idx="1">
                  <c:v>0.78068482592356481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8F85-3040-B1A6-83576B3BDD17}"/>
            </c:ext>
          </c:extLst>
        </c:ser>
        <c:dLbls>
          <c:showLegendKey val="0"/>
          <c:showVal val="0"/>
          <c:showCatName val="0"/>
          <c:showSerName val="0"/>
          <c:showPercent val="0"/>
          <c:showBubbleSize val="0"/>
        </c:dLbls>
        <c:gapWidth val="150"/>
        <c:overlap val="100"/>
        <c:axId val="231519360"/>
        <c:axId val="231520896"/>
      </c:barChart>
      <c:catAx>
        <c:axId val="231519360"/>
        <c:scaling>
          <c:orientation val="minMax"/>
        </c:scaling>
        <c:delete val="0"/>
        <c:axPos val="b"/>
        <c:numFmt formatCode="General" sourceLinked="1"/>
        <c:majorTickMark val="out"/>
        <c:minorTickMark val="none"/>
        <c:tickLblPos val="nextTo"/>
        <c:txPr>
          <a:bodyPr/>
          <a:lstStyle/>
          <a:p>
            <a:pPr>
              <a:defRPr sz="1050"/>
            </a:pPr>
            <a:endParaRPr lang="en-US"/>
          </a:p>
        </c:txPr>
        <c:crossAx val="231520896"/>
        <c:crosses val="autoZero"/>
        <c:auto val="1"/>
        <c:lblAlgn val="ctr"/>
        <c:lblOffset val="100"/>
        <c:noMultiLvlLbl val="0"/>
      </c:catAx>
      <c:valAx>
        <c:axId val="231520896"/>
        <c:scaling>
          <c:orientation val="minMax"/>
        </c:scaling>
        <c:delete val="0"/>
        <c:axPos val="l"/>
        <c:majorGridlines/>
        <c:numFmt formatCode="0%" sourceLinked="1"/>
        <c:majorTickMark val="out"/>
        <c:minorTickMark val="none"/>
        <c:tickLblPos val="nextTo"/>
        <c:crossAx val="231519360"/>
        <c:crosses val="autoZero"/>
        <c:crossBetween val="between"/>
      </c:valAx>
    </c:plotArea>
    <c:legend>
      <c:legendPos val="r"/>
      <c:layout>
        <c:manualLayout>
          <c:xMode val="edge"/>
          <c:yMode val="edge"/>
          <c:x val="0.69999467597689791"/>
          <c:y val="0.23764092121584685"/>
          <c:w val="0.20636986272358801"/>
          <c:h val="0.17449824091137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95132795036061E-2"/>
          <c:y val="4.2572879691112293E-2"/>
          <c:w val="0.75179531258835197"/>
          <c:h val="0.82513998304365133"/>
        </c:manualLayout>
      </c:layout>
      <c:lineChart>
        <c:grouping val="standard"/>
        <c:varyColors val="0"/>
        <c:ser>
          <c:idx val="0"/>
          <c:order val="0"/>
          <c:tx>
            <c:strRef>
              <c:f>Summary!$B$229</c:f>
              <c:strCache>
                <c:ptCount val="1"/>
                <c:pt idx="0">
                  <c:v>1G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Summary!$C$229:$M$229</c:f>
              <c:numCache>
                <c:formatCode>0%</c:formatCode>
                <c:ptCount val="11"/>
                <c:pt idx="0">
                  <c:v>0.37511818939959324</c:v>
                </c:pt>
                <c:pt idx="1">
                  <c:v>0.2960701521301668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088D-964D-97E6-E2D2F0394620}"/>
            </c:ext>
          </c:extLst>
        </c:ser>
        <c:ser>
          <c:idx val="1"/>
          <c:order val="1"/>
          <c:tx>
            <c:strRef>
              <c:f>Summary!$B$230</c:f>
              <c:strCache>
                <c:ptCount val="1"/>
                <c:pt idx="0">
                  <c:v>10G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Summary!$C$230:$M$230</c:f>
              <c:numCache>
                <c:formatCode>0%</c:formatCode>
                <c:ptCount val="11"/>
                <c:pt idx="0">
                  <c:v>0.51196179202262815</c:v>
                </c:pt>
                <c:pt idx="1">
                  <c:v>0.52379682980572895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088D-964D-97E6-E2D2F0394620}"/>
            </c:ext>
          </c:extLst>
        </c:ser>
        <c:ser>
          <c:idx val="2"/>
          <c:order val="2"/>
          <c:tx>
            <c:strRef>
              <c:f>Summary!$B$231</c:f>
              <c:strCache>
                <c:ptCount val="1"/>
                <c:pt idx="0">
                  <c:v>25G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Summary!$C$231:$M$231</c:f>
              <c:numCache>
                <c:formatCode>0%</c:formatCode>
                <c:ptCount val="11"/>
                <c:pt idx="0">
                  <c:v>3.2332125828659351E-4</c:v>
                </c:pt>
                <c:pt idx="1">
                  <c:v>2.976197420778683E-3</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088D-964D-97E6-E2D2F0394620}"/>
            </c:ext>
          </c:extLst>
        </c:ser>
        <c:ser>
          <c:idx val="3"/>
          <c:order val="3"/>
          <c:tx>
            <c:strRef>
              <c:f>Summary!$B$232</c:f>
              <c:strCache>
                <c:ptCount val="1"/>
                <c:pt idx="0">
                  <c:v>40G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Summary!$C$232:$M$232</c:f>
              <c:numCache>
                <c:formatCode>0%</c:formatCode>
                <c:ptCount val="11"/>
                <c:pt idx="0">
                  <c:v>8.7177519516264138E-2</c:v>
                </c:pt>
                <c:pt idx="1">
                  <c:v>0.10148069767554208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088D-964D-97E6-E2D2F0394620}"/>
            </c:ext>
          </c:extLst>
        </c:ser>
        <c:ser>
          <c:idx val="4"/>
          <c:order val="4"/>
          <c:tx>
            <c:strRef>
              <c:f>Summary!$B$233</c:f>
              <c:strCache>
                <c:ptCount val="1"/>
                <c:pt idx="0">
                  <c:v>50G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Summary!$C$233:$M$233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088D-964D-97E6-E2D2F0394620}"/>
            </c:ext>
          </c:extLst>
        </c:ser>
        <c:ser>
          <c:idx val="5"/>
          <c:order val="5"/>
          <c:tx>
            <c:strRef>
              <c:f>Summary!$B$234</c:f>
              <c:strCache>
                <c:ptCount val="1"/>
                <c:pt idx="0">
                  <c:v>100G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Summary!$C$234:$M$234</c:f>
              <c:numCache>
                <c:formatCode>0%</c:formatCode>
                <c:ptCount val="11"/>
                <c:pt idx="0">
                  <c:v>2.5419177803227763E-2</c:v>
                </c:pt>
                <c:pt idx="1">
                  <c:v>7.5673785646841157E-2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088D-964D-97E6-E2D2F0394620}"/>
            </c:ext>
          </c:extLst>
        </c:ser>
        <c:ser>
          <c:idx val="6"/>
          <c:order val="6"/>
          <c:tx>
            <c:strRef>
              <c:f>Summary!$B$235</c:f>
              <c:strCache>
                <c:ptCount val="1"/>
                <c:pt idx="0">
                  <c:v>200G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Summary!$C$235:$M$235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6-088D-964D-97E6-E2D2F0394620}"/>
            </c:ext>
          </c:extLst>
        </c:ser>
        <c:ser>
          <c:idx val="7"/>
          <c:order val="7"/>
          <c:tx>
            <c:strRef>
              <c:f>Summary!$B$236</c:f>
              <c:strCache>
                <c:ptCount val="1"/>
                <c:pt idx="0">
                  <c:v>400G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Summary!$C$236:$M$236</c:f>
              <c:numCache>
                <c:formatCode>0%</c:formatCode>
                <c:ptCount val="11"/>
                <c:pt idx="0">
                  <c:v>0</c:v>
                </c:pt>
                <c:pt idx="1">
                  <c:v>2.3373209424876932E-6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7-088D-964D-97E6-E2D2F0394620}"/>
            </c:ext>
          </c:extLst>
        </c:ser>
        <c:ser>
          <c:idx val="8"/>
          <c:order val="8"/>
          <c:tx>
            <c:strRef>
              <c:f>Summary!$B$237</c:f>
              <c:strCache>
                <c:ptCount val="1"/>
                <c:pt idx="0">
                  <c:v>800G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Summary!$C$237:$M$237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DFC4-0546-8C70-452B3502A0CF}"/>
            </c:ext>
          </c:extLst>
        </c:ser>
        <c:dLbls>
          <c:showLegendKey val="0"/>
          <c:showVal val="0"/>
          <c:showCatName val="0"/>
          <c:showSerName val="0"/>
          <c:showPercent val="0"/>
          <c:showBubbleSize val="0"/>
        </c:dLbls>
        <c:marker val="1"/>
        <c:smooth val="0"/>
        <c:axId val="231571840"/>
        <c:axId val="231573376"/>
      </c:lineChart>
      <c:catAx>
        <c:axId val="231571840"/>
        <c:scaling>
          <c:orientation val="minMax"/>
        </c:scaling>
        <c:delete val="0"/>
        <c:axPos val="b"/>
        <c:numFmt formatCode="0" sourceLinked="0"/>
        <c:majorTickMark val="out"/>
        <c:minorTickMark val="none"/>
        <c:tickLblPos val="nextTo"/>
        <c:crossAx val="231573376"/>
        <c:crosses val="autoZero"/>
        <c:auto val="1"/>
        <c:lblAlgn val="ctr"/>
        <c:lblOffset val="100"/>
        <c:noMultiLvlLbl val="0"/>
      </c:catAx>
      <c:valAx>
        <c:axId val="231573376"/>
        <c:scaling>
          <c:orientation val="minMax"/>
        </c:scaling>
        <c:delete val="0"/>
        <c:axPos val="l"/>
        <c:majorGridlines/>
        <c:title>
          <c:tx>
            <c:rich>
              <a:bodyPr rot="-5400000" vert="horz"/>
              <a:lstStyle/>
              <a:p>
                <a:pPr>
                  <a:defRPr/>
                </a:pPr>
                <a:r>
                  <a:rPr lang="en-US"/>
                  <a:t>Modules by speed, percent of total</a:t>
                </a:r>
              </a:p>
            </c:rich>
          </c:tx>
          <c:layout>
            <c:manualLayout>
              <c:xMode val="edge"/>
              <c:yMode val="edge"/>
              <c:x val="5.6250002768208794E-3"/>
              <c:y val="0.10458267284761513"/>
            </c:manualLayout>
          </c:layout>
          <c:overlay val="0"/>
        </c:title>
        <c:numFmt formatCode="0%" sourceLinked="1"/>
        <c:majorTickMark val="out"/>
        <c:minorTickMark val="none"/>
        <c:tickLblPos val="nextTo"/>
        <c:crossAx val="231571840"/>
        <c:crosses val="autoZero"/>
        <c:crossBetween val="between"/>
      </c:valAx>
    </c:plotArea>
    <c:legend>
      <c:legendPos val="r"/>
      <c:overlay val="0"/>
      <c:spPr>
        <a:solidFill>
          <a:schemeClr val="bg1"/>
        </a:solidFill>
        <a:ln>
          <a:solidFill>
            <a:schemeClr val="tx1"/>
          </a:solidFill>
        </a:ln>
      </c:sp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latin typeface="Calibri"/>
                <a:cs typeface="Calibri"/>
              </a:rPr>
              <a:t>≥25G </a:t>
            </a:r>
            <a:r>
              <a:rPr lang="en-US" sz="1600"/>
              <a:t>SMF devices (0.5-10 km)</a:t>
            </a:r>
          </a:p>
        </c:rich>
      </c:tx>
      <c:overlay val="0"/>
    </c:title>
    <c:autoTitleDeleted val="0"/>
    <c:plotArea>
      <c:layout>
        <c:manualLayout>
          <c:layoutTarget val="inner"/>
          <c:xMode val="edge"/>
          <c:yMode val="edge"/>
          <c:x val="0.148080818756716"/>
          <c:y val="0.24784614310860401"/>
          <c:w val="0.82731068012471598"/>
          <c:h val="0.66288901323011695"/>
        </c:manualLayout>
      </c:layout>
      <c:lineChart>
        <c:grouping val="standard"/>
        <c:varyColors val="0"/>
        <c:ser>
          <c:idx val="2"/>
          <c:order val="0"/>
          <c:tx>
            <c:strRef>
              <c:f>Summary!$B$220</c:f>
              <c:strCache>
                <c:ptCount val="1"/>
                <c:pt idx="0">
                  <c:v>25G SMF</c:v>
                </c:pt>
              </c:strCache>
            </c:strRef>
          </c:tx>
          <c:spPr>
            <a:ln>
              <a:solidFill>
                <a:schemeClr val="accent2"/>
              </a:solidFill>
            </a:ln>
          </c:spPr>
          <c:marker>
            <c:spPr>
              <a:solidFill>
                <a:schemeClr val="accent2"/>
              </a:solidFill>
              <a:ln>
                <a:solidFill>
                  <a:schemeClr val="accent2"/>
                </a:solidFill>
              </a:ln>
            </c:spPr>
          </c:marker>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Summary!$C$220:$M$220</c:f>
              <c:numCache>
                <c:formatCode>_(* #,##0_);_(* \(#,##0\);_(* "-"??_);_(@_)</c:formatCode>
                <c:ptCount val="11"/>
                <c:pt idx="0">
                  <c:v>4548</c:v>
                </c:pt>
                <c:pt idx="1">
                  <c:v>17462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0B82-724A-AE02-29310F2735E3}"/>
            </c:ext>
          </c:extLst>
        </c:ser>
        <c:ser>
          <c:idx val="3"/>
          <c:order val="1"/>
          <c:tx>
            <c:strRef>
              <c:f>Summary!$B$221</c:f>
              <c:strCache>
                <c:ptCount val="1"/>
                <c:pt idx="0">
                  <c:v>40G SMF</c:v>
                </c:pt>
              </c:strCache>
            </c:strRef>
          </c:tx>
          <c:spPr>
            <a:ln>
              <a:solidFill>
                <a:schemeClr val="accent3"/>
              </a:solidFill>
            </a:ln>
          </c:spPr>
          <c:marker>
            <c:spPr>
              <a:solidFill>
                <a:schemeClr val="accent3"/>
              </a:solidFill>
              <a:ln>
                <a:solidFill>
                  <a:schemeClr val="accent3"/>
                </a:solidFill>
              </a:ln>
            </c:spPr>
          </c:marker>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Summary!$C$221:$M$221</c:f>
              <c:numCache>
                <c:formatCode>_(* #,##0_);_(* \(#,##0\);_(* "-"??_);_(@_)</c:formatCode>
                <c:ptCount val="11"/>
                <c:pt idx="0">
                  <c:v>1623570</c:v>
                </c:pt>
                <c:pt idx="1">
                  <c:v>1853294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0B82-724A-AE02-29310F2735E3}"/>
            </c:ext>
          </c:extLst>
        </c:ser>
        <c:ser>
          <c:idx val="5"/>
          <c:order val="2"/>
          <c:tx>
            <c:strRef>
              <c:f>Summary!$B$222</c:f>
              <c:strCache>
                <c:ptCount val="1"/>
                <c:pt idx="0">
                  <c:v>50G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Summary!$C$222:$M$222</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0B82-724A-AE02-29310F2735E3}"/>
            </c:ext>
          </c:extLst>
        </c:ser>
        <c:ser>
          <c:idx val="1"/>
          <c:order val="3"/>
          <c:tx>
            <c:strRef>
              <c:f>Summary!$B$223</c:f>
              <c:strCache>
                <c:ptCount val="1"/>
                <c:pt idx="0">
                  <c:v>100G SMF</c:v>
                </c:pt>
              </c:strCache>
            </c:strRef>
          </c:tx>
          <c:spPr>
            <a:ln>
              <a:solidFill>
                <a:schemeClr val="accent4"/>
              </a:solidFill>
            </a:ln>
          </c:spPr>
          <c:marker>
            <c:symbol val="square"/>
            <c:size val="5"/>
            <c:spPr>
              <a:solidFill>
                <a:schemeClr val="accent4"/>
              </a:solidFill>
              <a:ln>
                <a:solidFill>
                  <a:schemeClr val="accent4"/>
                </a:solidFill>
              </a:ln>
            </c:spPr>
          </c:marker>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Summary!$C$223:$M$223</c:f>
              <c:numCache>
                <c:formatCode>_(* #,##0_);_(* \(#,##0\);_(* "-"??_);_(@_)</c:formatCode>
                <c:ptCount val="11"/>
                <c:pt idx="0">
                  <c:v>620129</c:v>
                </c:pt>
                <c:pt idx="1">
                  <c:v>2249516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0B82-724A-AE02-29310F2735E3}"/>
            </c:ext>
          </c:extLst>
        </c:ser>
        <c:ser>
          <c:idx val="6"/>
          <c:order val="4"/>
          <c:tx>
            <c:strRef>
              <c:f>Summary!$B$224</c:f>
              <c:strCache>
                <c:ptCount val="1"/>
                <c:pt idx="0">
                  <c:v>200G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Summary!$C$224:$M$224</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0B82-724A-AE02-29310F2735E3}"/>
            </c:ext>
          </c:extLst>
        </c:ser>
        <c:ser>
          <c:idx val="4"/>
          <c:order val="5"/>
          <c:tx>
            <c:strRef>
              <c:f>Summary!$B$225</c:f>
              <c:strCache>
                <c:ptCount val="1"/>
                <c:pt idx="0">
                  <c:v>400G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Summary!$C$225:$M$225</c:f>
              <c:numCache>
                <c:formatCode>_(* #,##0_);_(* \(#,##0\);_(* "-"??_);_(@_)</c:formatCode>
                <c:ptCount val="11"/>
                <c:pt idx="1">
                  <c:v>89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0B82-724A-AE02-29310F2735E3}"/>
            </c:ext>
          </c:extLst>
        </c:ser>
        <c:ser>
          <c:idx val="0"/>
          <c:order val="6"/>
          <c:tx>
            <c:strRef>
              <c:f>Summary!$B$226</c:f>
              <c:strCache>
                <c:ptCount val="1"/>
                <c:pt idx="0">
                  <c:v>800G SMF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Summary!$C$226:$M$226</c:f>
              <c:numCache>
                <c:formatCode>_(* #,##0_);_(* \(#,##0\);_(* "-"??_);_(@_)</c:formatCode>
                <c:ptCount val="11"/>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153E-AA45-907F-17717762C452}"/>
            </c:ext>
          </c:extLst>
        </c:ser>
        <c:dLbls>
          <c:showLegendKey val="0"/>
          <c:showVal val="0"/>
          <c:showCatName val="0"/>
          <c:showSerName val="0"/>
          <c:showPercent val="0"/>
          <c:showBubbleSize val="0"/>
        </c:dLbls>
        <c:marker val="1"/>
        <c:smooth val="0"/>
        <c:axId val="232023168"/>
        <c:axId val="232024704"/>
      </c:lineChart>
      <c:catAx>
        <c:axId val="232023168"/>
        <c:scaling>
          <c:orientation val="minMax"/>
        </c:scaling>
        <c:delete val="0"/>
        <c:axPos val="b"/>
        <c:numFmt formatCode="General" sourceLinked="1"/>
        <c:majorTickMark val="out"/>
        <c:minorTickMark val="none"/>
        <c:tickLblPos val="nextTo"/>
        <c:txPr>
          <a:bodyPr/>
          <a:lstStyle/>
          <a:p>
            <a:pPr>
              <a:defRPr sz="1200"/>
            </a:pPr>
            <a:endParaRPr lang="en-US"/>
          </a:p>
        </c:txPr>
        <c:crossAx val="232024704"/>
        <c:crosses val="autoZero"/>
        <c:auto val="1"/>
        <c:lblAlgn val="ctr"/>
        <c:lblOffset val="100"/>
        <c:noMultiLvlLbl val="0"/>
      </c:catAx>
      <c:valAx>
        <c:axId val="232024704"/>
        <c:scaling>
          <c:orientation val="minMax"/>
          <c:max val="10000000"/>
          <c:min val="0"/>
        </c:scaling>
        <c:delete val="0"/>
        <c:axPos val="l"/>
        <c:majorGridlines/>
        <c:numFmt formatCode="_(* #,##0_);_(* \(#,##0\);_(* &quot;-&quot;??_);_(@_)" sourceLinked="1"/>
        <c:majorTickMark val="out"/>
        <c:minorTickMark val="none"/>
        <c:tickLblPos val="nextTo"/>
        <c:txPr>
          <a:bodyPr/>
          <a:lstStyle/>
          <a:p>
            <a:pPr>
              <a:defRPr sz="1100"/>
            </a:pPr>
            <a:endParaRPr lang="en-US"/>
          </a:p>
        </c:txPr>
        <c:crossAx val="232023168"/>
        <c:crosses val="autoZero"/>
        <c:crossBetween val="between"/>
        <c:minorUnit val="40000"/>
      </c:valAx>
    </c:plotArea>
    <c:legend>
      <c:legendPos val="t"/>
      <c:layout>
        <c:manualLayout>
          <c:xMode val="edge"/>
          <c:yMode val="edge"/>
          <c:x val="2.7960346834581401E-2"/>
          <c:y val="0.100441950259303"/>
          <c:w val="0.89999993536807554"/>
          <c:h val="6.7803217799524043E-2"/>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69719582526474"/>
          <c:y val="6.920113871053149E-2"/>
          <c:w val="0.83187518923732107"/>
          <c:h val="0.81719705581124491"/>
        </c:manualLayout>
      </c:layout>
      <c:lineChart>
        <c:grouping val="standard"/>
        <c:varyColors val="0"/>
        <c:ser>
          <c:idx val="5"/>
          <c:order val="0"/>
          <c:tx>
            <c:strRef>
              <c:f>Summary!$B$452</c:f>
              <c:strCache>
                <c:ptCount val="1"/>
                <c:pt idx="0">
                  <c:v>500m 40G PSM4 QSFP+</c:v>
                </c:pt>
              </c:strCache>
            </c:strRef>
          </c:tx>
          <c:cat>
            <c:numRef>
              <c:f>Summary!$C$451:$M$451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Summary!$C$452:$M$452</c:f>
              <c:numCache>
                <c:formatCode>_("$"* #,##0_);_("$"* \(#,##0\);_("$"* "-"??_);_(@_)</c:formatCode>
                <c:ptCount val="11"/>
                <c:pt idx="0">
                  <c:v>206.04404776999999</c:v>
                </c:pt>
                <c:pt idx="1">
                  <c:v>161.25879399999999</c:v>
                </c:pt>
                <c:pt idx="2">
                  <c:v>0</c:v>
                </c:pt>
                <c:pt idx="3">
                  <c:v>0</c:v>
                </c:pt>
                <c:pt idx="4">
                  <c:v>0</c:v>
                </c:pt>
                <c:pt idx="5">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pt idx="10"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9104-2042-8C5D-ACBF7D6D2B12}"/>
            </c:ext>
          </c:extLst>
        </c:ser>
        <c:ser>
          <c:idx val="0"/>
          <c:order val="1"/>
          <c:tx>
            <c:strRef>
              <c:f>Summary!$B$453</c:f>
              <c:strCache>
                <c:ptCount val="1"/>
                <c:pt idx="0">
                  <c:v>2 km  40G (FR) CFP</c:v>
                </c:pt>
              </c:strCache>
            </c:strRef>
          </c:tx>
          <c:cat>
            <c:numRef>
              <c:f>Summary!$C$451:$M$451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Summary!$C$453:$M$453</c:f>
              <c:numCache>
                <c:formatCode>_("$"* #,##0_);_("$"* \(#,##0\);_("$"* "-"??_);_(@_)</c:formatCode>
                <c:ptCount val="11"/>
                <c:pt idx="0">
                  <c:v>3.6147868986222087</c:v>
                </c:pt>
                <c:pt idx="1">
                  <c:v>2.1111758458730683</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9104-2042-8C5D-ACBF7D6D2B12}"/>
            </c:ext>
          </c:extLst>
        </c:ser>
        <c:ser>
          <c:idx val="1"/>
          <c:order val="2"/>
          <c:tx>
            <c:strRef>
              <c:f>Summary!$B$454</c:f>
              <c:strCache>
                <c:ptCount val="1"/>
                <c:pt idx="0">
                  <c:v>2 km 40G LR4 subspec QSFP+</c:v>
                </c:pt>
              </c:strCache>
            </c:strRef>
          </c:tx>
          <c:cat>
            <c:numRef>
              <c:f>Summary!$C$451:$M$451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Summary!$C$454:$M$454</c:f>
              <c:numCache>
                <c:formatCode>_("$"* #,##0_);_("$"* \(#,##0\);_("$"* "-"??_);_(@_)</c:formatCode>
                <c:ptCount val="11"/>
                <c:pt idx="0">
                  <c:v>177.55117799999999</c:v>
                </c:pt>
                <c:pt idx="1">
                  <c:v>277.09314268000003</c:v>
                </c:pt>
                <c:pt idx="2">
                  <c:v>0</c:v>
                </c:pt>
                <c:pt idx="3">
                  <c:v>0</c:v>
                </c:pt>
                <c:pt idx="4">
                  <c:v>0</c:v>
                </c:pt>
                <c:pt idx="5">
                  <c:v>0</c:v>
                </c:pt>
                <c:pt idx="6">
                  <c:v>0</c:v>
                </c:pt>
                <c:pt idx="7" formatCode="_(&quot;$&quot;* #,##0.0_);_(&quot;$&quot;* \(#,##0.0\);_(&quot;$&quot;* &quot;-&quot;??_);_(@_)">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9104-2042-8C5D-ACBF7D6D2B12}"/>
            </c:ext>
          </c:extLst>
        </c:ser>
        <c:ser>
          <c:idx val="2"/>
          <c:order val="3"/>
          <c:tx>
            <c:strRef>
              <c:f>Summary!$B$455</c:f>
              <c:strCache>
                <c:ptCount val="1"/>
                <c:pt idx="0">
                  <c:v>10 km 40G CFP</c:v>
                </c:pt>
              </c:strCache>
            </c:strRef>
          </c:tx>
          <c:cat>
            <c:numRef>
              <c:f>Summary!$C$451:$M$451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Summary!$C$455:$M$455</c:f>
              <c:numCache>
                <c:formatCode>_("$"* #,##0.0_);_("$"* \(#,##0.0\);_("$"* "-"??_);_(@_)</c:formatCode>
                <c:ptCount val="11"/>
                <c:pt idx="0">
                  <c:v>7.8193956068084791</c:v>
                </c:pt>
                <c:pt idx="1">
                  <c:v>3.8446607087985556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9104-2042-8C5D-ACBF7D6D2B12}"/>
            </c:ext>
          </c:extLst>
        </c:ser>
        <c:ser>
          <c:idx val="3"/>
          <c:order val="4"/>
          <c:tx>
            <c:strRef>
              <c:f>Summary!$B$456</c:f>
              <c:strCache>
                <c:ptCount val="1"/>
                <c:pt idx="0">
                  <c:v>10 km  40G QSFP+</c:v>
                </c:pt>
              </c:strCache>
            </c:strRef>
          </c:tx>
          <c:marker>
            <c:symbol val="square"/>
            <c:size val="5"/>
          </c:marker>
          <c:cat>
            <c:numRef>
              <c:f>Summary!$C$451:$M$451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Summary!$C$456:$M$456</c:f>
              <c:numCache>
                <c:formatCode>_("$"* #,##0_);_("$"* \(#,##0\);_("$"* "-"??_);_(@_)</c:formatCode>
                <c:ptCount val="11"/>
                <c:pt idx="0">
                  <c:v>139.9656742823521</c:v>
                </c:pt>
                <c:pt idx="1">
                  <c:v>170.32318072539266</c:v>
                </c:pt>
                <c:pt idx="2">
                  <c:v>0</c:v>
                </c:pt>
                <c:pt idx="3">
                  <c:v>0</c:v>
                </c:pt>
                <c:pt idx="4">
                  <c:v>0</c:v>
                </c:pt>
                <c:pt idx="5">
                  <c:v>0</c:v>
                </c:pt>
                <c:pt idx="6" formatCode="_(&quot;$&quot;* #,##0.0_);_(&quot;$&quot;* \(#,##0.0\);_(&quot;$&quot;* &quot;-&quot;??_);_(@_)">
                  <c:v>0</c:v>
                </c:pt>
                <c:pt idx="7" formatCode="_(&quot;$&quot;* #,##0.0_);_(&quot;$&quot;* \(#,##0.0\);_(&quot;$&quot;* &quot;-&quot;??_);_(@_)">
                  <c:v>0</c:v>
                </c:pt>
                <c:pt idx="8" formatCode="_(&quot;$&quot;* #,##0.0_);_(&quot;$&quot;* \(#,##0.0\);_(&quot;$&quot;* &quot;-&quot;??_);_(@_)">
                  <c:v>0</c:v>
                </c:pt>
                <c:pt idx="9" formatCode="_(&quot;$&quot;* #,##0.0_);_(&quot;$&quot;* \(#,##0.0\);_(&quot;$&quot;* &quot;-&quot;??_);_(@_)">
                  <c:v>0</c:v>
                </c:pt>
                <c:pt idx="10"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4-9104-2042-8C5D-ACBF7D6D2B12}"/>
            </c:ext>
          </c:extLst>
        </c:ser>
        <c:ser>
          <c:idx val="4"/>
          <c:order val="5"/>
          <c:tx>
            <c:strRef>
              <c:f>Summary!$B$457</c:f>
              <c:strCache>
                <c:ptCount val="1"/>
                <c:pt idx="0">
                  <c:v>40 km 40G all</c:v>
                </c:pt>
              </c:strCache>
            </c:strRef>
          </c:tx>
          <c:cat>
            <c:numRef>
              <c:f>Summary!$C$451:$M$451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Summary!$C$457:$M$457</c:f>
              <c:numCache>
                <c:formatCode>_("$"* #,##0.0_);_("$"* \(#,##0.0\);_("$"* "-"??_);_(@_)</c:formatCode>
                <c:ptCount val="11"/>
                <c:pt idx="0">
                  <c:v>8.1879420954829136</c:v>
                </c:pt>
                <c:pt idx="1">
                  <c:v>7.9265538087967364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9104-2042-8C5D-ACBF7D6D2B12}"/>
            </c:ext>
          </c:extLst>
        </c:ser>
        <c:dLbls>
          <c:showLegendKey val="0"/>
          <c:showVal val="0"/>
          <c:showCatName val="0"/>
          <c:showSerName val="0"/>
          <c:showPercent val="0"/>
          <c:showBubbleSize val="0"/>
        </c:dLbls>
        <c:marker val="1"/>
        <c:smooth val="0"/>
        <c:axId val="232150144"/>
        <c:axId val="232151680"/>
      </c:lineChart>
      <c:catAx>
        <c:axId val="232150144"/>
        <c:scaling>
          <c:orientation val="minMax"/>
        </c:scaling>
        <c:delete val="0"/>
        <c:axPos val="b"/>
        <c:numFmt formatCode="General" sourceLinked="1"/>
        <c:majorTickMark val="out"/>
        <c:minorTickMark val="none"/>
        <c:tickLblPos val="nextTo"/>
        <c:txPr>
          <a:bodyPr/>
          <a:lstStyle/>
          <a:p>
            <a:pPr>
              <a:defRPr sz="1000"/>
            </a:pPr>
            <a:endParaRPr lang="en-US"/>
          </a:p>
        </c:txPr>
        <c:crossAx val="232151680"/>
        <c:crosses val="autoZero"/>
        <c:auto val="1"/>
        <c:lblAlgn val="ctr"/>
        <c:lblOffset val="100"/>
        <c:noMultiLvlLbl val="0"/>
      </c:catAx>
      <c:valAx>
        <c:axId val="232151680"/>
        <c:scaling>
          <c:orientation val="minMax"/>
          <c:max val="300"/>
          <c:min val="0"/>
        </c:scaling>
        <c:delete val="0"/>
        <c:axPos val="l"/>
        <c:majorGridlines/>
        <c:title>
          <c:tx>
            <c:rich>
              <a:bodyPr rot="-5400000" vert="horz"/>
              <a:lstStyle/>
              <a:p>
                <a:pPr>
                  <a:defRPr sz="1400"/>
                </a:pPr>
                <a:r>
                  <a:rPr lang="en-US" sz="1400"/>
                  <a:t>Annual sales ($ mn)</a:t>
                </a:r>
              </a:p>
            </c:rich>
          </c:tx>
          <c:layout>
            <c:manualLayout>
              <c:xMode val="edge"/>
              <c:yMode val="edge"/>
              <c:x val="5.6883071135332723E-3"/>
              <c:y val="0.21878755012580425"/>
            </c:manualLayout>
          </c:layout>
          <c:overlay val="0"/>
        </c:title>
        <c:numFmt formatCode="&quot;$&quot;#,##0" sourceLinked="0"/>
        <c:majorTickMark val="out"/>
        <c:minorTickMark val="none"/>
        <c:tickLblPos val="nextTo"/>
        <c:txPr>
          <a:bodyPr/>
          <a:lstStyle/>
          <a:p>
            <a:pPr>
              <a:defRPr sz="1200"/>
            </a:pPr>
            <a:endParaRPr lang="en-US"/>
          </a:p>
        </c:txPr>
        <c:crossAx val="232150144"/>
        <c:crosses val="autoZero"/>
        <c:crossBetween val="between"/>
      </c:valAx>
    </c:plotArea>
    <c:legend>
      <c:legendPos val="t"/>
      <c:layout>
        <c:manualLayout>
          <c:xMode val="edge"/>
          <c:yMode val="edge"/>
          <c:x val="0.61949813609045967"/>
          <c:y val="2.1331319268709521E-2"/>
          <c:w val="0.37047906300621042"/>
          <c:h val="0.59516852315236557"/>
        </c:manualLayout>
      </c:layout>
      <c:overlay val="0"/>
      <c:spPr>
        <a:solidFill>
          <a:schemeClr val="bg1"/>
        </a:solidFill>
        <a:ln>
          <a:solidFill>
            <a:schemeClr val="tx1"/>
          </a:solidFill>
        </a:ln>
      </c:spPr>
      <c:txPr>
        <a:bodyPr/>
        <a:lstStyle/>
        <a:p>
          <a:pPr>
            <a:defRPr lang="en-US"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6865616873221"/>
          <c:y val="5.3904170599872923E-2"/>
          <c:w val="0.79841987224125766"/>
          <c:h val="0.84795634682028431"/>
        </c:manualLayout>
      </c:layout>
      <c:lineChart>
        <c:grouping val="standard"/>
        <c:varyColors val="0"/>
        <c:ser>
          <c:idx val="5"/>
          <c:order val="0"/>
          <c:tx>
            <c:strRef>
              <c:f>Summary!$B$443</c:f>
              <c:strCache>
                <c:ptCount val="1"/>
                <c:pt idx="0">
                  <c:v>500m 40G PSM4 QSFP+</c:v>
                </c:pt>
              </c:strCache>
            </c:strRef>
          </c:tx>
          <c:cat>
            <c:numRef>
              <c:f>Summary!$C$442:$M$442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Summary!$C$443:$M$443</c:f>
              <c:numCache>
                <c:formatCode>_("$"* #,##0_);_("$"* \(#,##0\);_("$"* "-"??_);_(@_)</c:formatCode>
                <c:ptCount val="11"/>
                <c:pt idx="0">
                  <c:v>253.19068527507093</c:v>
                </c:pt>
                <c:pt idx="1">
                  <c:v>262.79055146339874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140F-C646-9EA3-1BC22BD6CA71}"/>
            </c:ext>
          </c:extLst>
        </c:ser>
        <c:ser>
          <c:idx val="1"/>
          <c:order val="1"/>
          <c:tx>
            <c:strRef>
              <c:f>Summary!$B$445</c:f>
              <c:strCache>
                <c:ptCount val="1"/>
                <c:pt idx="0">
                  <c:v>2 km 40G LR4 subspec QSFP+</c:v>
                </c:pt>
              </c:strCache>
            </c:strRef>
          </c:tx>
          <c:cat>
            <c:numRef>
              <c:f>Summary!$C$442:$M$442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Summary!$C$445:$M$445</c:f>
              <c:numCache>
                <c:formatCode>_("$"* #,##0_);_("$"* \(#,##0\);_("$"* "-"??_);_(@_)</c:formatCode>
                <c:ptCount val="11"/>
                <c:pt idx="0">
                  <c:v>377.60055209491952</c:v>
                </c:pt>
                <c:pt idx="1">
                  <c:v>343.5254726908467</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140F-C646-9EA3-1BC22BD6CA71}"/>
            </c:ext>
          </c:extLst>
        </c:ser>
        <c:ser>
          <c:idx val="3"/>
          <c:order val="2"/>
          <c:tx>
            <c:strRef>
              <c:f>Summary!$B$447</c:f>
              <c:strCache>
                <c:ptCount val="1"/>
                <c:pt idx="0">
                  <c:v>10 km  40G QSFP+</c:v>
                </c:pt>
              </c:strCache>
            </c:strRef>
          </c:tx>
          <c:marker>
            <c:symbol val="square"/>
            <c:size val="5"/>
          </c:marker>
          <c:cat>
            <c:numRef>
              <c:f>Summary!$C$442:$M$442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Summary!$C$447:$M$447</c:f>
              <c:numCache>
                <c:formatCode>_("$"* #,##0_);_("$"* \(#,##0\);_("$"* "-"??_);_(@_)</c:formatCode>
                <c:ptCount val="11"/>
                <c:pt idx="0">
                  <c:v>427.72742888770347</c:v>
                </c:pt>
                <c:pt idx="1">
                  <c:v>401.36672508917627</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140F-C646-9EA3-1BC22BD6CA71}"/>
            </c:ext>
          </c:extLst>
        </c:ser>
        <c:ser>
          <c:idx val="4"/>
          <c:order val="3"/>
          <c:tx>
            <c:strRef>
              <c:f>Summary!$B$448</c:f>
              <c:strCache>
                <c:ptCount val="1"/>
                <c:pt idx="0">
                  <c:v>40 km 40G all</c:v>
                </c:pt>
              </c:strCache>
            </c:strRef>
          </c:tx>
          <c:cat>
            <c:numRef>
              <c:f>Summary!$C$442:$M$442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Summary!$C$448:$M$448</c:f>
              <c:numCache>
                <c:formatCode>_("$"* #,##0_);_("$"* \(#,##0\);_("$"* "-"??_);_(@_)</c:formatCode>
                <c:ptCount val="11"/>
                <c:pt idx="0">
                  <c:v>1673.0572324239708</c:v>
                </c:pt>
                <c:pt idx="1">
                  <c:v>1459.2330281290015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94F2-7D4F-B40B-4FFD83BA682A}"/>
            </c:ext>
          </c:extLst>
        </c:ser>
        <c:dLbls>
          <c:showLegendKey val="0"/>
          <c:showVal val="0"/>
          <c:showCatName val="0"/>
          <c:showSerName val="0"/>
          <c:showPercent val="0"/>
          <c:showBubbleSize val="0"/>
        </c:dLbls>
        <c:marker val="1"/>
        <c:smooth val="0"/>
        <c:axId val="231737984"/>
        <c:axId val="231739776"/>
      </c:lineChart>
      <c:catAx>
        <c:axId val="231737984"/>
        <c:scaling>
          <c:orientation val="minMax"/>
        </c:scaling>
        <c:delete val="0"/>
        <c:axPos val="b"/>
        <c:numFmt formatCode="General" sourceLinked="1"/>
        <c:majorTickMark val="out"/>
        <c:minorTickMark val="none"/>
        <c:tickLblPos val="nextTo"/>
        <c:txPr>
          <a:bodyPr/>
          <a:lstStyle/>
          <a:p>
            <a:pPr>
              <a:defRPr sz="1000"/>
            </a:pPr>
            <a:endParaRPr lang="en-US"/>
          </a:p>
        </c:txPr>
        <c:crossAx val="231739776"/>
        <c:crosses val="autoZero"/>
        <c:auto val="1"/>
        <c:lblAlgn val="ctr"/>
        <c:lblOffset val="100"/>
        <c:noMultiLvlLbl val="0"/>
      </c:catAx>
      <c:valAx>
        <c:axId val="231739776"/>
        <c:scaling>
          <c:orientation val="minMax"/>
          <c:min val="0"/>
        </c:scaling>
        <c:delete val="0"/>
        <c:axPos val="l"/>
        <c:majorGridlines/>
        <c:title>
          <c:tx>
            <c:rich>
              <a:bodyPr rot="-5400000" vert="horz"/>
              <a:lstStyle/>
              <a:p>
                <a:pPr>
                  <a:defRPr sz="1400"/>
                </a:pPr>
                <a:r>
                  <a:rPr lang="en-US" sz="1400"/>
                  <a:t>A.S.P.s</a:t>
                </a:r>
              </a:p>
            </c:rich>
          </c:tx>
          <c:layout>
            <c:manualLayout>
              <c:xMode val="edge"/>
              <c:yMode val="edge"/>
              <c:x val="4.122041908712356E-5"/>
              <c:y val="0.38174302469497584"/>
            </c:manualLayout>
          </c:layout>
          <c:overlay val="0"/>
        </c:title>
        <c:numFmt formatCode="&quot;$&quot;#,##0" sourceLinked="0"/>
        <c:majorTickMark val="out"/>
        <c:minorTickMark val="none"/>
        <c:tickLblPos val="nextTo"/>
        <c:txPr>
          <a:bodyPr/>
          <a:lstStyle/>
          <a:p>
            <a:pPr>
              <a:defRPr sz="1200"/>
            </a:pPr>
            <a:endParaRPr lang="en-US"/>
          </a:p>
        </c:txPr>
        <c:crossAx val="231737984"/>
        <c:crosses val="autoZero"/>
        <c:crossBetween val="between"/>
      </c:valAx>
    </c:plotArea>
    <c:legend>
      <c:legendPos val="t"/>
      <c:layout>
        <c:manualLayout>
          <c:xMode val="edge"/>
          <c:yMode val="edge"/>
          <c:x val="0.59240512901289555"/>
          <c:y val="8.8893298109569363E-2"/>
          <c:w val="0.40759487098710451"/>
          <c:h val="0.35615167948589765"/>
        </c:manualLayout>
      </c:layout>
      <c:overlay val="0"/>
      <c:spPr>
        <a:solidFill>
          <a:schemeClr val="bg1"/>
        </a:solidFill>
        <a:ln>
          <a:solidFill>
            <a:schemeClr val="tx1"/>
          </a:solidFill>
        </a:ln>
      </c:spPr>
      <c:txPr>
        <a:bodyPr/>
        <a:lstStyle/>
        <a:p>
          <a:pPr>
            <a:defRPr lang="en-US"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2092972767905"/>
          <c:y val="5.5229706246193985E-2"/>
          <c:w val="0.84000969962279437"/>
          <c:h val="0.85007295922032933"/>
        </c:manualLayout>
      </c:layout>
      <c:lineChart>
        <c:grouping val="standard"/>
        <c:varyColors val="0"/>
        <c:ser>
          <c:idx val="1"/>
          <c:order val="0"/>
          <c:tx>
            <c:strRef>
              <c:f>Summary!$B$574</c:f>
              <c:strCache>
                <c:ptCount val="1"/>
                <c:pt idx="0">
                  <c:v>100G Short Reach</c:v>
                </c:pt>
              </c:strCache>
            </c:strRef>
          </c:tx>
          <c:marker>
            <c:symbol val="none"/>
          </c:marker>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Summary!$C$574:$M$574</c:f>
              <c:numCache>
                <c:formatCode>_("$"* #,##0_);_("$"* \(#,##0\);_("$"* "-"??_);_(@_)</c:formatCode>
                <c:ptCount val="11"/>
                <c:pt idx="0">
                  <c:v>98.621345999999988</c:v>
                </c:pt>
                <c:pt idx="1">
                  <c:v>124.64446038072001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EB05-294D-BBA7-9DD36A8D680F}"/>
            </c:ext>
          </c:extLst>
        </c:ser>
        <c:ser>
          <c:idx val="0"/>
          <c:order val="1"/>
          <c:tx>
            <c:strRef>
              <c:f>Summary!$B$678</c:f>
              <c:strCache>
                <c:ptCount val="1"/>
                <c:pt idx="0">
                  <c:v>100G Long Reach</c:v>
                </c:pt>
              </c:strCache>
            </c:strRef>
          </c:tx>
          <c:marker>
            <c:symbol val="none"/>
          </c:marker>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Summary!$C$678:$M$678</c:f>
              <c:numCache>
                <c:formatCode>_("$"* #,##0_);_("$"* \(#,##0\);_("$"* "-"??_);_(@_)</c:formatCode>
                <c:ptCount val="11"/>
                <c:pt idx="0">
                  <c:v>1044.5376174696482</c:v>
                </c:pt>
                <c:pt idx="1">
                  <c:v>1529.3299315934335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EB05-294D-BBA7-9DD36A8D680F}"/>
            </c:ext>
          </c:extLst>
        </c:ser>
        <c:dLbls>
          <c:showLegendKey val="0"/>
          <c:showVal val="0"/>
          <c:showCatName val="0"/>
          <c:showSerName val="0"/>
          <c:showPercent val="0"/>
          <c:showBubbleSize val="0"/>
        </c:dLbls>
        <c:marker val="1"/>
        <c:smooth val="0"/>
        <c:axId val="231761792"/>
        <c:axId val="231763328"/>
      </c:lineChart>
      <c:catAx>
        <c:axId val="231761792"/>
        <c:scaling>
          <c:orientation val="minMax"/>
        </c:scaling>
        <c:delete val="0"/>
        <c:axPos val="b"/>
        <c:numFmt formatCode="General" sourceLinked="1"/>
        <c:majorTickMark val="out"/>
        <c:minorTickMark val="none"/>
        <c:tickLblPos val="nextTo"/>
        <c:txPr>
          <a:bodyPr/>
          <a:lstStyle/>
          <a:p>
            <a:pPr>
              <a:defRPr sz="1200"/>
            </a:pPr>
            <a:endParaRPr lang="en-US"/>
          </a:p>
        </c:txPr>
        <c:crossAx val="231763328"/>
        <c:crosses val="autoZero"/>
        <c:auto val="1"/>
        <c:lblAlgn val="ctr"/>
        <c:lblOffset val="100"/>
        <c:noMultiLvlLbl val="0"/>
      </c:catAx>
      <c:valAx>
        <c:axId val="231763328"/>
        <c:scaling>
          <c:orientation val="minMax"/>
        </c:scaling>
        <c:delete val="0"/>
        <c:axPos val="l"/>
        <c:majorGridlines/>
        <c:title>
          <c:tx>
            <c:rich>
              <a:bodyPr rot="-5400000" vert="horz"/>
              <a:lstStyle/>
              <a:p>
                <a:pPr>
                  <a:defRPr sz="1400"/>
                </a:pPr>
                <a:r>
                  <a:rPr lang="en-US" sz="1400"/>
                  <a:t>Annual sales ($ mn)</a:t>
                </a:r>
              </a:p>
            </c:rich>
          </c:tx>
          <c:overlay val="0"/>
        </c:title>
        <c:numFmt formatCode="_(&quot;$&quot;* #,##0_);_(&quot;$&quot;* \(#,##0\);_(&quot;$&quot;* &quot;-&quot;??_);_(@_)" sourceLinked="1"/>
        <c:majorTickMark val="out"/>
        <c:minorTickMark val="none"/>
        <c:tickLblPos val="nextTo"/>
        <c:txPr>
          <a:bodyPr/>
          <a:lstStyle/>
          <a:p>
            <a:pPr>
              <a:defRPr sz="1200"/>
            </a:pPr>
            <a:endParaRPr lang="en-US"/>
          </a:p>
        </c:txPr>
        <c:crossAx val="231761792"/>
        <c:crosses val="autoZero"/>
        <c:crossBetween val="between"/>
      </c:valAx>
    </c:plotArea>
    <c:legend>
      <c:legendPos val="t"/>
      <c:layout>
        <c:manualLayout>
          <c:xMode val="edge"/>
          <c:yMode val="edge"/>
          <c:x val="0.63075937643764923"/>
          <c:y val="8.2444703311197173E-2"/>
          <c:w val="0.33721497625102503"/>
          <c:h val="0.18831863617866273"/>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52557123126461"/>
          <c:y val="4.9886318107985946E-2"/>
          <c:w val="0.87758099037323589"/>
          <c:h val="0.86620914310300245"/>
        </c:manualLayout>
      </c:layout>
      <c:lineChart>
        <c:grouping val="standard"/>
        <c:varyColors val="0"/>
        <c:ser>
          <c:idx val="0"/>
          <c:order val="0"/>
          <c:tx>
            <c:strRef>
              <c:f>Summary!$B$136</c:f>
              <c:strCache>
                <c:ptCount val="1"/>
                <c:pt idx="0">
                  <c:v>1G</c:v>
                </c:pt>
              </c:strCache>
            </c:strRef>
          </c:tx>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Summary!$C$136:$M$136</c:f>
              <c:numCache>
                <c:formatCode>_("$"* #,##0_);_("$"* \(#,##0\);_("$"* "-"??_);_(@_)</c:formatCode>
                <c:ptCount val="11"/>
                <c:pt idx="0">
                  <c:v>154.16513112975395</c:v>
                </c:pt>
                <c:pt idx="1">
                  <c:v>110.62740763127242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547B-AE46-A98C-233E0A537257}"/>
            </c:ext>
          </c:extLst>
        </c:ser>
        <c:ser>
          <c:idx val="1"/>
          <c:order val="1"/>
          <c:tx>
            <c:strRef>
              <c:f>Summary!$B$137</c:f>
              <c:strCache>
                <c:ptCount val="1"/>
                <c:pt idx="0">
                  <c:v>10G</c:v>
                </c:pt>
              </c:strCache>
            </c:strRef>
          </c:tx>
          <c:marker>
            <c:symbol val="square"/>
            <c:size val="5"/>
          </c:marker>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Summary!$C$137:$M$137</c:f>
              <c:numCache>
                <c:formatCode>_("$"* #,##0_);_("$"* \(#,##0\);_("$"* "-"??_);_(@_)</c:formatCode>
                <c:ptCount val="11"/>
                <c:pt idx="0">
                  <c:v>588.89972784362988</c:v>
                </c:pt>
                <c:pt idx="1">
                  <c:v>486.60483553423245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547B-AE46-A98C-233E0A537257}"/>
            </c:ext>
          </c:extLst>
        </c:ser>
        <c:ser>
          <c:idx val="4"/>
          <c:order val="2"/>
          <c:tx>
            <c:strRef>
              <c:f>Summary!$B$138</c:f>
              <c:strCache>
                <c:ptCount val="1"/>
                <c:pt idx="0">
                  <c:v>25G</c:v>
                </c:pt>
              </c:strCache>
            </c:strRef>
          </c:tx>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Summary!$C$138:$M$138</c:f>
              <c:numCache>
                <c:formatCode>_("$"* #,##0_);_("$"* \(#,##0\);_("$"* "-"??_);_(@_)</c:formatCode>
                <c:ptCount val="11"/>
                <c:pt idx="0" formatCode="_(&quot;$&quot;* #,##0.0_);_(&quot;$&quot;* \(#,##0.0\);_(&quot;$&quot;* &quot;-&quot;??_);_(@_)">
                  <c:v>3.4123060000000001</c:v>
                </c:pt>
                <c:pt idx="1">
                  <c:v>19.187075306914231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547B-AE46-A98C-233E0A537257}"/>
            </c:ext>
          </c:extLst>
        </c:ser>
        <c:ser>
          <c:idx val="2"/>
          <c:order val="3"/>
          <c:tx>
            <c:strRef>
              <c:f>Summary!$B$139</c:f>
              <c:strCache>
                <c:ptCount val="1"/>
                <c:pt idx="0">
                  <c:v>40G</c:v>
                </c:pt>
              </c:strCache>
            </c:strRef>
          </c:tx>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Summary!$C$139:$M$139</c:f>
              <c:numCache>
                <c:formatCode>_("$"* #,##0_);_("$"* \(#,##0\);_("$"* "-"??_);_(@_)</c:formatCode>
                <c:ptCount val="11"/>
                <c:pt idx="0">
                  <c:v>787.93297017215446</c:v>
                </c:pt>
                <c:pt idx="1">
                  <c:v>904.27751564220159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547B-AE46-A98C-233E0A537257}"/>
            </c:ext>
          </c:extLst>
        </c:ser>
        <c:ser>
          <c:idx val="7"/>
          <c:order val="4"/>
          <c:tx>
            <c:strRef>
              <c:f>Summary!$B$140</c:f>
              <c:strCache>
                <c:ptCount val="1"/>
                <c:pt idx="0">
                  <c:v>50G</c:v>
                </c:pt>
              </c:strCache>
            </c:strRef>
          </c:tx>
          <c:marker>
            <c:symbol val="plus"/>
            <c:size val="7"/>
          </c:marker>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Summary!$C$140:$M$140</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547B-AE46-A98C-233E0A537257}"/>
            </c:ext>
          </c:extLst>
        </c:ser>
        <c:ser>
          <c:idx val="3"/>
          <c:order val="5"/>
          <c:tx>
            <c:strRef>
              <c:f>Summary!$B$141</c:f>
              <c:strCache>
                <c:ptCount val="1"/>
                <c:pt idx="0">
                  <c:v>100G</c:v>
                </c:pt>
              </c:strCache>
            </c:strRef>
          </c:tx>
          <c:marker>
            <c:symbol val="circle"/>
            <c:size val="5"/>
          </c:marker>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Summary!$C$141:$M$141</c:f>
              <c:numCache>
                <c:formatCode>_("$"* #,##0_);_("$"* \(#,##0\);_("$"* "-"??_);_(@_)</c:formatCode>
                <c:ptCount val="11"/>
                <c:pt idx="0">
                  <c:v>1143.1589634696481</c:v>
                </c:pt>
                <c:pt idx="1">
                  <c:v>1653.9743919741536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547B-AE46-A98C-233E0A537257}"/>
            </c:ext>
          </c:extLst>
        </c:ser>
        <c:ser>
          <c:idx val="6"/>
          <c:order val="6"/>
          <c:tx>
            <c:strRef>
              <c:f>Summary!$B$142</c:f>
              <c:strCache>
                <c:ptCount val="1"/>
                <c:pt idx="0">
                  <c:v>200G</c:v>
                </c:pt>
              </c:strCache>
            </c:strRef>
          </c:tx>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Summary!$C$142:$M$142</c:f>
              <c:numCache>
                <c:formatCode>_("$"* #,##0.0_);_("$"* \(#,##0.0\);_("$"* "-"??_);_(@_)</c:formatCode>
                <c:ptCount val="11"/>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numCache>
            </c:numRef>
          </c:val>
          <c:smooth val="0"/>
          <c:extLst xmlns:c16r2="http://schemas.microsoft.com/office/drawing/2015/06/chart">
            <c:ext xmlns:c16="http://schemas.microsoft.com/office/drawing/2014/chart" uri="{C3380CC4-5D6E-409C-BE32-E72D297353CC}">
              <c16:uniqueId val="{00000006-547B-AE46-A98C-233E0A537257}"/>
            </c:ext>
          </c:extLst>
        </c:ser>
        <c:ser>
          <c:idx val="5"/>
          <c:order val="7"/>
          <c:tx>
            <c:strRef>
              <c:f>Summary!$B$143</c:f>
              <c:strCache>
                <c:ptCount val="1"/>
                <c:pt idx="0">
                  <c:v>400G</c:v>
                </c:pt>
              </c:strCache>
            </c:strRef>
          </c:tx>
          <c:marker>
            <c:symbol val="circle"/>
            <c:size val="5"/>
          </c:marker>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Summary!$C$143:$M$143</c:f>
              <c:numCache>
                <c:formatCode>_("$"* #,##0_);_("$"* \(#,##0\);_("$"* "-"??_);_(@_)</c:formatCode>
                <c:ptCount val="11"/>
                <c:pt idx="1">
                  <c:v>1.3482999999999998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7-547B-AE46-A98C-233E0A537257}"/>
            </c:ext>
          </c:extLst>
        </c:ser>
        <c:ser>
          <c:idx val="8"/>
          <c:order val="8"/>
          <c:tx>
            <c:strRef>
              <c:f>Summary!$B$144</c:f>
              <c:strCache>
                <c:ptCount val="1"/>
                <c:pt idx="0">
                  <c:v>800G</c:v>
                </c:pt>
              </c:strCache>
            </c:strRef>
          </c:tx>
          <c:spPr>
            <a:ln>
              <a:solidFill>
                <a:srgbClr val="00B050"/>
              </a:solidFill>
            </a:ln>
          </c:spPr>
          <c:marker>
            <c:spPr>
              <a:ln>
                <a:solidFill>
                  <a:srgbClr val="00B050"/>
                </a:solidFill>
              </a:ln>
            </c:spPr>
          </c:marker>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Summary!$C$144:$M$144</c:f>
              <c:numCache>
                <c:formatCode>_("$"* #,##0_);_("$"* \(#,##0\);_("$"* "-"??_);_(@_)</c:formatCode>
                <c:ptCount val="11"/>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39BF-9C49-9DC9-C031F2F3D5A6}"/>
            </c:ext>
          </c:extLst>
        </c:ser>
        <c:dLbls>
          <c:showLegendKey val="0"/>
          <c:showVal val="0"/>
          <c:showCatName val="0"/>
          <c:showSerName val="0"/>
          <c:showPercent val="0"/>
          <c:showBubbleSize val="0"/>
        </c:dLbls>
        <c:marker val="1"/>
        <c:smooth val="0"/>
        <c:axId val="218700032"/>
        <c:axId val="218718592"/>
      </c:lineChart>
      <c:catAx>
        <c:axId val="218700032"/>
        <c:scaling>
          <c:orientation val="minMax"/>
        </c:scaling>
        <c:delete val="0"/>
        <c:axPos val="b"/>
        <c:numFmt formatCode="General" sourceLinked="1"/>
        <c:majorTickMark val="out"/>
        <c:minorTickMark val="none"/>
        <c:tickLblPos val="nextTo"/>
        <c:txPr>
          <a:bodyPr/>
          <a:lstStyle/>
          <a:p>
            <a:pPr>
              <a:defRPr sz="1000"/>
            </a:pPr>
            <a:endParaRPr lang="en-US"/>
          </a:p>
        </c:txPr>
        <c:crossAx val="218718592"/>
        <c:crosses val="autoZero"/>
        <c:auto val="1"/>
        <c:lblAlgn val="ctr"/>
        <c:lblOffset val="100"/>
        <c:noMultiLvlLbl val="0"/>
      </c:catAx>
      <c:valAx>
        <c:axId val="218718592"/>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2989953841976652E-2"/>
              <c:y val="0.29664731908511432"/>
            </c:manualLayout>
          </c:layout>
          <c:overlay val="0"/>
        </c:title>
        <c:numFmt formatCode="&quot;$&quot;#,##0" sourceLinked="0"/>
        <c:majorTickMark val="out"/>
        <c:minorTickMark val="none"/>
        <c:tickLblPos val="nextTo"/>
        <c:txPr>
          <a:bodyPr/>
          <a:lstStyle/>
          <a:p>
            <a:pPr>
              <a:defRPr sz="1000"/>
            </a:pPr>
            <a:endParaRPr lang="en-US"/>
          </a:p>
        </c:txPr>
        <c:crossAx val="218700032"/>
        <c:crosses val="autoZero"/>
        <c:crossBetween val="between"/>
      </c:valAx>
    </c:plotArea>
    <c:legend>
      <c:legendPos val="t"/>
      <c:layout>
        <c:manualLayout>
          <c:xMode val="edge"/>
          <c:yMode val="edge"/>
          <c:x val="0.14274339528478736"/>
          <c:y val="2.8516512568415336E-2"/>
          <c:w val="0.82911242374422611"/>
          <c:h val="0.10153136030409991"/>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5112669101194"/>
          <c:y val="4.8926798303271499E-2"/>
          <c:w val="0.84329278936412511"/>
          <c:h val="0.83523387724274645"/>
        </c:manualLayout>
      </c:layout>
      <c:lineChart>
        <c:grouping val="standard"/>
        <c:varyColors val="0"/>
        <c:ser>
          <c:idx val="0"/>
          <c:order val="0"/>
          <c:tx>
            <c:strRef>
              <c:f>Summary!$B$458</c:f>
              <c:strCache>
                <c:ptCount val="1"/>
                <c:pt idx="0">
                  <c:v>40G Long Reach</c:v>
                </c:pt>
              </c:strCache>
            </c:strRef>
          </c:tx>
          <c:marker>
            <c:symbol val="none"/>
          </c:marker>
          <c:cat>
            <c:multiLvlStrRef>
              <c:f>Summary!$C$647:$M$648</c:f>
              <c:multiLvlStrCache>
                <c:ptCount val="11"/>
                <c:lvl>
                  <c:pt idx="0">
                    <c:v>2016</c:v>
                  </c:pt>
                  <c:pt idx="1">
                    <c:v>2017</c:v>
                  </c:pt>
                  <c:pt idx="2">
                    <c:v>2018</c:v>
                  </c:pt>
                  <c:pt idx="3">
                    <c:v>2019</c:v>
                  </c:pt>
                  <c:pt idx="4">
                    <c:v>2020</c:v>
                  </c:pt>
                  <c:pt idx="5">
                    <c:v>2021</c:v>
                  </c:pt>
                  <c:pt idx="6">
                    <c:v>2022</c:v>
                  </c:pt>
                  <c:pt idx="7">
                    <c:v>2023</c:v>
                  </c:pt>
                  <c:pt idx="8">
                    <c:v>2024</c:v>
                  </c:pt>
                  <c:pt idx="9">
                    <c:v>2025</c:v>
                  </c:pt>
                  <c:pt idx="10">
                    <c:v>2026</c:v>
                  </c:pt>
                </c:lvl>
                <c:lvl>
                  <c:pt idx="0">
                    <c:v> -   </c:v>
                  </c:pt>
                  <c:pt idx="1">
                    <c:v> -   </c:v>
                  </c:pt>
                  <c:pt idx="2">
                    <c:v> -   </c:v>
                  </c:pt>
                  <c:pt idx="3">
                    <c:v> -   </c:v>
                  </c:pt>
                  <c:pt idx="4">
                    <c:v> -   </c:v>
                  </c:pt>
                  <c:pt idx="5">
                    <c:v> -   </c:v>
                  </c:pt>
                  <c:pt idx="6">
                    <c:v> -   </c:v>
                  </c:pt>
                  <c:pt idx="7">
                    <c:v> -   </c:v>
                  </c:pt>
                  <c:pt idx="8">
                    <c:v> -   </c:v>
                  </c:pt>
                  <c:pt idx="9">
                    <c:v> -   </c:v>
                  </c:pt>
                  <c:pt idx="10">
                    <c:v> -   </c:v>
                  </c:pt>
                </c:lvl>
              </c:multiLvlStrCache>
            </c:multiLvlStrRef>
          </c:cat>
          <c:val>
            <c:numRef>
              <c:f>Summary!$C$458:$M$458</c:f>
              <c:numCache>
                <c:formatCode>_("$"* #,##0_);_("$"* \(#,##0\);_("$"* "-"??_);_(@_)</c:formatCode>
                <c:ptCount val="11"/>
                <c:pt idx="0">
                  <c:v>543.18302465326565</c:v>
                </c:pt>
                <c:pt idx="1">
                  <c:v>622.557507768861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9CA1-244F-B3B8-DA25374BEE5C}"/>
            </c:ext>
          </c:extLst>
        </c:ser>
        <c:ser>
          <c:idx val="1"/>
          <c:order val="1"/>
          <c:tx>
            <c:strRef>
              <c:f>Summary!$B$409</c:f>
              <c:strCache>
                <c:ptCount val="1"/>
                <c:pt idx="0">
                  <c:v>40G Short Reach</c:v>
                </c:pt>
              </c:strCache>
            </c:strRef>
          </c:tx>
          <c:marker>
            <c:symbol val="none"/>
          </c:marker>
          <c:cat>
            <c:multiLvlStrRef>
              <c:f>Summary!$C$647:$M$648</c:f>
              <c:multiLvlStrCache>
                <c:ptCount val="11"/>
                <c:lvl>
                  <c:pt idx="0">
                    <c:v>2016</c:v>
                  </c:pt>
                  <c:pt idx="1">
                    <c:v>2017</c:v>
                  </c:pt>
                  <c:pt idx="2">
                    <c:v>2018</c:v>
                  </c:pt>
                  <c:pt idx="3">
                    <c:v>2019</c:v>
                  </c:pt>
                  <c:pt idx="4">
                    <c:v>2020</c:v>
                  </c:pt>
                  <c:pt idx="5">
                    <c:v>2021</c:v>
                  </c:pt>
                  <c:pt idx="6">
                    <c:v>2022</c:v>
                  </c:pt>
                  <c:pt idx="7">
                    <c:v>2023</c:v>
                  </c:pt>
                  <c:pt idx="8">
                    <c:v>2024</c:v>
                  </c:pt>
                  <c:pt idx="9">
                    <c:v>2025</c:v>
                  </c:pt>
                  <c:pt idx="10">
                    <c:v>2026</c:v>
                  </c:pt>
                </c:lvl>
                <c:lvl>
                  <c:pt idx="0">
                    <c:v> -   </c:v>
                  </c:pt>
                  <c:pt idx="1">
                    <c:v> -   </c:v>
                  </c:pt>
                  <c:pt idx="2">
                    <c:v> -   </c:v>
                  </c:pt>
                  <c:pt idx="3">
                    <c:v> -   </c:v>
                  </c:pt>
                  <c:pt idx="4">
                    <c:v> -   </c:v>
                  </c:pt>
                  <c:pt idx="5">
                    <c:v> -   </c:v>
                  </c:pt>
                  <c:pt idx="6">
                    <c:v> -   </c:v>
                  </c:pt>
                  <c:pt idx="7">
                    <c:v> -   </c:v>
                  </c:pt>
                  <c:pt idx="8">
                    <c:v> -   </c:v>
                  </c:pt>
                  <c:pt idx="9">
                    <c:v> -   </c:v>
                  </c:pt>
                  <c:pt idx="10">
                    <c:v> -   </c:v>
                  </c:pt>
                </c:lvl>
              </c:multiLvlStrCache>
            </c:multiLvlStrRef>
          </c:cat>
          <c:val>
            <c:numRef>
              <c:f>Summary!$C$409:$M$409</c:f>
              <c:numCache>
                <c:formatCode>_("$"* #,##0_);_("$"* \(#,##0\);_("$"* "-"??_);_(@_)</c:formatCode>
                <c:ptCount val="11"/>
                <c:pt idx="0">
                  <c:v>244.74994551888886</c:v>
                </c:pt>
                <c:pt idx="1">
                  <c:v>281.72000787334071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9CA1-244F-B3B8-DA25374BEE5C}"/>
            </c:ext>
          </c:extLst>
        </c:ser>
        <c:dLbls>
          <c:showLegendKey val="0"/>
          <c:showVal val="0"/>
          <c:showCatName val="0"/>
          <c:showSerName val="0"/>
          <c:showPercent val="0"/>
          <c:showBubbleSize val="0"/>
        </c:dLbls>
        <c:marker val="1"/>
        <c:smooth val="0"/>
        <c:axId val="231806080"/>
        <c:axId val="231807616"/>
      </c:lineChart>
      <c:catAx>
        <c:axId val="231806080"/>
        <c:scaling>
          <c:orientation val="minMax"/>
        </c:scaling>
        <c:delete val="0"/>
        <c:axPos val="b"/>
        <c:numFmt formatCode="General" sourceLinked="1"/>
        <c:majorTickMark val="out"/>
        <c:minorTickMark val="none"/>
        <c:tickLblPos val="nextTo"/>
        <c:txPr>
          <a:bodyPr/>
          <a:lstStyle/>
          <a:p>
            <a:pPr>
              <a:defRPr sz="1200"/>
            </a:pPr>
            <a:endParaRPr lang="en-US"/>
          </a:p>
        </c:txPr>
        <c:crossAx val="231807616"/>
        <c:crosses val="autoZero"/>
        <c:auto val="1"/>
        <c:lblAlgn val="ctr"/>
        <c:lblOffset val="100"/>
        <c:noMultiLvlLbl val="0"/>
      </c:catAx>
      <c:valAx>
        <c:axId val="231807616"/>
        <c:scaling>
          <c:orientation val="minMax"/>
        </c:scaling>
        <c:delete val="0"/>
        <c:axPos val="l"/>
        <c:majorGridlines/>
        <c:title>
          <c:tx>
            <c:rich>
              <a:bodyPr rot="-5400000" vert="horz"/>
              <a:lstStyle/>
              <a:p>
                <a:pPr>
                  <a:defRPr sz="1400"/>
                </a:pPr>
                <a:r>
                  <a:rPr lang="en-US" sz="1400"/>
                  <a:t>Annual sales ($ mn)</a:t>
                </a:r>
              </a:p>
            </c:rich>
          </c:tx>
          <c:overlay val="0"/>
        </c:title>
        <c:numFmt formatCode="_(&quot;$&quot;* #,##0_);_(&quot;$&quot;* \(#,##0\);_(&quot;$&quot;* &quot;-&quot;??_);_(@_)" sourceLinked="1"/>
        <c:majorTickMark val="out"/>
        <c:minorTickMark val="none"/>
        <c:tickLblPos val="nextTo"/>
        <c:txPr>
          <a:bodyPr/>
          <a:lstStyle/>
          <a:p>
            <a:pPr>
              <a:defRPr sz="1200"/>
            </a:pPr>
            <a:endParaRPr lang="en-US"/>
          </a:p>
        </c:txPr>
        <c:crossAx val="231806080"/>
        <c:crosses val="autoZero"/>
        <c:crossBetween val="between"/>
      </c:valAx>
    </c:plotArea>
    <c:legend>
      <c:legendPos val="t"/>
      <c:layout>
        <c:manualLayout>
          <c:xMode val="edge"/>
          <c:yMode val="edge"/>
          <c:x val="0.73765449114890003"/>
          <c:y val="7.9436647585129722E-2"/>
          <c:w val="0.23424604621235548"/>
          <c:h val="0.1678959640868860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67291080546836"/>
          <c:y val="6.0979003054420146E-2"/>
          <c:w val="0.82741332345511853"/>
          <c:h val="0.83064707120677872"/>
        </c:manualLayout>
      </c:layout>
      <c:lineChart>
        <c:grouping val="standard"/>
        <c:varyColors val="0"/>
        <c:ser>
          <c:idx val="0"/>
          <c:order val="0"/>
          <c:tx>
            <c:strRef>
              <c:f>Summary!$B$119</c:f>
              <c:strCache>
                <c:ptCount val="1"/>
                <c:pt idx="0">
                  <c:v>1G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Summary!$C$119:$M$119</c:f>
              <c:numCache>
                <c:formatCode>_(* #,##0_);_(* \(#,##0\);_(* "-"??_);_(@_)</c:formatCode>
                <c:ptCount val="11"/>
                <c:pt idx="0">
                  <c:v>13567410.105</c:v>
                </c:pt>
                <c:pt idx="1">
                  <c:v>11273695.050000001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Summary!$C$120:$M$120</c:f>
              <c:numCache>
                <c:formatCode>_(* #,##0_);_(* \(#,##0\);_(* "-"??_);_(@_)</c:formatCode>
                <c:ptCount val="11"/>
                <c:pt idx="0">
                  <c:v>18516818.93</c:v>
                </c:pt>
                <c:pt idx="1">
                  <c:v>19945022.100000001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563D-9542-A559-C232ED949B76}"/>
            </c:ext>
          </c:extLst>
        </c:ser>
        <c:ser>
          <c:idx val="4"/>
          <c:order val="2"/>
          <c:tx>
            <c:strRef>
              <c:f>Summary!$B$121</c:f>
              <c:strCache>
                <c:ptCount val="1"/>
                <c:pt idx="0">
                  <c:v>25G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Summary!$C$121:$M$121</c:f>
              <c:numCache>
                <c:formatCode>_(* #,##0_);_(* \(#,##0\);_(* "-"??_);_(@_)</c:formatCode>
                <c:ptCount val="11"/>
                <c:pt idx="0">
                  <c:v>11694</c:v>
                </c:pt>
                <c:pt idx="1">
                  <c:v>113327</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563D-9542-A559-C232ED949B76}"/>
            </c:ext>
          </c:extLst>
        </c:ser>
        <c:ser>
          <c:idx val="2"/>
          <c:order val="3"/>
          <c:tx>
            <c:strRef>
              <c:f>Summary!$B$122</c:f>
              <c:strCache>
                <c:ptCount val="1"/>
                <c:pt idx="0">
                  <c:v>40G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Summary!$C$122:$M$122</c:f>
              <c:numCache>
                <c:formatCode>_(* #,##0_);_(* \(#,##0\);_(* "-"??_);_(@_)</c:formatCode>
                <c:ptCount val="11"/>
                <c:pt idx="0">
                  <c:v>3153068</c:v>
                </c:pt>
                <c:pt idx="1">
                  <c:v>3864160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563D-9542-A559-C232ED949B76}"/>
            </c:ext>
          </c:extLst>
        </c:ser>
        <c:ser>
          <c:idx val="6"/>
          <c:order val="4"/>
          <c:tx>
            <c:strRef>
              <c:f>Summary!$B$123</c:f>
              <c:strCache>
                <c:ptCount val="1"/>
                <c:pt idx="0">
                  <c:v>50G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Summary!$C$123:$M$123</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563D-9542-A559-C232ED949B76}"/>
            </c:ext>
          </c:extLst>
        </c:ser>
        <c:ser>
          <c:idx val="3"/>
          <c:order val="5"/>
          <c:tx>
            <c:strRef>
              <c:f>Summary!$B$124</c:f>
              <c:strCache>
                <c:ptCount val="1"/>
                <c:pt idx="0">
                  <c:v>100G</c:v>
                </c:pt>
              </c:strCache>
            </c:strRef>
          </c:tx>
          <c:marker>
            <c:symbol val="circle"/>
            <c:size val="5"/>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Summary!$C$124:$M$124</c:f>
              <c:numCache>
                <c:formatCode>_(* #,##0_);_(* \(#,##0\);_(* "-"??_);_(@_)</c:formatCode>
                <c:ptCount val="11"/>
                <c:pt idx="0">
                  <c:v>919370</c:v>
                </c:pt>
                <c:pt idx="1">
                  <c:v>2881490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563D-9542-A559-C232ED949B76}"/>
            </c:ext>
          </c:extLst>
        </c:ser>
        <c:ser>
          <c:idx val="7"/>
          <c:order val="6"/>
          <c:tx>
            <c:strRef>
              <c:f>Summary!$B$125</c:f>
              <c:strCache>
                <c:ptCount val="1"/>
                <c:pt idx="0">
                  <c:v>200G</c:v>
                </c:pt>
              </c:strCache>
            </c:strRef>
          </c:tx>
          <c:marker>
            <c:symbol val="plus"/>
            <c:size val="7"/>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Summary!$C$125:$M$125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6-563D-9542-A559-C232ED949B76}"/>
            </c:ext>
          </c:extLst>
        </c:ser>
        <c:ser>
          <c:idx val="5"/>
          <c:order val="7"/>
          <c:tx>
            <c:strRef>
              <c:f>Summary!$B$126</c:f>
              <c:strCache>
                <c:ptCount val="1"/>
                <c:pt idx="0">
                  <c:v>400G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Summary!$C$126:$M$126</c:f>
              <c:numCache>
                <c:formatCode>_(* #,##0_);_(* \(#,##0\);_(* "-"??_);_(@_)</c:formatCode>
                <c:ptCount val="11"/>
                <c:pt idx="1">
                  <c:v>89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7-563D-9542-A559-C232ED949B76}"/>
            </c:ext>
          </c:extLst>
        </c:ser>
        <c:ser>
          <c:idx val="8"/>
          <c:order val="8"/>
          <c:tx>
            <c:strRef>
              <c:f>Summary!$B$127</c:f>
              <c:strCache>
                <c:ptCount val="1"/>
                <c:pt idx="0">
                  <c:v>800G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Summary!$C$127:$M$127</c:f>
              <c:numCache>
                <c:formatCode>_(* #,##0_);_(* \(#,##0\);_(* "-"??_);_(@_)</c:formatCode>
                <c:ptCount val="11"/>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D6E9-C844-9D3A-CB9DAF54EC16}"/>
            </c:ext>
          </c:extLst>
        </c:ser>
        <c:ser>
          <c:idx val="9"/>
          <c:order val="9"/>
          <c:tx>
            <c:strRef>
              <c:f>Summary!$B$128</c:f>
              <c:strCache>
                <c:ptCount val="1"/>
                <c:pt idx="0">
                  <c:v>Legacy/discontinued</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Summary!$C$128:$L$128</c:f>
              <c:numCache>
                <c:formatCode>_(* #,##0_);_(* \(#,##0\);_(* "-"??_);_(@_)</c:formatCode>
                <c:ptCount val="10"/>
                <c:pt idx="0">
                  <c:v>265053</c:v>
                </c:pt>
                <c:pt idx="1">
                  <c:v>24329</c:v>
                </c:pt>
                <c:pt idx="2">
                  <c:v>0</c:v>
                </c:pt>
                <c:pt idx="3">
                  <c:v>0</c:v>
                </c:pt>
              </c:numCache>
            </c:numRef>
          </c:val>
          <c:smooth val="0"/>
          <c:extLst xmlns:c16r2="http://schemas.microsoft.com/office/drawing/2015/06/chart">
            <c:ext xmlns:c16="http://schemas.microsoft.com/office/drawing/2014/chart" uri="{C3380CC4-5D6E-409C-BE32-E72D297353CC}">
              <c16:uniqueId val="{00000000-21AD-6846-A175-68A9D68BFFA2}"/>
            </c:ext>
          </c:extLst>
        </c:ser>
        <c:dLbls>
          <c:showLegendKey val="0"/>
          <c:showVal val="0"/>
          <c:showCatName val="0"/>
          <c:showSerName val="0"/>
          <c:showPercent val="0"/>
          <c:showBubbleSize val="0"/>
        </c:dLbls>
        <c:marker val="1"/>
        <c:smooth val="0"/>
        <c:axId val="231888768"/>
        <c:axId val="231890304"/>
      </c:lineChart>
      <c:catAx>
        <c:axId val="231888768"/>
        <c:scaling>
          <c:orientation val="minMax"/>
        </c:scaling>
        <c:delete val="0"/>
        <c:axPos val="b"/>
        <c:numFmt formatCode="General" sourceLinked="1"/>
        <c:majorTickMark val="out"/>
        <c:minorTickMark val="none"/>
        <c:tickLblPos val="nextTo"/>
        <c:txPr>
          <a:bodyPr/>
          <a:lstStyle/>
          <a:p>
            <a:pPr>
              <a:defRPr sz="1000"/>
            </a:pPr>
            <a:endParaRPr lang="en-US"/>
          </a:p>
        </c:txPr>
        <c:crossAx val="231890304"/>
        <c:crosses val="autoZero"/>
        <c:auto val="1"/>
        <c:lblAlgn val="ctr"/>
        <c:lblOffset val="100"/>
        <c:noMultiLvlLbl val="0"/>
      </c:catAx>
      <c:valAx>
        <c:axId val="231890304"/>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5106068934745209E-2"/>
              <c:y val="0.262001642180476"/>
            </c:manualLayout>
          </c:layout>
          <c:overlay val="0"/>
        </c:title>
        <c:numFmt formatCode="_(* #,##0_);_(* \(#,##0\);_(* &quot;-&quot;_);_(@_)" sourceLinked="0"/>
        <c:majorTickMark val="out"/>
        <c:minorTickMark val="none"/>
        <c:tickLblPos val="nextTo"/>
        <c:txPr>
          <a:bodyPr/>
          <a:lstStyle/>
          <a:p>
            <a:pPr>
              <a:defRPr sz="1000"/>
            </a:pPr>
            <a:endParaRPr lang="en-US"/>
          </a:p>
        </c:txPr>
        <c:crossAx val="231888768"/>
        <c:crosses val="autoZero"/>
        <c:crossBetween val="between"/>
      </c:valAx>
    </c:plotArea>
    <c:legend>
      <c:legendPos val="t"/>
      <c:legendEntry>
        <c:idx val="9"/>
        <c:delete val="1"/>
      </c:legendEntry>
      <c:layout>
        <c:manualLayout>
          <c:xMode val="edge"/>
          <c:yMode val="edge"/>
          <c:x val="0.16178868071544675"/>
          <c:y val="1.2215236631493849E-2"/>
          <c:w val="0.78715355163995648"/>
          <c:h val="0.12573749302043571"/>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822725585934734"/>
          <c:y val="4.6898682645905125E-2"/>
          <c:w val="0.8122107487950615"/>
          <c:h val="0.85993743319851479"/>
        </c:manualLayout>
      </c:layout>
      <c:lineChart>
        <c:grouping val="standard"/>
        <c:varyColors val="0"/>
        <c:ser>
          <c:idx val="4"/>
          <c:order val="0"/>
          <c:tx>
            <c:strRef>
              <c:f>Summary!$B$121</c:f>
              <c:strCache>
                <c:ptCount val="1"/>
                <c:pt idx="0">
                  <c:v>25G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Summary!$C$121:$M$121</c:f>
              <c:numCache>
                <c:formatCode>_(* #,##0_);_(* \(#,##0\);_(* "-"??_);_(@_)</c:formatCode>
                <c:ptCount val="11"/>
                <c:pt idx="0">
                  <c:v>11694</c:v>
                </c:pt>
                <c:pt idx="1">
                  <c:v>113327</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94BA-0B4D-98E0-07C373C646A1}"/>
            </c:ext>
          </c:extLst>
        </c:ser>
        <c:ser>
          <c:idx val="2"/>
          <c:order val="1"/>
          <c:tx>
            <c:strRef>
              <c:f>Summary!$B$122</c:f>
              <c:strCache>
                <c:ptCount val="1"/>
                <c:pt idx="0">
                  <c:v>40G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Summary!$C$122:$M$122</c:f>
              <c:numCache>
                <c:formatCode>_(* #,##0_);_(* \(#,##0\);_(* "-"??_);_(@_)</c:formatCode>
                <c:ptCount val="11"/>
                <c:pt idx="0">
                  <c:v>3153068</c:v>
                </c:pt>
                <c:pt idx="1">
                  <c:v>3864160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94BA-0B4D-98E0-07C373C646A1}"/>
            </c:ext>
          </c:extLst>
        </c:ser>
        <c:ser>
          <c:idx val="6"/>
          <c:order val="2"/>
          <c:tx>
            <c:strRef>
              <c:f>Summary!$B$123</c:f>
              <c:strCache>
                <c:ptCount val="1"/>
                <c:pt idx="0">
                  <c:v>50G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Summary!$C$123:$M$123</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94BA-0B4D-98E0-07C373C646A1}"/>
            </c:ext>
          </c:extLst>
        </c:ser>
        <c:ser>
          <c:idx val="7"/>
          <c:order val="3"/>
          <c:tx>
            <c:strRef>
              <c:f>Summary!$B$125</c:f>
              <c:strCache>
                <c:ptCount val="1"/>
                <c:pt idx="0">
                  <c:v>200G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Summary!$C$125:$M$125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94BA-0B4D-98E0-07C373C646A1}"/>
            </c:ext>
          </c:extLst>
        </c:ser>
        <c:ser>
          <c:idx val="5"/>
          <c:order val="4"/>
          <c:tx>
            <c:strRef>
              <c:f>Summary!$B$126</c:f>
              <c:strCache>
                <c:ptCount val="1"/>
                <c:pt idx="0">
                  <c:v>400G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Summary!$C$126:$M$126</c:f>
              <c:numCache>
                <c:formatCode>_(* #,##0_);_(* \(#,##0\);_(* "-"??_);_(@_)</c:formatCode>
                <c:ptCount val="11"/>
                <c:pt idx="1">
                  <c:v>89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94BA-0B4D-98E0-07C373C646A1}"/>
            </c:ext>
          </c:extLst>
        </c:ser>
        <c:ser>
          <c:idx val="0"/>
          <c:order val="5"/>
          <c:tx>
            <c:strRef>
              <c:f>Summary!$B$127</c:f>
              <c:strCache>
                <c:ptCount val="1"/>
                <c:pt idx="0">
                  <c:v>800G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Summary!$C$127:$M$127</c:f>
              <c:numCache>
                <c:formatCode>_(* #,##0_);_(* \(#,##0\);_(* "-"??_);_(@_)</c:formatCode>
                <c:ptCount val="11"/>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94C5-9B41-B692-EA8FCC71FCA5}"/>
            </c:ext>
          </c:extLst>
        </c:ser>
        <c:dLbls>
          <c:showLegendKey val="0"/>
          <c:showVal val="0"/>
          <c:showCatName val="0"/>
          <c:showSerName val="0"/>
          <c:showPercent val="0"/>
          <c:showBubbleSize val="0"/>
        </c:dLbls>
        <c:marker val="1"/>
        <c:smooth val="0"/>
        <c:axId val="231921920"/>
        <c:axId val="232267776"/>
      </c:lineChart>
      <c:catAx>
        <c:axId val="231921920"/>
        <c:scaling>
          <c:orientation val="minMax"/>
        </c:scaling>
        <c:delete val="0"/>
        <c:axPos val="b"/>
        <c:numFmt formatCode="General" sourceLinked="1"/>
        <c:majorTickMark val="out"/>
        <c:minorTickMark val="none"/>
        <c:tickLblPos val="nextTo"/>
        <c:txPr>
          <a:bodyPr/>
          <a:lstStyle/>
          <a:p>
            <a:pPr>
              <a:defRPr sz="1200"/>
            </a:pPr>
            <a:endParaRPr lang="en-US"/>
          </a:p>
        </c:txPr>
        <c:crossAx val="232267776"/>
        <c:crosses val="autoZero"/>
        <c:auto val="1"/>
        <c:lblAlgn val="ctr"/>
        <c:lblOffset val="100"/>
        <c:noMultiLvlLbl val="0"/>
      </c:catAx>
      <c:valAx>
        <c:axId val="232267776"/>
        <c:scaling>
          <c:orientation val="minMax"/>
          <c:min val="0"/>
        </c:scaling>
        <c:delete val="0"/>
        <c:axPos val="l"/>
        <c:majorGridlines/>
        <c:title>
          <c:tx>
            <c:rich>
              <a:bodyPr rot="-5400000" vert="horz"/>
              <a:lstStyle/>
              <a:p>
                <a:pPr>
                  <a:defRPr sz="1400"/>
                </a:pPr>
                <a:r>
                  <a:rPr lang="en-US" sz="1400"/>
                  <a:t>Annual shipments</a:t>
                </a:r>
              </a:p>
            </c:rich>
          </c:tx>
          <c:overlay val="0"/>
        </c:title>
        <c:numFmt formatCode="_(* #,##0_);_(* \(#,##0\);_(* &quot;-&quot;_);_(@_)" sourceLinked="0"/>
        <c:majorTickMark val="out"/>
        <c:minorTickMark val="none"/>
        <c:tickLblPos val="nextTo"/>
        <c:txPr>
          <a:bodyPr/>
          <a:lstStyle/>
          <a:p>
            <a:pPr>
              <a:defRPr sz="1200"/>
            </a:pPr>
            <a:endParaRPr lang="en-US"/>
          </a:p>
        </c:txPr>
        <c:crossAx val="231921920"/>
        <c:crosses val="autoZero"/>
        <c:crossBetween val="between"/>
      </c:valAx>
    </c:plotArea>
    <c:legend>
      <c:legendPos val="t"/>
      <c:layout>
        <c:manualLayout>
          <c:xMode val="edge"/>
          <c:yMode val="edge"/>
          <c:x val="0.18093049114912371"/>
          <c:y val="5.8652668416447944E-2"/>
          <c:w val="0.16732589911676235"/>
          <c:h val="0.38964373571751576"/>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3787438248289"/>
          <c:y val="0.15946952504906389"/>
          <c:w val="0.80023483916626958"/>
          <c:h val="0.75998633644295233"/>
        </c:manualLayout>
      </c:layout>
      <c:lineChart>
        <c:grouping val="standard"/>
        <c:varyColors val="0"/>
        <c:ser>
          <c:idx val="0"/>
          <c:order val="0"/>
          <c:tx>
            <c:strRef>
              <c:f>Summary!$B$209</c:f>
              <c:strCache>
                <c:ptCount val="1"/>
                <c:pt idx="0">
                  <c:v>10G MMF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Summary!$C$209:$M$209</c:f>
              <c:numCache>
                <c:formatCode>_(* #,##0_);_(* \(#,##0\);_(* "-"??_);_(@_)</c:formatCode>
                <c:ptCount val="11"/>
                <c:pt idx="0">
                  <c:v>11471385.93</c:v>
                </c:pt>
                <c:pt idx="1">
                  <c:v>12691744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7D9B-5948-91AF-487D2AB9C4CB}"/>
            </c:ext>
          </c:extLst>
        </c:ser>
        <c:ser>
          <c:idx val="2"/>
          <c:order val="1"/>
          <c:tx>
            <c:strRef>
              <c:f>Summary!$B$210</c:f>
              <c:strCache>
                <c:ptCount val="1"/>
                <c:pt idx="0">
                  <c:v>25G MMF</c:v>
                </c:pt>
              </c:strCache>
            </c:strRef>
          </c:tx>
          <c:spPr>
            <a:ln>
              <a:solidFill>
                <a:schemeClr val="accent2"/>
              </a:solidFill>
            </a:ln>
          </c:spPr>
          <c:marker>
            <c:spPr>
              <a:solidFill>
                <a:schemeClr val="accent2"/>
              </a:solidFill>
              <a:ln>
                <a:solidFill>
                  <a:schemeClr val="accent2"/>
                </a:solidFill>
              </a:ln>
            </c:spPr>
          </c:marker>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Summary!$C$210:$M$210</c:f>
              <c:numCache>
                <c:formatCode>_(* #,##0_);_(* \(#,##0\);_(* "-"??_);_(@_)</c:formatCode>
                <c:ptCount val="11"/>
                <c:pt idx="0">
                  <c:v>7146</c:v>
                </c:pt>
                <c:pt idx="1">
                  <c:v>95865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7D9B-5948-91AF-487D2AB9C4CB}"/>
            </c:ext>
          </c:extLst>
        </c:ser>
        <c:ser>
          <c:idx val="3"/>
          <c:order val="2"/>
          <c:tx>
            <c:strRef>
              <c:f>Summary!$B$211</c:f>
              <c:strCache>
                <c:ptCount val="1"/>
                <c:pt idx="0">
                  <c:v>40G MMF</c:v>
                </c:pt>
              </c:strCache>
            </c:strRef>
          </c:tx>
          <c:spPr>
            <a:ln>
              <a:solidFill>
                <a:schemeClr val="accent3"/>
              </a:solidFill>
            </a:ln>
          </c:spPr>
          <c:marker>
            <c:spPr>
              <a:solidFill>
                <a:schemeClr val="accent3"/>
              </a:solidFill>
              <a:ln>
                <a:solidFill>
                  <a:schemeClr val="accent3"/>
                </a:solidFill>
              </a:ln>
            </c:spPr>
          </c:marker>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Summary!$C$211:$M$211</c:f>
              <c:numCache>
                <c:formatCode>_(* #,##0_);_(* \(#,##0\);_(* "-"??_);_(@_)</c:formatCode>
                <c:ptCount val="11"/>
                <c:pt idx="0">
                  <c:v>1529498</c:v>
                </c:pt>
                <c:pt idx="1">
                  <c:v>2010866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7D9B-5948-91AF-487D2AB9C4CB}"/>
            </c:ext>
          </c:extLst>
        </c:ser>
        <c:ser>
          <c:idx val="5"/>
          <c:order val="3"/>
          <c:tx>
            <c:strRef>
              <c:f>Summary!$B$212</c:f>
              <c:strCache>
                <c:ptCount val="1"/>
                <c:pt idx="0">
                  <c:v>50G MMF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Summary!$C$212:$M$212</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7D9B-5948-91AF-487D2AB9C4CB}"/>
            </c:ext>
          </c:extLst>
        </c:ser>
        <c:ser>
          <c:idx val="1"/>
          <c:order val="4"/>
          <c:tx>
            <c:strRef>
              <c:f>Summary!$B$213</c:f>
              <c:strCache>
                <c:ptCount val="1"/>
                <c:pt idx="0">
                  <c:v>100G MMF</c:v>
                </c:pt>
              </c:strCache>
            </c:strRef>
          </c:tx>
          <c:spPr>
            <a:ln>
              <a:solidFill>
                <a:schemeClr val="accent4"/>
              </a:solidFill>
            </a:ln>
          </c:spPr>
          <c:marker>
            <c:symbol val="square"/>
            <c:size val="5"/>
            <c:spPr>
              <a:solidFill>
                <a:schemeClr val="accent4"/>
              </a:solidFill>
              <a:ln>
                <a:solidFill>
                  <a:schemeClr val="accent4"/>
                </a:solidFill>
              </a:ln>
            </c:spPr>
          </c:marker>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Summary!$C$213:$M$213</c:f>
              <c:numCache>
                <c:formatCode>_(* #,##0_);_(* \(#,##0\);_(* "-"??_);_(@_)</c:formatCode>
                <c:ptCount val="11"/>
                <c:pt idx="0">
                  <c:v>299241</c:v>
                </c:pt>
                <c:pt idx="1">
                  <c:v>631974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7D9B-5948-91AF-487D2AB9C4CB}"/>
            </c:ext>
          </c:extLst>
        </c:ser>
        <c:ser>
          <c:idx val="6"/>
          <c:order val="5"/>
          <c:tx>
            <c:strRef>
              <c:f>Summary!$B$214</c:f>
              <c:strCache>
                <c:ptCount val="1"/>
                <c:pt idx="0">
                  <c:v>200G MMF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Summary!$C$214:$M$214</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7D9B-5948-91AF-487D2AB9C4CB}"/>
            </c:ext>
          </c:extLst>
        </c:ser>
        <c:ser>
          <c:idx val="4"/>
          <c:order val="6"/>
          <c:tx>
            <c:strRef>
              <c:f>Summary!$B$215</c:f>
              <c:strCache>
                <c:ptCount val="1"/>
                <c:pt idx="0">
                  <c:v>400G MMF</c:v>
                </c:pt>
              </c:strCache>
            </c:strRef>
          </c:tx>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Summary!$C$215:$M$215</c:f>
              <c:numCache>
                <c:formatCode>_(* #,##0_);_(* \(#,##0\);_(* "-"??_);_(@_)</c:formatCode>
                <c:ptCount val="11"/>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6-7D9B-5948-91AF-487D2AB9C4CB}"/>
            </c:ext>
          </c:extLst>
        </c:ser>
        <c:ser>
          <c:idx val="7"/>
          <c:order val="7"/>
          <c:tx>
            <c:strRef>
              <c:f>Summary!$B$216</c:f>
              <c:strCache>
                <c:ptCount val="1"/>
                <c:pt idx="0">
                  <c:v>800G MMF</c:v>
                </c:pt>
              </c:strCache>
            </c:strRef>
          </c:tx>
          <c:spPr>
            <a:ln>
              <a:solidFill>
                <a:srgbClr val="00B050"/>
              </a:solidFill>
            </a:ln>
          </c:spPr>
          <c:marker>
            <c:spPr>
              <a:ln>
                <a:solidFill>
                  <a:srgbClr val="00B050"/>
                </a:solidFill>
              </a:ln>
            </c:spPr>
          </c:marker>
          <c:cat>
            <c:numRef>
              <c:f>Summary!$C$206:$M$206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Summary!$C$216:$M$216</c:f>
              <c:numCache>
                <c:formatCode>_(* #,##0_);_(* \(#,##0\);_(* "-"??_);_(@_)</c:formatCode>
                <c:ptCount val="11"/>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F2BC-CA4D-8284-FD54473393F3}"/>
            </c:ext>
          </c:extLst>
        </c:ser>
        <c:dLbls>
          <c:showLegendKey val="0"/>
          <c:showVal val="0"/>
          <c:showCatName val="0"/>
          <c:showSerName val="0"/>
          <c:showPercent val="0"/>
          <c:showBubbleSize val="0"/>
        </c:dLbls>
        <c:marker val="1"/>
        <c:smooth val="0"/>
        <c:axId val="232317696"/>
        <c:axId val="232319616"/>
      </c:lineChart>
      <c:catAx>
        <c:axId val="232317696"/>
        <c:scaling>
          <c:orientation val="minMax"/>
        </c:scaling>
        <c:delete val="0"/>
        <c:axPos val="b"/>
        <c:numFmt formatCode="General" sourceLinked="1"/>
        <c:majorTickMark val="out"/>
        <c:minorTickMark val="none"/>
        <c:tickLblPos val="nextTo"/>
        <c:txPr>
          <a:bodyPr/>
          <a:lstStyle/>
          <a:p>
            <a:pPr>
              <a:defRPr sz="1000"/>
            </a:pPr>
            <a:endParaRPr lang="en-US"/>
          </a:p>
        </c:txPr>
        <c:crossAx val="232319616"/>
        <c:crosses val="autoZero"/>
        <c:auto val="1"/>
        <c:lblAlgn val="ctr"/>
        <c:lblOffset val="100"/>
        <c:noMultiLvlLbl val="0"/>
      </c:catAx>
      <c:valAx>
        <c:axId val="232319616"/>
        <c:scaling>
          <c:orientation val="minMax"/>
          <c:max val="16100000.000000002"/>
          <c:min val="0"/>
        </c:scaling>
        <c:delete val="0"/>
        <c:axPos val="l"/>
        <c:majorGridlines/>
        <c:title>
          <c:tx>
            <c:rich>
              <a:bodyPr/>
              <a:lstStyle/>
              <a:p>
                <a:pPr>
                  <a:defRPr sz="1200"/>
                </a:pPr>
                <a:r>
                  <a:rPr lang="en-US" sz="1200"/>
                  <a:t>Shipments  (Units)</a:t>
                </a:r>
              </a:p>
            </c:rich>
          </c:tx>
          <c:layout>
            <c:manualLayout>
              <c:xMode val="edge"/>
              <c:yMode val="edge"/>
              <c:x val="2.3858004730599205E-2"/>
              <c:y val="0.3638878080567054"/>
            </c:manualLayout>
          </c:layout>
          <c:overlay val="0"/>
        </c:title>
        <c:numFmt formatCode="_(* #,##0_);_(* \(#,##0\);_(* &quot;-&quot;??_);_(@_)" sourceLinked="1"/>
        <c:majorTickMark val="out"/>
        <c:minorTickMark val="none"/>
        <c:tickLblPos val="nextTo"/>
        <c:txPr>
          <a:bodyPr/>
          <a:lstStyle/>
          <a:p>
            <a:pPr>
              <a:defRPr sz="1000"/>
            </a:pPr>
            <a:endParaRPr lang="en-US"/>
          </a:p>
        </c:txPr>
        <c:crossAx val="232317696"/>
        <c:crosses val="autoZero"/>
        <c:crossBetween val="between"/>
        <c:majorUnit val="2000000"/>
        <c:minorUnit val="400000"/>
      </c:valAx>
    </c:plotArea>
    <c:legend>
      <c:legendPos val="t"/>
      <c:layout>
        <c:manualLayout>
          <c:xMode val="edge"/>
          <c:yMode val="edge"/>
          <c:x val="6.9899071693879392E-2"/>
          <c:y val="2.0774375891035448E-2"/>
          <c:w val="0.930100991056104"/>
          <c:h val="0.1145081989249437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9531843387173"/>
          <c:y val="7.7846691134860702E-2"/>
          <c:w val="0.78363960724145587"/>
          <c:h val="0.83596598166502289"/>
        </c:manualLayout>
      </c:layout>
      <c:lineChart>
        <c:grouping val="standard"/>
        <c:varyColors val="0"/>
        <c:ser>
          <c:idx val="0"/>
          <c:order val="0"/>
          <c:tx>
            <c:strRef>
              <c:f>Summary!$B$396</c:f>
              <c:strCache>
                <c:ptCount val="1"/>
                <c:pt idx="0">
                  <c:v>100 m  40G QSFP+</c:v>
                </c:pt>
              </c:strCache>
            </c:strRef>
          </c:tx>
          <c:cat>
            <c:numRef>
              <c:f>Summary!$C$395:$M$395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Summary!$C$396:$M$396</c:f>
              <c:numCache>
                <c:formatCode>_(* #,##0_);_(* \(#,##0\);_(* "-"??_);_(@_)</c:formatCode>
                <c:ptCount val="11"/>
                <c:pt idx="0">
                  <c:v>639935</c:v>
                </c:pt>
                <c:pt idx="1">
                  <c:v>793812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9E06-204F-86DE-535927CCF1D0}"/>
            </c:ext>
          </c:extLst>
        </c:ser>
        <c:ser>
          <c:idx val="2"/>
          <c:order val="1"/>
          <c:tx>
            <c:strRef>
              <c:f>Summary!$B$397</c:f>
              <c:strCache>
                <c:ptCount val="1"/>
                <c:pt idx="0">
                  <c:v>100 m  40G MM duplex</c:v>
                </c:pt>
              </c:strCache>
            </c:strRef>
          </c:tx>
          <c:cat>
            <c:numRef>
              <c:f>Summary!$C$395:$M$395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Summary!$C$397:$M$397</c:f>
              <c:numCache>
                <c:formatCode>_(* #,##0_);_(* \(#,##0\);_(* "-"??_);_(@_)</c:formatCode>
                <c:ptCount val="11"/>
                <c:pt idx="0">
                  <c:v>614294</c:v>
                </c:pt>
                <c:pt idx="1">
                  <c:v>750519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9E06-204F-86DE-535927CCF1D0}"/>
            </c:ext>
          </c:extLst>
        </c:ser>
        <c:ser>
          <c:idx val="1"/>
          <c:order val="2"/>
          <c:tx>
            <c:strRef>
              <c:f>Summary!$B$398</c:f>
              <c:strCache>
                <c:ptCount val="1"/>
                <c:pt idx="0">
                  <c:v>300 m  40 G eSR QSFP+</c:v>
                </c:pt>
              </c:strCache>
            </c:strRef>
          </c:tx>
          <c:cat>
            <c:numRef>
              <c:f>Summary!$C$395:$M$395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Summary!$C$398:$M$398</c:f>
              <c:numCache>
                <c:formatCode>_(* #,##0_);_(* \(#,##0\);_(* "-"??_);_(@_)</c:formatCode>
                <c:ptCount val="11"/>
                <c:pt idx="0">
                  <c:v>275269</c:v>
                </c:pt>
                <c:pt idx="1">
                  <c:v>466535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9E06-204F-86DE-535927CCF1D0}"/>
            </c:ext>
          </c:extLst>
        </c:ser>
        <c:dLbls>
          <c:showLegendKey val="0"/>
          <c:showVal val="0"/>
          <c:showCatName val="0"/>
          <c:showSerName val="0"/>
          <c:showPercent val="0"/>
          <c:showBubbleSize val="0"/>
        </c:dLbls>
        <c:marker val="1"/>
        <c:smooth val="0"/>
        <c:axId val="232338944"/>
        <c:axId val="232340480"/>
      </c:lineChart>
      <c:catAx>
        <c:axId val="232338944"/>
        <c:scaling>
          <c:orientation val="minMax"/>
        </c:scaling>
        <c:delete val="0"/>
        <c:axPos val="b"/>
        <c:numFmt formatCode="General" sourceLinked="1"/>
        <c:majorTickMark val="out"/>
        <c:minorTickMark val="none"/>
        <c:tickLblPos val="nextTo"/>
        <c:txPr>
          <a:bodyPr/>
          <a:lstStyle/>
          <a:p>
            <a:pPr>
              <a:defRPr sz="1050"/>
            </a:pPr>
            <a:endParaRPr lang="en-US"/>
          </a:p>
        </c:txPr>
        <c:crossAx val="232340480"/>
        <c:crosses val="autoZero"/>
        <c:auto val="1"/>
        <c:lblAlgn val="ctr"/>
        <c:lblOffset val="100"/>
        <c:noMultiLvlLbl val="0"/>
      </c:catAx>
      <c:valAx>
        <c:axId val="232340480"/>
        <c:scaling>
          <c:orientation val="minMax"/>
          <c:max val="1000000"/>
          <c:min val="0"/>
        </c:scaling>
        <c:delete val="0"/>
        <c:axPos val="l"/>
        <c:majorGridlines/>
        <c:title>
          <c:tx>
            <c:rich>
              <a:bodyPr rot="-5400000" vert="horz"/>
              <a:lstStyle/>
              <a:p>
                <a:pPr>
                  <a:defRPr sz="1400"/>
                </a:pPr>
                <a:r>
                  <a:rPr lang="en-US" sz="1400"/>
                  <a:t>Annual shipments</a:t>
                </a:r>
              </a:p>
            </c:rich>
          </c:tx>
          <c:overlay val="0"/>
        </c:title>
        <c:numFmt formatCode="#,##0" sourceLinked="0"/>
        <c:majorTickMark val="out"/>
        <c:minorTickMark val="none"/>
        <c:tickLblPos val="nextTo"/>
        <c:txPr>
          <a:bodyPr/>
          <a:lstStyle/>
          <a:p>
            <a:pPr>
              <a:defRPr sz="1200"/>
            </a:pPr>
            <a:endParaRPr lang="en-US"/>
          </a:p>
        </c:txPr>
        <c:crossAx val="232338944"/>
        <c:crosses val="autoZero"/>
        <c:crossBetween val="between"/>
        <c:majorUnit val="200000"/>
        <c:minorUnit val="40000"/>
      </c:valAx>
    </c:plotArea>
    <c:legend>
      <c:legendPos val="t"/>
      <c:layout>
        <c:manualLayout>
          <c:xMode val="edge"/>
          <c:yMode val="edge"/>
          <c:x val="0.68327809805522721"/>
          <c:y val="8.5192969975262337E-2"/>
          <c:w val="0.28291640990237549"/>
          <c:h val="0.19249656421284098"/>
        </c:manualLayout>
      </c:layout>
      <c:overlay val="0"/>
      <c:spPr>
        <a:solidFill>
          <a:schemeClr val="bg1"/>
        </a:solidFill>
        <a:ln>
          <a:solidFill>
            <a:schemeClr val="tx1"/>
          </a:solidFill>
        </a:ln>
      </c:spPr>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65185017536857"/>
          <c:y val="4.437445319335083E-2"/>
          <c:w val="0.85792760567452775"/>
          <c:h val="0.86403869827235957"/>
        </c:manualLayout>
      </c:layout>
      <c:barChart>
        <c:barDir val="col"/>
        <c:grouping val="stacked"/>
        <c:varyColors val="0"/>
        <c:ser>
          <c:idx val="0"/>
          <c:order val="0"/>
          <c:tx>
            <c:strRef>
              <c:f>Summary!$B$156</c:f>
              <c:strCache>
                <c:ptCount val="1"/>
                <c:pt idx="0">
                  <c:v>100G &amp; below</c:v>
                </c:pt>
              </c:strCache>
            </c:strRef>
          </c:tx>
          <c:invertIfNegative val="0"/>
          <c:cat>
            <c:numRef>
              <c:f>Summary!$C$155:$M$155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Summary!$C$156:$M$156</c:f>
              <c:numCache>
                <c:formatCode>_("$"* #,##0_);_("$"* \(#,##0\);_("$"* "-"??_);_(@_)</c:formatCode>
                <c:ptCount val="11"/>
                <c:pt idx="0">
                  <c:v>2677.5690986151867</c:v>
                </c:pt>
                <c:pt idx="1">
                  <c:v>3174.6712260887743</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FD65-1F4A-9073-3D899F10AD6F}"/>
            </c:ext>
          </c:extLst>
        </c:ser>
        <c:ser>
          <c:idx val="1"/>
          <c:order val="1"/>
          <c:tx>
            <c:strRef>
              <c:f>Summary!$B$157</c:f>
              <c:strCache>
                <c:ptCount val="1"/>
                <c:pt idx="0">
                  <c:v>200G &amp; above</c:v>
                </c:pt>
              </c:strCache>
            </c:strRef>
          </c:tx>
          <c:invertIfNegative val="0"/>
          <c:cat>
            <c:numRef>
              <c:f>Summary!$C$155:$M$155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Summary!$C$157:$M$157</c:f>
              <c:numCache>
                <c:formatCode>_("$"* #,##0_);_("$"* \(#,##0\);_("$"* "-"??_);_(@_)</c:formatCode>
                <c:ptCount val="11"/>
                <c:pt idx="0">
                  <c:v>0</c:v>
                </c:pt>
                <c:pt idx="1">
                  <c:v>1.3482999999999998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FD65-1F4A-9073-3D899F10AD6F}"/>
            </c:ext>
          </c:extLst>
        </c:ser>
        <c:dLbls>
          <c:showLegendKey val="0"/>
          <c:showVal val="0"/>
          <c:showCatName val="0"/>
          <c:showSerName val="0"/>
          <c:showPercent val="0"/>
          <c:showBubbleSize val="0"/>
        </c:dLbls>
        <c:gapWidth val="150"/>
        <c:overlap val="100"/>
        <c:axId val="232723200"/>
        <c:axId val="232724736"/>
      </c:barChart>
      <c:catAx>
        <c:axId val="232723200"/>
        <c:scaling>
          <c:orientation val="minMax"/>
        </c:scaling>
        <c:delete val="0"/>
        <c:axPos val="b"/>
        <c:numFmt formatCode="General" sourceLinked="1"/>
        <c:majorTickMark val="out"/>
        <c:minorTickMark val="none"/>
        <c:tickLblPos val="nextTo"/>
        <c:txPr>
          <a:bodyPr/>
          <a:lstStyle/>
          <a:p>
            <a:pPr>
              <a:defRPr sz="1200"/>
            </a:pPr>
            <a:endParaRPr lang="en-US"/>
          </a:p>
        </c:txPr>
        <c:crossAx val="232724736"/>
        <c:crosses val="autoZero"/>
        <c:auto val="1"/>
        <c:lblAlgn val="ctr"/>
        <c:lblOffset val="100"/>
        <c:noMultiLvlLbl val="0"/>
      </c:catAx>
      <c:valAx>
        <c:axId val="232724736"/>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5.5310462085552698E-3"/>
              <c:y val="0.27541095281984951"/>
            </c:manualLayout>
          </c:layout>
          <c:overlay val="0"/>
        </c:title>
        <c:numFmt formatCode="&quot;$&quot;#,##0" sourceLinked="0"/>
        <c:majorTickMark val="out"/>
        <c:minorTickMark val="none"/>
        <c:tickLblPos val="nextTo"/>
        <c:txPr>
          <a:bodyPr/>
          <a:lstStyle/>
          <a:p>
            <a:pPr>
              <a:defRPr sz="1200"/>
            </a:pPr>
            <a:endParaRPr lang="en-US"/>
          </a:p>
        </c:txPr>
        <c:crossAx val="232723200"/>
        <c:crosses val="autoZero"/>
        <c:crossBetween val="between"/>
      </c:valAx>
    </c:plotArea>
    <c:legend>
      <c:legendPos val="t"/>
      <c:layout>
        <c:manualLayout>
          <c:xMode val="edge"/>
          <c:yMode val="edge"/>
          <c:x val="0.19283549769638877"/>
          <c:y val="0.10056285528542498"/>
          <c:w val="0.26891121022419684"/>
          <c:h val="0.27324055387042218"/>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0615423506351"/>
          <c:y val="6.190251394785997E-2"/>
          <c:w val="0.81325480929315752"/>
          <c:h val="0.80162524905012333"/>
        </c:manualLayout>
      </c:layout>
      <c:lineChart>
        <c:grouping val="standard"/>
        <c:varyColors val="0"/>
        <c:ser>
          <c:idx val="4"/>
          <c:order val="0"/>
          <c:tx>
            <c:strRef>
              <c:f>Summary!$B$801</c:f>
              <c:strCache>
                <c:ptCount val="1"/>
                <c:pt idx="0">
                  <c:v>2x200 (400G-SR8)</c:v>
                </c:pt>
              </c:strCache>
            </c:strRef>
          </c:tx>
          <c:cat>
            <c:numRef>
              <c:f>Summary!$H$800:$M$800</c:f>
              <c:numCache>
                <c:formatCode>General</c:formatCode>
                <c:ptCount val="6"/>
                <c:pt idx="0">
                  <c:v>2021</c:v>
                </c:pt>
                <c:pt idx="1">
                  <c:v>2022</c:v>
                </c:pt>
                <c:pt idx="2">
                  <c:v>2023</c:v>
                </c:pt>
                <c:pt idx="3">
                  <c:v>2024</c:v>
                </c:pt>
                <c:pt idx="4">
                  <c:v>2025</c:v>
                </c:pt>
                <c:pt idx="5">
                  <c:v>2026</c:v>
                </c:pt>
              </c:numCache>
            </c:numRef>
          </c:cat>
          <c:val>
            <c:numRef>
              <c:f>Summary!$H$801:$M$801</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9FA8-EB42-B351-4C0ACF768605}"/>
            </c:ext>
          </c:extLst>
        </c:ser>
        <c:ser>
          <c:idx val="2"/>
          <c:order val="1"/>
          <c:tx>
            <c:strRef>
              <c:f>Summary!$B$802</c:f>
              <c:strCache>
                <c:ptCount val="1"/>
                <c:pt idx="0">
                  <c:v>400G SR4.2, SR4</c:v>
                </c:pt>
              </c:strCache>
            </c:strRef>
          </c:tx>
          <c:spPr>
            <a:ln>
              <a:solidFill>
                <a:schemeClr val="accent2"/>
              </a:solidFill>
            </a:ln>
          </c:spPr>
          <c:marker>
            <c:spPr>
              <a:solidFill>
                <a:schemeClr val="accent2"/>
              </a:solidFill>
              <a:ln>
                <a:solidFill>
                  <a:schemeClr val="accent2"/>
                </a:solidFill>
              </a:ln>
            </c:spPr>
          </c:marker>
          <c:cat>
            <c:numRef>
              <c:f>Summary!$H$800:$M$800</c:f>
              <c:numCache>
                <c:formatCode>General</c:formatCode>
                <c:ptCount val="6"/>
                <c:pt idx="0">
                  <c:v>2021</c:v>
                </c:pt>
                <c:pt idx="1">
                  <c:v>2022</c:v>
                </c:pt>
                <c:pt idx="2">
                  <c:v>2023</c:v>
                </c:pt>
                <c:pt idx="3">
                  <c:v>2024</c:v>
                </c:pt>
                <c:pt idx="4">
                  <c:v>2025</c:v>
                </c:pt>
                <c:pt idx="5">
                  <c:v>2026</c:v>
                </c:pt>
              </c:numCache>
            </c:numRef>
          </c:cat>
          <c:val>
            <c:numRef>
              <c:f>Summary!$H$802:$M$802</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28FB-3C42-9AE7-8CFF292F800D}"/>
            </c:ext>
          </c:extLst>
        </c:ser>
        <c:ser>
          <c:idx val="0"/>
          <c:order val="2"/>
          <c:tx>
            <c:strRef>
              <c:f>Summary!$B$803</c:f>
              <c:strCache>
                <c:ptCount val="1"/>
                <c:pt idx="0">
                  <c:v>400G DR4</c:v>
                </c:pt>
              </c:strCache>
            </c:strRef>
          </c:tx>
          <c:cat>
            <c:numRef>
              <c:f>Summary!$H$800:$M$800</c:f>
              <c:numCache>
                <c:formatCode>General</c:formatCode>
                <c:ptCount val="6"/>
                <c:pt idx="0">
                  <c:v>2021</c:v>
                </c:pt>
                <c:pt idx="1">
                  <c:v>2022</c:v>
                </c:pt>
                <c:pt idx="2">
                  <c:v>2023</c:v>
                </c:pt>
                <c:pt idx="3">
                  <c:v>2024</c:v>
                </c:pt>
                <c:pt idx="4">
                  <c:v>2025</c:v>
                </c:pt>
                <c:pt idx="5">
                  <c:v>2026</c:v>
                </c:pt>
              </c:numCache>
            </c:numRef>
          </c:cat>
          <c:val>
            <c:numRef>
              <c:f>Summary!$H$803:$M$803</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28FB-3C42-9AE7-8CFF292F800D}"/>
            </c:ext>
          </c:extLst>
        </c:ser>
        <c:ser>
          <c:idx val="5"/>
          <c:order val="3"/>
          <c:tx>
            <c:strRef>
              <c:f>Summary!$B$804</c:f>
              <c:strCache>
                <c:ptCount val="1"/>
                <c:pt idx="0">
                  <c:v>2x(200G FR4)</c:v>
                </c:pt>
              </c:strCache>
            </c:strRef>
          </c:tx>
          <c:cat>
            <c:numRef>
              <c:f>Summary!$H$800:$M$800</c:f>
              <c:numCache>
                <c:formatCode>General</c:formatCode>
                <c:ptCount val="6"/>
                <c:pt idx="0">
                  <c:v>2021</c:v>
                </c:pt>
                <c:pt idx="1">
                  <c:v>2022</c:v>
                </c:pt>
                <c:pt idx="2">
                  <c:v>2023</c:v>
                </c:pt>
                <c:pt idx="3">
                  <c:v>2024</c:v>
                </c:pt>
                <c:pt idx="4">
                  <c:v>2025</c:v>
                </c:pt>
                <c:pt idx="5">
                  <c:v>2026</c:v>
                </c:pt>
              </c:numCache>
            </c:numRef>
          </c:cat>
          <c:val>
            <c:numRef>
              <c:f>Summary!$H$804:$M$804</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9FA8-EB42-B351-4C0ACF768605}"/>
            </c:ext>
          </c:extLst>
        </c:ser>
        <c:ser>
          <c:idx val="1"/>
          <c:order val="4"/>
          <c:tx>
            <c:strRef>
              <c:f>Summary!$B$805</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Summary!$H$800:$M$800</c:f>
              <c:numCache>
                <c:formatCode>General</c:formatCode>
                <c:ptCount val="6"/>
                <c:pt idx="0">
                  <c:v>2021</c:v>
                </c:pt>
                <c:pt idx="1">
                  <c:v>2022</c:v>
                </c:pt>
                <c:pt idx="2">
                  <c:v>2023</c:v>
                </c:pt>
                <c:pt idx="3">
                  <c:v>2024</c:v>
                </c:pt>
                <c:pt idx="4">
                  <c:v>2025</c:v>
                </c:pt>
                <c:pt idx="5">
                  <c:v>2026</c:v>
                </c:pt>
              </c:numCache>
            </c:numRef>
          </c:cat>
          <c:val>
            <c:numRef>
              <c:f>Summary!$H$805:$M$805</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2-28FB-3C42-9AE7-8CFF292F800D}"/>
            </c:ext>
          </c:extLst>
        </c:ser>
        <c:ser>
          <c:idx val="3"/>
          <c:order val="5"/>
          <c:tx>
            <c:strRef>
              <c:f>Summary!$B$806</c:f>
              <c:strCache>
                <c:ptCount val="1"/>
                <c:pt idx="0">
                  <c:v>400G LR4, LR8</c:v>
                </c:pt>
              </c:strCache>
            </c:strRef>
          </c:tx>
          <c:spPr>
            <a:ln>
              <a:solidFill>
                <a:schemeClr val="accent3"/>
              </a:solidFill>
            </a:ln>
          </c:spPr>
          <c:marker>
            <c:symbol val="x"/>
            <c:size val="5"/>
            <c:spPr>
              <a:solidFill>
                <a:schemeClr val="accent3"/>
              </a:solidFill>
              <a:ln>
                <a:solidFill>
                  <a:schemeClr val="accent3"/>
                </a:solidFill>
              </a:ln>
            </c:spPr>
          </c:marker>
          <c:cat>
            <c:numRef>
              <c:f>Summary!$H$800:$M$800</c:f>
              <c:numCache>
                <c:formatCode>General</c:formatCode>
                <c:ptCount val="6"/>
                <c:pt idx="0">
                  <c:v>2021</c:v>
                </c:pt>
                <c:pt idx="1">
                  <c:v>2022</c:v>
                </c:pt>
                <c:pt idx="2">
                  <c:v>2023</c:v>
                </c:pt>
                <c:pt idx="3">
                  <c:v>2024</c:v>
                </c:pt>
                <c:pt idx="4">
                  <c:v>2025</c:v>
                </c:pt>
                <c:pt idx="5">
                  <c:v>2026</c:v>
                </c:pt>
              </c:numCache>
            </c:numRef>
          </c:cat>
          <c:val>
            <c:numRef>
              <c:f>Summary!$H$806:$M$806</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3-28FB-3C42-9AE7-8CFF292F800D}"/>
            </c:ext>
          </c:extLst>
        </c:ser>
        <c:dLbls>
          <c:showLegendKey val="0"/>
          <c:showVal val="0"/>
          <c:showCatName val="0"/>
          <c:showSerName val="0"/>
          <c:showPercent val="0"/>
          <c:showBubbleSize val="0"/>
        </c:dLbls>
        <c:marker val="1"/>
        <c:smooth val="0"/>
        <c:axId val="232780160"/>
        <c:axId val="232782080"/>
      </c:lineChart>
      <c:catAx>
        <c:axId val="232780160"/>
        <c:scaling>
          <c:orientation val="minMax"/>
        </c:scaling>
        <c:delete val="0"/>
        <c:axPos val="b"/>
        <c:numFmt formatCode="General" sourceLinked="1"/>
        <c:majorTickMark val="out"/>
        <c:minorTickMark val="none"/>
        <c:tickLblPos val="nextTo"/>
        <c:txPr>
          <a:bodyPr/>
          <a:lstStyle/>
          <a:p>
            <a:pPr>
              <a:defRPr sz="1000"/>
            </a:pPr>
            <a:endParaRPr lang="en-US"/>
          </a:p>
        </c:txPr>
        <c:crossAx val="232782080"/>
        <c:crosses val="autoZero"/>
        <c:auto val="1"/>
        <c:lblAlgn val="ctr"/>
        <c:lblOffset val="100"/>
        <c:noMultiLvlLbl val="0"/>
      </c:catAx>
      <c:valAx>
        <c:axId val="232782080"/>
        <c:scaling>
          <c:orientation val="minMax"/>
          <c:max val="3000"/>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232780160"/>
        <c:crosses val="autoZero"/>
        <c:crossBetween val="between"/>
        <c:majorUnit val="1000"/>
      </c:valAx>
    </c:plotArea>
    <c:legend>
      <c:legendPos val="t"/>
      <c:layout>
        <c:manualLayout>
          <c:xMode val="edge"/>
          <c:yMode val="edge"/>
          <c:x val="0.67592147069466701"/>
          <c:y val="5.7086161098234174E-2"/>
          <c:w val="0.27979222610853038"/>
          <c:h val="0.482680053821502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4"/>
          <c:order val="0"/>
          <c:tx>
            <c:strRef>
              <c:f>Summary!$B$811</c:f>
              <c:strCache>
                <c:ptCount val="1"/>
                <c:pt idx="0">
                  <c:v>2x200 (400G-SR8)</c:v>
                </c:pt>
              </c:strCache>
            </c:strRef>
          </c:tx>
          <c:cat>
            <c:numRef>
              <c:f>Summary!$E$810:$M$810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Summary!$E$811:$M$811</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0-E28E-6349-9E2D-3ACD9D65BFDB}"/>
            </c:ext>
          </c:extLst>
        </c:ser>
        <c:ser>
          <c:idx val="2"/>
          <c:order val="1"/>
          <c:tx>
            <c:strRef>
              <c:f>Summary!$B$812</c:f>
              <c:strCache>
                <c:ptCount val="1"/>
                <c:pt idx="0">
                  <c:v>400G SR4.2, SR4</c:v>
                </c:pt>
              </c:strCache>
            </c:strRef>
          </c:tx>
          <c:spPr>
            <a:ln>
              <a:solidFill>
                <a:schemeClr val="accent2"/>
              </a:solidFill>
            </a:ln>
          </c:spPr>
          <c:marker>
            <c:spPr>
              <a:solidFill>
                <a:schemeClr val="accent2"/>
              </a:solidFill>
              <a:ln>
                <a:solidFill>
                  <a:schemeClr val="accent2"/>
                </a:solidFill>
              </a:ln>
            </c:spPr>
          </c:marker>
          <c:cat>
            <c:numRef>
              <c:f>Summary!$E$810:$M$810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Summary!$E$812:$M$812</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0-5A8F-0344-B2CD-C518500A5542}"/>
            </c:ext>
          </c:extLst>
        </c:ser>
        <c:ser>
          <c:idx val="0"/>
          <c:order val="2"/>
          <c:tx>
            <c:strRef>
              <c:f>Summary!$B$813</c:f>
              <c:strCache>
                <c:ptCount val="1"/>
                <c:pt idx="0">
                  <c:v>400G DR4</c:v>
                </c:pt>
              </c:strCache>
            </c:strRef>
          </c:tx>
          <c:cat>
            <c:numRef>
              <c:f>Summary!$E$810:$M$810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Summary!$E$813:$M$813</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1-5A8F-0344-B2CD-C518500A5542}"/>
            </c:ext>
          </c:extLst>
        </c:ser>
        <c:ser>
          <c:idx val="5"/>
          <c:order val="3"/>
          <c:tx>
            <c:strRef>
              <c:f>Summary!$B$814</c:f>
              <c:strCache>
                <c:ptCount val="1"/>
                <c:pt idx="0">
                  <c:v>2x(200G FR4)</c:v>
                </c:pt>
              </c:strCache>
            </c:strRef>
          </c:tx>
          <c:cat>
            <c:numRef>
              <c:f>Summary!$E$810:$M$810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Summary!$E$814:$M$814</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1-E28E-6349-9E2D-3ACD9D65BFDB}"/>
            </c:ext>
          </c:extLst>
        </c:ser>
        <c:ser>
          <c:idx val="1"/>
          <c:order val="4"/>
          <c:tx>
            <c:strRef>
              <c:f>Summary!$B$815</c:f>
              <c:strCache>
                <c:ptCount val="1"/>
                <c:pt idx="0">
                  <c:v>400G FR4</c:v>
                </c:pt>
              </c:strCache>
            </c:strRef>
          </c:tx>
          <c:spPr>
            <a:ln>
              <a:solidFill>
                <a:schemeClr val="accent4"/>
              </a:solidFill>
            </a:ln>
          </c:spPr>
          <c:marker>
            <c:spPr>
              <a:solidFill>
                <a:schemeClr val="accent4"/>
              </a:solidFill>
              <a:ln>
                <a:solidFill>
                  <a:schemeClr val="accent4"/>
                </a:solidFill>
              </a:ln>
            </c:spPr>
          </c:marker>
          <c:cat>
            <c:numRef>
              <c:f>Summary!$E$810:$M$810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Summary!$E$815:$M$815</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2-5A8F-0344-B2CD-C518500A5542}"/>
            </c:ext>
          </c:extLst>
        </c:ser>
        <c:ser>
          <c:idx val="3"/>
          <c:order val="5"/>
          <c:tx>
            <c:strRef>
              <c:f>Summary!$B$816</c:f>
              <c:strCache>
                <c:ptCount val="1"/>
                <c:pt idx="0">
                  <c:v>400G LR4, LR8</c:v>
                </c:pt>
              </c:strCache>
            </c:strRef>
          </c:tx>
          <c:spPr>
            <a:ln>
              <a:solidFill>
                <a:schemeClr val="accent3"/>
              </a:solidFill>
            </a:ln>
          </c:spPr>
          <c:marker>
            <c:symbol val="x"/>
            <c:size val="5"/>
            <c:spPr>
              <a:solidFill>
                <a:schemeClr val="accent3"/>
              </a:solidFill>
              <a:ln>
                <a:solidFill>
                  <a:schemeClr val="accent3"/>
                </a:solidFill>
              </a:ln>
            </c:spPr>
          </c:marker>
          <c:cat>
            <c:numRef>
              <c:f>Summary!$E$810:$M$810</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Summary!$E$816:$M$816</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3-5A8F-0344-B2CD-C518500A5542}"/>
            </c:ext>
          </c:extLst>
        </c:ser>
        <c:dLbls>
          <c:showLegendKey val="0"/>
          <c:showVal val="0"/>
          <c:showCatName val="0"/>
          <c:showSerName val="0"/>
          <c:showPercent val="0"/>
          <c:showBubbleSize val="0"/>
        </c:dLbls>
        <c:marker val="1"/>
        <c:smooth val="0"/>
        <c:axId val="232513920"/>
        <c:axId val="232515840"/>
      </c:lineChart>
      <c:catAx>
        <c:axId val="232513920"/>
        <c:scaling>
          <c:orientation val="minMax"/>
        </c:scaling>
        <c:delete val="0"/>
        <c:axPos val="b"/>
        <c:numFmt formatCode="General" sourceLinked="1"/>
        <c:majorTickMark val="out"/>
        <c:minorTickMark val="none"/>
        <c:tickLblPos val="nextTo"/>
        <c:txPr>
          <a:bodyPr/>
          <a:lstStyle/>
          <a:p>
            <a:pPr>
              <a:defRPr sz="1000"/>
            </a:pPr>
            <a:endParaRPr lang="en-US"/>
          </a:p>
        </c:txPr>
        <c:crossAx val="232515840"/>
        <c:crosses val="autoZero"/>
        <c:auto val="1"/>
        <c:lblAlgn val="ctr"/>
        <c:lblOffset val="100"/>
        <c:noMultiLvlLbl val="0"/>
      </c:catAx>
      <c:valAx>
        <c:axId val="232515840"/>
        <c:scaling>
          <c:orientation val="minMax"/>
        </c:scaling>
        <c:delete val="0"/>
        <c:axPos val="l"/>
        <c:majorGridlines/>
        <c:title>
          <c:tx>
            <c:rich>
              <a:bodyPr rot="-5400000" vert="horz"/>
              <a:lstStyle/>
              <a:p>
                <a:pPr>
                  <a:defRPr sz="1400" b="1"/>
                </a:pPr>
                <a:r>
                  <a:rPr lang="en-US" sz="1400" b="1"/>
                  <a:t>Annual sales ($ mn)</a:t>
                </a:r>
              </a:p>
            </c:rich>
          </c:tx>
          <c:overlay val="0"/>
        </c:title>
        <c:numFmt formatCode="&quot;$&quot;#,##0" sourceLinked="0"/>
        <c:majorTickMark val="out"/>
        <c:minorTickMark val="none"/>
        <c:tickLblPos val="nextTo"/>
        <c:txPr>
          <a:bodyPr/>
          <a:lstStyle/>
          <a:p>
            <a:pPr>
              <a:defRPr sz="1000"/>
            </a:pPr>
            <a:endParaRPr lang="en-US"/>
          </a:p>
        </c:txPr>
        <c:crossAx val="232513920"/>
        <c:crosses val="autoZero"/>
        <c:crossBetween val="between"/>
      </c:valAx>
    </c:plotArea>
    <c:legend>
      <c:legendPos val="t"/>
      <c:layout>
        <c:manualLayout>
          <c:xMode val="edge"/>
          <c:yMode val="edge"/>
          <c:x val="0.16027562109691451"/>
          <c:y val="6.7775774116052359E-2"/>
          <c:w val="0.27676130690615952"/>
          <c:h val="0.48163241677570939"/>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6146186160264"/>
          <c:y val="6.0951673434733837E-2"/>
          <c:w val="0.80031733337751831"/>
          <c:h val="0.80981094264192022"/>
        </c:manualLayout>
      </c:layout>
      <c:lineChart>
        <c:grouping val="standard"/>
        <c:varyColors val="0"/>
        <c:ser>
          <c:idx val="2"/>
          <c:order val="0"/>
          <c:tx>
            <c:strRef>
              <c:f>Summary!$B$756</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Summary!$E$755:$M$755</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Summary!$E$756:$M$756</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0-A4F2-C741-96FE-00D9A2EBDED0}"/>
            </c:ext>
          </c:extLst>
        </c:ser>
        <c:ser>
          <c:idx val="3"/>
          <c:order val="1"/>
          <c:tx>
            <c:strRef>
              <c:f>Summary!$B$757</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Summary!$E$755:$M$755</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Summary!$E$757:$M$757</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3-A4F2-C741-96FE-00D9A2EBDED0}"/>
            </c:ext>
          </c:extLst>
        </c:ser>
        <c:dLbls>
          <c:showLegendKey val="0"/>
          <c:showVal val="0"/>
          <c:showCatName val="0"/>
          <c:showSerName val="0"/>
          <c:showPercent val="0"/>
          <c:showBubbleSize val="0"/>
        </c:dLbls>
        <c:marker val="1"/>
        <c:smooth val="0"/>
        <c:axId val="232615296"/>
        <c:axId val="232621568"/>
      </c:lineChart>
      <c:catAx>
        <c:axId val="232615296"/>
        <c:scaling>
          <c:orientation val="minMax"/>
        </c:scaling>
        <c:delete val="0"/>
        <c:axPos val="b"/>
        <c:numFmt formatCode="General" sourceLinked="1"/>
        <c:majorTickMark val="out"/>
        <c:minorTickMark val="none"/>
        <c:tickLblPos val="nextTo"/>
        <c:txPr>
          <a:bodyPr/>
          <a:lstStyle/>
          <a:p>
            <a:pPr>
              <a:defRPr sz="1000"/>
            </a:pPr>
            <a:endParaRPr lang="en-US"/>
          </a:p>
        </c:txPr>
        <c:crossAx val="232621568"/>
        <c:crosses val="autoZero"/>
        <c:auto val="1"/>
        <c:lblAlgn val="ctr"/>
        <c:lblOffset val="100"/>
        <c:noMultiLvlLbl val="0"/>
      </c:catAx>
      <c:valAx>
        <c:axId val="232621568"/>
        <c:scaling>
          <c:orientation val="minMax"/>
          <c:max val="2000"/>
          <c:min val="0"/>
        </c:scaling>
        <c:delete val="0"/>
        <c:axPos val="l"/>
        <c:majorGridlines/>
        <c:title>
          <c:tx>
            <c:rich>
              <a:bodyPr rot="-5400000" vert="horz"/>
              <a:lstStyle/>
              <a:p>
                <a:pPr>
                  <a:defRPr sz="1400"/>
                </a:pPr>
                <a:r>
                  <a:rPr lang="en-US" sz="1400"/>
                  <a:t>A.S.P.s</a:t>
                </a:r>
              </a:p>
            </c:rich>
          </c:tx>
          <c:layout>
            <c:manualLayout>
              <c:xMode val="edge"/>
              <c:yMode val="edge"/>
              <c:x val="1.5598858447983664E-2"/>
              <c:y val="0.34825786054640484"/>
            </c:manualLayout>
          </c:layout>
          <c:overlay val="0"/>
        </c:title>
        <c:numFmt formatCode="&quot;$&quot;#,##0" sourceLinked="0"/>
        <c:majorTickMark val="out"/>
        <c:minorTickMark val="none"/>
        <c:tickLblPos val="nextTo"/>
        <c:txPr>
          <a:bodyPr/>
          <a:lstStyle/>
          <a:p>
            <a:pPr>
              <a:defRPr sz="1000"/>
            </a:pPr>
            <a:endParaRPr lang="en-US"/>
          </a:p>
        </c:txPr>
        <c:crossAx val="232615296"/>
        <c:crosses val="autoZero"/>
        <c:crossBetween val="between"/>
      </c:valAx>
    </c:plotArea>
    <c:legend>
      <c:legendPos val="t"/>
      <c:layout>
        <c:manualLayout>
          <c:xMode val="edge"/>
          <c:yMode val="edge"/>
          <c:x val="0.54438731796011863"/>
          <c:y val="7.8414044769539726E-2"/>
          <c:w val="0.41814267641708136"/>
          <c:h val="0.170369316898427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72379328255714"/>
          <c:y val="6.973302069610951E-2"/>
          <c:w val="0.8289118183053803"/>
          <c:h val="0.80479041220011782"/>
        </c:manualLayout>
      </c:layout>
      <c:lineChart>
        <c:grouping val="standard"/>
        <c:varyColors val="0"/>
        <c:ser>
          <c:idx val="2"/>
          <c:order val="0"/>
          <c:tx>
            <c:strRef>
              <c:f>Summary!$B$762</c:f>
              <c:strCache>
                <c:ptCount val="1"/>
                <c:pt idx="0">
                  <c:v>200G SR4</c:v>
                </c:pt>
              </c:strCache>
            </c:strRef>
          </c:tx>
          <c:spPr>
            <a:ln>
              <a:solidFill>
                <a:schemeClr val="accent2"/>
              </a:solidFill>
            </a:ln>
          </c:spPr>
          <c:marker>
            <c:spPr>
              <a:solidFill>
                <a:schemeClr val="accent2"/>
              </a:solidFill>
              <a:ln>
                <a:solidFill>
                  <a:schemeClr val="accent2"/>
                </a:solidFill>
              </a:ln>
            </c:spPr>
          </c:marker>
          <c:cat>
            <c:numRef>
              <c:f>Summary!$E$761:$M$761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Summary!$E$762:$M$762</c:f>
              <c:numCache>
                <c:formatCode>_("$"* #,##0_);_("$"* \(#,##0\);_("$"* "-"??_);_(@_)</c:formatCode>
                <c:ptCount val="9"/>
                <c:pt idx="0" formatCode="_(&quot;$&quot;* #,##0.0_);_(&quot;$&quot;* \(#,##0.0\);_(&quot;$&quot;* &quot;-&quot;??_);_(@_)">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0-4C63-CF4F-A7FF-3AD7FC68B5AA}"/>
            </c:ext>
          </c:extLst>
        </c:ser>
        <c:ser>
          <c:idx val="3"/>
          <c:order val="1"/>
          <c:tx>
            <c:strRef>
              <c:f>Summary!$B$763</c:f>
              <c:strCache>
                <c:ptCount val="1"/>
                <c:pt idx="0">
                  <c:v>200G FR4</c:v>
                </c:pt>
              </c:strCache>
            </c:strRef>
          </c:tx>
          <c:spPr>
            <a:ln>
              <a:solidFill>
                <a:schemeClr val="accent4"/>
              </a:solidFill>
            </a:ln>
          </c:spPr>
          <c:marker>
            <c:spPr>
              <a:solidFill>
                <a:schemeClr val="accent4"/>
              </a:solidFill>
              <a:ln>
                <a:solidFill>
                  <a:schemeClr val="accent4"/>
                </a:solidFill>
              </a:ln>
            </c:spPr>
          </c:marker>
          <c:cat>
            <c:numRef>
              <c:f>Summary!$E$761:$M$761</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Summary!$E$763:$M$763</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3-4C63-CF4F-A7FF-3AD7FC68B5AA}"/>
            </c:ext>
          </c:extLst>
        </c:ser>
        <c:dLbls>
          <c:showLegendKey val="0"/>
          <c:showVal val="0"/>
          <c:showCatName val="0"/>
          <c:showSerName val="0"/>
          <c:showPercent val="0"/>
          <c:showBubbleSize val="0"/>
        </c:dLbls>
        <c:marker val="1"/>
        <c:smooth val="0"/>
        <c:axId val="232639488"/>
        <c:axId val="233137280"/>
      </c:lineChart>
      <c:catAx>
        <c:axId val="232639488"/>
        <c:scaling>
          <c:orientation val="minMax"/>
        </c:scaling>
        <c:delete val="0"/>
        <c:axPos val="b"/>
        <c:numFmt formatCode="General" sourceLinked="1"/>
        <c:majorTickMark val="out"/>
        <c:minorTickMark val="none"/>
        <c:tickLblPos val="nextTo"/>
        <c:txPr>
          <a:bodyPr/>
          <a:lstStyle/>
          <a:p>
            <a:pPr>
              <a:defRPr sz="1200"/>
            </a:pPr>
            <a:endParaRPr lang="en-US"/>
          </a:p>
        </c:txPr>
        <c:crossAx val="233137280"/>
        <c:crosses val="autoZero"/>
        <c:auto val="1"/>
        <c:lblAlgn val="ctr"/>
        <c:lblOffset val="100"/>
        <c:noMultiLvlLbl val="0"/>
      </c:catAx>
      <c:valAx>
        <c:axId val="233137280"/>
        <c:scaling>
          <c:orientation val="minMax"/>
          <c:min val="0"/>
        </c:scaling>
        <c:delete val="0"/>
        <c:axPos val="l"/>
        <c:majorGridlines/>
        <c:title>
          <c:tx>
            <c:rich>
              <a:bodyPr rot="-5400000" vert="horz"/>
              <a:lstStyle/>
              <a:p>
                <a:pPr>
                  <a:defRPr sz="1400" b="1"/>
                </a:pPr>
                <a:r>
                  <a:rPr lang="en-US" sz="1400" b="1"/>
                  <a:t>Annual</a:t>
                </a:r>
                <a:r>
                  <a:rPr lang="en-US" sz="1400" b="1" baseline="0"/>
                  <a:t> sales ($ mn)</a:t>
                </a:r>
              </a:p>
            </c:rich>
          </c:tx>
          <c:layout>
            <c:manualLayout>
              <c:xMode val="edge"/>
              <c:yMode val="edge"/>
              <c:x val="1.0759990422942635E-2"/>
              <c:y val="0.20828817192067209"/>
            </c:manualLayout>
          </c:layout>
          <c:overlay val="0"/>
        </c:title>
        <c:numFmt formatCode="&quot;$&quot;#,##0" sourceLinked="0"/>
        <c:majorTickMark val="out"/>
        <c:minorTickMark val="none"/>
        <c:tickLblPos val="nextTo"/>
        <c:txPr>
          <a:bodyPr/>
          <a:lstStyle/>
          <a:p>
            <a:pPr>
              <a:defRPr sz="1200"/>
            </a:pPr>
            <a:endParaRPr lang="en-US"/>
          </a:p>
        </c:txPr>
        <c:crossAx val="232639488"/>
        <c:crosses val="autoZero"/>
        <c:crossBetween val="between"/>
      </c:valAx>
    </c:plotArea>
    <c:legend>
      <c:legendPos val="t"/>
      <c:layout>
        <c:manualLayout>
          <c:xMode val="edge"/>
          <c:yMode val="edge"/>
          <c:x val="0.17237686337008845"/>
          <c:y val="0.10914755789349502"/>
          <c:w val="0.35163419557859182"/>
          <c:h val="0.1653806191031520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55326037567475"/>
          <c:y val="5.4018998573214502E-2"/>
          <c:w val="0.76592980235172881"/>
          <c:h val="0.84443661907320178"/>
        </c:manualLayout>
      </c:layout>
      <c:barChart>
        <c:barDir val="col"/>
        <c:grouping val="percentStacked"/>
        <c:varyColors val="0"/>
        <c:ser>
          <c:idx val="0"/>
          <c:order val="0"/>
          <c:tx>
            <c:strRef>
              <c:f>Summary!$B$287</c:f>
              <c:strCache>
                <c:ptCount val="1"/>
                <c:pt idx="0">
                  <c:v>&lt;10G</c:v>
                </c:pt>
              </c:strCache>
            </c:strRef>
          </c:tx>
          <c:invertIfNegative val="0"/>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Summary!$C$287:$M$287</c:f>
              <c:numCache>
                <c:formatCode>0%</c:formatCode>
                <c:ptCount val="11"/>
                <c:pt idx="0">
                  <c:v>0.37511818939959324</c:v>
                </c:pt>
                <c:pt idx="1">
                  <c:v>0.2960701521301668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BFE0-454F-A242-48CB1A2C7A29}"/>
            </c:ext>
          </c:extLst>
        </c:ser>
        <c:ser>
          <c:idx val="1"/>
          <c:order val="1"/>
          <c:tx>
            <c:strRef>
              <c:f>Summary!$B$288</c:f>
              <c:strCache>
                <c:ptCount val="1"/>
                <c:pt idx="0">
                  <c:v>10G</c:v>
                </c:pt>
              </c:strCache>
            </c:strRef>
          </c:tx>
          <c:invertIfNegative val="0"/>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Summary!$C$288:$M$288</c:f>
              <c:numCache>
                <c:formatCode>0%</c:formatCode>
                <c:ptCount val="11"/>
                <c:pt idx="0">
                  <c:v>0.59913931153889233</c:v>
                </c:pt>
                <c:pt idx="1">
                  <c:v>0.62527752748127097</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BFE0-454F-A242-48CB1A2C7A29}"/>
            </c:ext>
          </c:extLst>
        </c:ser>
        <c:ser>
          <c:idx val="2"/>
          <c:order val="2"/>
          <c:tx>
            <c:strRef>
              <c:f>Summary!$B$289</c:f>
              <c:strCache>
                <c:ptCount val="1"/>
                <c:pt idx="0">
                  <c:v>25G</c:v>
                </c:pt>
              </c:strCache>
            </c:strRef>
          </c:tx>
          <c:invertIfNegative val="0"/>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Summary!$C$289:$M$289</c:f>
              <c:numCache>
                <c:formatCode>0.0%</c:formatCode>
                <c:ptCount val="11"/>
                <c:pt idx="0">
                  <c:v>2.5742499061514355E-2</c:v>
                </c:pt>
                <c:pt idx="1">
                  <c:v>7.8649983067619847E-2</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BFE0-454F-A242-48CB1A2C7A29}"/>
            </c:ext>
          </c:extLst>
        </c:ser>
        <c:ser>
          <c:idx val="3"/>
          <c:order val="3"/>
          <c:tx>
            <c:strRef>
              <c:f>Summary!$B$290</c:f>
              <c:strCache>
                <c:ptCount val="1"/>
                <c:pt idx="0">
                  <c:v>50G</c:v>
                </c:pt>
              </c:strCache>
            </c:strRef>
          </c:tx>
          <c:invertIfNegative val="0"/>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Summary!$C$290:$M$290</c:f>
              <c:numCache>
                <c:formatCode>0.0%</c:formatCode>
                <c:ptCount val="11"/>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BFE0-454F-A242-48CB1A2C7A29}"/>
            </c:ext>
          </c:extLst>
        </c:ser>
        <c:ser>
          <c:idx val="4"/>
          <c:order val="4"/>
          <c:tx>
            <c:strRef>
              <c:f>Summary!$B$291</c:f>
              <c:strCache>
                <c:ptCount val="1"/>
                <c:pt idx="0">
                  <c:v>100G</c:v>
                </c:pt>
              </c:strCache>
            </c:strRef>
          </c:tx>
          <c:invertIfNegative val="0"/>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Summary!$C$291:$M$291</c:f>
              <c:numCache>
                <c:formatCode>0.0%</c:formatCode>
                <c:ptCount val="11"/>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2B0B-DE4A-BA78-6B9328B11BC4}"/>
            </c:ext>
          </c:extLst>
        </c:ser>
        <c:dLbls>
          <c:showLegendKey val="0"/>
          <c:showVal val="0"/>
          <c:showCatName val="0"/>
          <c:showSerName val="0"/>
          <c:showPercent val="0"/>
          <c:showBubbleSize val="0"/>
        </c:dLbls>
        <c:gapWidth val="150"/>
        <c:overlap val="100"/>
        <c:axId val="218740224"/>
        <c:axId val="218741760"/>
      </c:barChart>
      <c:catAx>
        <c:axId val="218740224"/>
        <c:scaling>
          <c:orientation val="minMax"/>
        </c:scaling>
        <c:delete val="0"/>
        <c:axPos val="b"/>
        <c:numFmt formatCode="General" sourceLinked="1"/>
        <c:majorTickMark val="out"/>
        <c:minorTickMark val="none"/>
        <c:tickLblPos val="nextTo"/>
        <c:crossAx val="218741760"/>
        <c:crosses val="autoZero"/>
        <c:auto val="1"/>
        <c:lblAlgn val="ctr"/>
        <c:lblOffset val="100"/>
        <c:noMultiLvlLbl val="0"/>
      </c:catAx>
      <c:valAx>
        <c:axId val="218741760"/>
        <c:scaling>
          <c:orientation val="minMax"/>
        </c:scaling>
        <c:delete val="0"/>
        <c:axPos val="l"/>
        <c:majorGridlines/>
        <c:title>
          <c:tx>
            <c:rich>
              <a:bodyPr rot="-5400000" vert="horz"/>
              <a:lstStyle/>
              <a:p>
                <a:pPr>
                  <a:defRPr sz="1400"/>
                </a:pPr>
                <a:r>
                  <a:rPr lang="en-US" sz="1400"/>
                  <a:t>Percentage of annual shipments</a:t>
                </a:r>
              </a:p>
            </c:rich>
          </c:tx>
          <c:layout>
            <c:manualLayout>
              <c:xMode val="edge"/>
              <c:yMode val="edge"/>
              <c:x val="1.1455148517178142E-2"/>
              <c:y val="0.14361602629542083"/>
            </c:manualLayout>
          </c:layout>
          <c:overlay val="0"/>
        </c:title>
        <c:numFmt formatCode="0%" sourceLinked="1"/>
        <c:majorTickMark val="out"/>
        <c:minorTickMark val="none"/>
        <c:tickLblPos val="nextTo"/>
        <c:crossAx val="218740224"/>
        <c:crosses val="autoZero"/>
        <c:crossBetween val="between"/>
      </c:valAx>
    </c:plotArea>
    <c:legend>
      <c:legendPos val="r"/>
      <c:overlay val="0"/>
      <c:spPr>
        <a:solidFill>
          <a:schemeClr val="bg1"/>
        </a:solidFill>
        <a:ln>
          <a:solidFill>
            <a:schemeClr val="tx1"/>
          </a:solidFill>
        </a:ln>
      </c:spPr>
      <c:txPr>
        <a:bodyPr/>
        <a:lstStyle/>
        <a:p>
          <a:pPr>
            <a:defRPr sz="1200"/>
          </a:pPr>
          <a:endParaRPr lang="en-US"/>
        </a:p>
      </c:txPr>
    </c:legend>
    <c:plotVisOnly val="1"/>
    <c:dispBlanksAs val="gap"/>
    <c:showDLblsOverMax val="0"/>
  </c:chart>
  <c:txPr>
    <a:bodyPr/>
    <a:lstStyle/>
    <a:p>
      <a:pPr>
        <a:defRPr sz="1100"/>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670198147503432"/>
          <c:y val="4.1806643807077118E-2"/>
          <c:w val="0.8154383230082296"/>
          <c:h val="0.87628672050094214"/>
        </c:manualLayout>
      </c:layout>
      <c:lineChart>
        <c:grouping val="standard"/>
        <c:varyColors val="0"/>
        <c:ser>
          <c:idx val="0"/>
          <c:order val="0"/>
          <c:tx>
            <c:strRef>
              <c:f>Summary!$B$665</c:f>
              <c:strCache>
                <c:ptCount val="1"/>
                <c:pt idx="0">
                  <c:v>100G PSM4_500 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Summary!$C$665:$M$665</c:f>
              <c:numCache>
                <c:formatCode>_("$"* #,##0_);_("$"* \(#,##0\);_("$"* "-"??_);_(@_)</c:formatCode>
                <c:ptCount val="11"/>
                <c:pt idx="0">
                  <c:v>67.773890240000014</c:v>
                </c:pt>
                <c:pt idx="1">
                  <c:v>158.09400299999999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2EA6-BF44-B2F8-6D059DB7EF7D}"/>
            </c:ext>
          </c:extLst>
        </c:ser>
        <c:ser>
          <c:idx val="1"/>
          <c:order val="1"/>
          <c:tx>
            <c:strRef>
              <c:f>Summary!$B$666</c:f>
              <c:strCache>
                <c:ptCount val="1"/>
                <c:pt idx="0">
                  <c:v>100G DR/DR+_500m, 2km_QSFP28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Summary!$C$666:$M$666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2EA6-BF44-B2F8-6D059DB7EF7D}"/>
            </c:ext>
          </c:extLst>
        </c:ser>
        <c:ser>
          <c:idx val="2"/>
          <c:order val="2"/>
          <c:tx>
            <c:strRef>
              <c:f>Summary!$B$667</c:f>
              <c:strCache>
                <c:ptCount val="1"/>
                <c:pt idx="0">
                  <c:v>100G CWDM4-subspec_500 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Summary!$C$667:$M$667</c:f>
              <c:numCache>
                <c:formatCode>_("$"* #,##0_);_("$"* \(#,##0\);_("$"* "-"??_);_(@_)</c:formatCode>
                <c:ptCount val="11"/>
                <c:pt idx="0">
                  <c:v>55.125374999999998</c:v>
                </c:pt>
                <c:pt idx="1">
                  <c:v>307.53544499999998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2EA6-BF44-B2F8-6D059DB7EF7D}"/>
            </c:ext>
          </c:extLst>
        </c:ser>
        <c:ser>
          <c:idx val="3"/>
          <c:order val="3"/>
          <c:tx>
            <c:strRef>
              <c:f>Summary!$B$668</c:f>
              <c:strCache>
                <c:ptCount val="1"/>
                <c:pt idx="0">
                  <c:v>100G CWDM4_2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Summary!$C$668:$M$668</c:f>
              <c:numCache>
                <c:formatCode>_("$"* #,##0_);_("$"* \(#,##0\);_("$"* "-"??_);_(@_)</c:formatCode>
                <c:ptCount val="11"/>
                <c:pt idx="0">
                  <c:v>25.566254999999995</c:v>
                </c:pt>
                <c:pt idx="1">
                  <c:v>190.37908500000003</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2EA6-BF44-B2F8-6D059DB7EF7D}"/>
            </c:ext>
          </c:extLst>
        </c:ser>
        <c:ser>
          <c:idx val="4"/>
          <c:order val="4"/>
          <c:tx>
            <c:strRef>
              <c:f>Summary!$B$669</c:f>
              <c:strCache>
                <c:ptCount val="1"/>
                <c:pt idx="0">
                  <c:v>100G FR1_2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Summary!$C$669:$M$669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2EA6-BF44-B2F8-6D059DB7EF7D}"/>
            </c:ext>
          </c:extLst>
        </c:ser>
        <c:ser>
          <c:idx val="5"/>
          <c:order val="5"/>
          <c:tx>
            <c:strRef>
              <c:f>Summary!$B$670</c:f>
              <c:strCache>
                <c:ptCount val="1"/>
                <c:pt idx="0">
                  <c:v>100G LR4_10 km_CFP</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Summary!$C$670:$M$670</c:f>
              <c:numCache>
                <c:formatCode>_("$"* #,##0_);_("$"* \(#,##0\);_("$"* "-"??_);_(@_)</c:formatCode>
                <c:ptCount val="11"/>
                <c:pt idx="0">
                  <c:v>387.84002208207454</c:v>
                </c:pt>
                <c:pt idx="1">
                  <c:v>186.42675405916248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2EA6-BF44-B2F8-6D059DB7EF7D}"/>
            </c:ext>
          </c:extLst>
        </c:ser>
        <c:ser>
          <c:idx val="6"/>
          <c:order val="6"/>
          <c:tx>
            <c:strRef>
              <c:f>Summary!$B$671</c:f>
              <c:strCache>
                <c:ptCount val="1"/>
                <c:pt idx="0">
                  <c:v>100G LR4_10 km_CFP2/4</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Summary!$C$671:$M$671</c:f>
              <c:numCache>
                <c:formatCode>_("$"* #,##0_);_("$"* \(#,##0\);_("$"* "-"??_);_(@_)</c:formatCode>
                <c:ptCount val="11"/>
                <c:pt idx="0">
                  <c:v>265.89292589706986</c:v>
                </c:pt>
                <c:pt idx="1">
                  <c:v>167.37814313065076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6-2EA6-BF44-B2F8-6D059DB7EF7D}"/>
            </c:ext>
          </c:extLst>
        </c:ser>
        <c:ser>
          <c:idx val="7"/>
          <c:order val="7"/>
          <c:tx>
            <c:strRef>
              <c:f>Summary!$B$672</c:f>
              <c:strCache>
                <c:ptCount val="1"/>
                <c:pt idx="0">
                  <c:v>100G LR4 and LR1_10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Summary!$C$672:$M$672</c:f>
              <c:numCache>
                <c:formatCode>_("$"* #,##0_);_("$"* \(#,##0\);_("$"* "-"??_);_(@_)</c:formatCode>
                <c:ptCount val="11"/>
                <c:pt idx="0">
                  <c:v>175.29210971636297</c:v>
                </c:pt>
                <c:pt idx="1">
                  <c:v>434.82240000000002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7-2EA6-BF44-B2F8-6D059DB7EF7D}"/>
            </c:ext>
          </c:extLst>
        </c:ser>
        <c:ser>
          <c:idx val="8"/>
          <c:order val="8"/>
          <c:tx>
            <c:strRef>
              <c:f>Summary!$B$673</c:f>
              <c:strCache>
                <c:ptCount val="1"/>
                <c:pt idx="0">
                  <c:v>100G 4WDM10_10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Summary!$C$673:$M$673</c:f>
              <c:numCache>
                <c:formatCode>_("$"* #,##0_);_("$"* \(#,##0\);_("$"* "-"??_);_(@_)</c:formatCode>
                <c:ptCount val="11"/>
                <c:pt idx="0">
                  <c:v>0</c:v>
                </c:pt>
                <c:pt idx="1">
                  <c:v>22.5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8-2EA6-BF44-B2F8-6D059DB7EF7D}"/>
            </c:ext>
          </c:extLst>
        </c:ser>
        <c:ser>
          <c:idx val="9"/>
          <c:order val="9"/>
          <c:tx>
            <c:strRef>
              <c:f>Summary!$B$674</c:f>
              <c:strCache>
                <c:ptCount val="1"/>
                <c:pt idx="0">
                  <c:v>100G 4WDM20_20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Summary!$C$674:$M$674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9-2EA6-BF44-B2F8-6D059DB7EF7D}"/>
            </c:ext>
          </c:extLst>
        </c:ser>
        <c:ser>
          <c:idx val="10"/>
          <c:order val="10"/>
          <c:tx>
            <c:strRef>
              <c:f>Summary!$B$675</c:f>
              <c:strCache>
                <c:ptCount val="1"/>
                <c:pt idx="0">
                  <c:v>100G ER4-Lite_30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Summary!$C$675:$M$675</c:f>
              <c:numCache>
                <c:formatCode>_("$"* #,##0_);_("$"* \(#,##0\);_("$"* "-"??_);_(@_)</c:formatCode>
                <c:ptCount val="11"/>
                <c:pt idx="0">
                  <c:v>0</c:v>
                </c:pt>
                <c:pt idx="1">
                  <c:v>6.9744847890088328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A-2EA6-BF44-B2F8-6D059DB7EF7D}"/>
            </c:ext>
          </c:extLst>
        </c:ser>
        <c:ser>
          <c:idx val="11"/>
          <c:order val="11"/>
          <c:tx>
            <c:strRef>
              <c:f>Summary!$B$676</c:f>
              <c:strCache>
                <c:ptCount val="1"/>
                <c:pt idx="0">
                  <c:v>100G ER4_40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Summary!$C$676:$M$676</c:f>
              <c:numCache>
                <c:formatCode>_("$"* #,##0_);_("$"* \(#,##0\);_("$"* "-"??_);_(@_)</c:formatCode>
                <c:ptCount val="11"/>
                <c:pt idx="0">
                  <c:v>67.047039534140794</c:v>
                </c:pt>
                <c:pt idx="1">
                  <c:v>55.219616614611596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C9F5-4D40-9084-4A4A72DF2CC5}"/>
            </c:ext>
          </c:extLst>
        </c:ser>
        <c:ser>
          <c:idx val="12"/>
          <c:order val="12"/>
          <c:tx>
            <c:strRef>
              <c:f>Summary!$B$677</c:f>
              <c:strCache>
                <c:ptCount val="1"/>
                <c:pt idx="0">
                  <c:v>100G ZR4_80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Summary!$C$677:$M$677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C9F5-4D40-9084-4A4A72DF2CC5}"/>
            </c:ext>
          </c:extLst>
        </c:ser>
        <c:dLbls>
          <c:showLegendKey val="0"/>
          <c:showVal val="0"/>
          <c:showCatName val="0"/>
          <c:showSerName val="0"/>
          <c:showPercent val="0"/>
          <c:showBubbleSize val="0"/>
        </c:dLbls>
        <c:marker val="1"/>
        <c:smooth val="0"/>
        <c:axId val="232824832"/>
        <c:axId val="232826368"/>
      </c:lineChart>
      <c:catAx>
        <c:axId val="232824832"/>
        <c:scaling>
          <c:orientation val="minMax"/>
        </c:scaling>
        <c:delete val="0"/>
        <c:axPos val="b"/>
        <c:numFmt formatCode="General" sourceLinked="1"/>
        <c:majorTickMark val="out"/>
        <c:minorTickMark val="none"/>
        <c:tickLblPos val="nextTo"/>
        <c:crossAx val="232826368"/>
        <c:crosses val="autoZero"/>
        <c:auto val="1"/>
        <c:lblAlgn val="ctr"/>
        <c:lblOffset val="100"/>
        <c:noMultiLvlLbl val="0"/>
      </c:catAx>
      <c:valAx>
        <c:axId val="232826368"/>
        <c:scaling>
          <c:orientation val="minMax"/>
        </c:scaling>
        <c:delete val="0"/>
        <c:axPos val="l"/>
        <c:majorGridlines/>
        <c:title>
          <c:tx>
            <c:rich>
              <a:bodyPr rot="-5400000" vert="horz"/>
              <a:lstStyle/>
              <a:p>
                <a:pPr>
                  <a:defRPr sz="1400"/>
                </a:pPr>
                <a:r>
                  <a:rPr lang="en-US" sz="1400"/>
                  <a:t>Annual sales ($ mn)</a:t>
                </a:r>
              </a:p>
            </c:rich>
          </c:tx>
          <c:overlay val="0"/>
        </c:title>
        <c:numFmt formatCode="&quot;$&quot;#,##0" sourceLinked="0"/>
        <c:majorTickMark val="out"/>
        <c:minorTickMark val="none"/>
        <c:tickLblPos val="nextTo"/>
        <c:crossAx val="232824832"/>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073996124151406"/>
          <c:y val="5.3872467799939351E-2"/>
          <c:w val="0.8490599767601229"/>
          <c:h val="0.86037270873478522"/>
        </c:manualLayout>
      </c:layout>
      <c:barChart>
        <c:barDir val="col"/>
        <c:grouping val="stacked"/>
        <c:varyColors val="0"/>
        <c:ser>
          <c:idx val="8"/>
          <c:order val="0"/>
          <c:tx>
            <c:v>total</c:v>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Summary!$C$146:$M$146</c:f>
              <c:numCache>
                <c:formatCode>_("$"* #,##0_);_("$"* \(#,##0\);_("$"* "-"??_);_(@_)</c:formatCode>
                <c:ptCount val="11"/>
                <c:pt idx="0">
                  <c:v>2687.6154076451867</c:v>
                </c:pt>
                <c:pt idx="1">
                  <c:v>3178.3132920887742</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8-25BD-1C41-99D8-3B2A3EEF05A2}"/>
            </c:ext>
          </c:extLst>
        </c:ser>
        <c:dLbls>
          <c:showLegendKey val="0"/>
          <c:showVal val="0"/>
          <c:showCatName val="0"/>
          <c:showSerName val="0"/>
          <c:showPercent val="0"/>
          <c:showBubbleSize val="0"/>
        </c:dLbls>
        <c:gapWidth val="150"/>
        <c:overlap val="100"/>
        <c:axId val="232925056"/>
        <c:axId val="232926592"/>
      </c:barChart>
      <c:catAx>
        <c:axId val="232925056"/>
        <c:scaling>
          <c:orientation val="minMax"/>
        </c:scaling>
        <c:delete val="0"/>
        <c:axPos val="b"/>
        <c:numFmt formatCode="General" sourceLinked="1"/>
        <c:majorTickMark val="out"/>
        <c:minorTickMark val="none"/>
        <c:tickLblPos val="nextTo"/>
        <c:txPr>
          <a:bodyPr/>
          <a:lstStyle/>
          <a:p>
            <a:pPr>
              <a:defRPr sz="1200"/>
            </a:pPr>
            <a:endParaRPr lang="en-US"/>
          </a:p>
        </c:txPr>
        <c:crossAx val="232926592"/>
        <c:crosses val="autoZero"/>
        <c:auto val="1"/>
        <c:lblAlgn val="ctr"/>
        <c:lblOffset val="100"/>
        <c:noMultiLvlLbl val="0"/>
      </c:catAx>
      <c:valAx>
        <c:axId val="232926592"/>
        <c:scaling>
          <c:orientation val="minMax"/>
          <c:min val="0"/>
        </c:scaling>
        <c:delete val="0"/>
        <c:axPos val="l"/>
        <c:majorGridlines/>
        <c:title>
          <c:tx>
            <c:rich>
              <a:bodyPr/>
              <a:lstStyle/>
              <a:p>
                <a:pPr>
                  <a:defRPr sz="1400"/>
                </a:pPr>
                <a:r>
                  <a:rPr lang="en-US" sz="1400"/>
                  <a:t>Annual</a:t>
                </a:r>
                <a:r>
                  <a:rPr lang="en-US" sz="1400" baseline="0"/>
                  <a:t> s</a:t>
                </a:r>
                <a:r>
                  <a:rPr lang="en-US" sz="1400"/>
                  <a:t>ales ($ mn)</a:t>
                </a:r>
              </a:p>
            </c:rich>
          </c:tx>
          <c:layout>
            <c:manualLayout>
              <c:xMode val="edge"/>
              <c:yMode val="edge"/>
              <c:x val="9.9911751377394064E-3"/>
              <c:y val="0.29108391556769991"/>
            </c:manualLayout>
          </c:layout>
          <c:overlay val="0"/>
        </c:title>
        <c:numFmt formatCode="&quot;$&quot;#,##0" sourceLinked="0"/>
        <c:majorTickMark val="out"/>
        <c:minorTickMark val="none"/>
        <c:tickLblPos val="nextTo"/>
        <c:txPr>
          <a:bodyPr/>
          <a:lstStyle/>
          <a:p>
            <a:pPr>
              <a:defRPr sz="1200"/>
            </a:pPr>
            <a:endParaRPr lang="en-US"/>
          </a:p>
        </c:txPr>
        <c:crossAx val="232925056"/>
        <c:crosses val="autoZero"/>
        <c:crossBetween val="between"/>
      </c:valAx>
    </c:plotArea>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722949903158"/>
          <c:y val="4.4374540872197936E-2"/>
          <c:w val="0.85792760567452775"/>
          <c:h val="0.86403869827235957"/>
        </c:manualLayout>
      </c:layout>
      <c:barChart>
        <c:barDir val="col"/>
        <c:grouping val="stacked"/>
        <c:varyColors val="0"/>
        <c:ser>
          <c:idx val="0"/>
          <c:order val="0"/>
          <c:tx>
            <c:strRef>
              <c:f>Summary!$B$136</c:f>
              <c:strCache>
                <c:ptCount val="1"/>
                <c:pt idx="0">
                  <c:v>1G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Summary!$C$136:$M$136</c:f>
              <c:numCache>
                <c:formatCode>_("$"* #,##0_);_("$"* \(#,##0\);_("$"* "-"??_);_(@_)</c:formatCode>
                <c:ptCount val="11"/>
                <c:pt idx="0">
                  <c:v>154.16513112975395</c:v>
                </c:pt>
                <c:pt idx="1">
                  <c:v>110.62740763127242</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FD65-1F4A-9073-3D899F10AD6F}"/>
            </c:ext>
          </c:extLst>
        </c:ser>
        <c:ser>
          <c:idx val="1"/>
          <c:order val="1"/>
          <c:tx>
            <c:strRef>
              <c:f>Summary!$B$137</c:f>
              <c:strCache>
                <c:ptCount val="1"/>
                <c:pt idx="0">
                  <c:v>10G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Summary!$C$137:$M$137</c:f>
              <c:numCache>
                <c:formatCode>_("$"* #,##0_);_("$"* \(#,##0\);_("$"* "-"??_);_(@_)</c:formatCode>
                <c:ptCount val="11"/>
                <c:pt idx="0">
                  <c:v>588.89972784362988</c:v>
                </c:pt>
                <c:pt idx="1">
                  <c:v>486.60483553423245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FD65-1F4A-9073-3D899F10AD6F}"/>
            </c:ext>
          </c:extLst>
        </c:ser>
        <c:ser>
          <c:idx val="4"/>
          <c:order val="2"/>
          <c:tx>
            <c:strRef>
              <c:f>Summary!$B$138</c:f>
              <c:strCache>
                <c:ptCount val="1"/>
                <c:pt idx="0">
                  <c:v>25G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Summary!$C$138:$M$138</c:f>
              <c:numCache>
                <c:formatCode>_("$"* #,##0_);_("$"* \(#,##0\);_("$"* "-"??_);_(@_)</c:formatCode>
                <c:ptCount val="11"/>
                <c:pt idx="0" formatCode="_(&quot;$&quot;* #,##0.0_);_(&quot;$&quot;* \(#,##0.0\);_(&quot;$&quot;* &quot;-&quot;??_);_(@_)">
                  <c:v>3.4123060000000001</c:v>
                </c:pt>
                <c:pt idx="1">
                  <c:v>19.187075306914231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FD65-1F4A-9073-3D899F10AD6F}"/>
            </c:ext>
          </c:extLst>
        </c:ser>
        <c:ser>
          <c:idx val="2"/>
          <c:order val="3"/>
          <c:tx>
            <c:strRef>
              <c:f>Summary!$B$139</c:f>
              <c:strCache>
                <c:ptCount val="1"/>
                <c:pt idx="0">
                  <c:v>40G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Summary!$C$139:$M$139</c:f>
              <c:numCache>
                <c:formatCode>_("$"* #,##0_);_("$"* \(#,##0\);_("$"* "-"??_);_(@_)</c:formatCode>
                <c:ptCount val="11"/>
                <c:pt idx="0">
                  <c:v>787.93297017215446</c:v>
                </c:pt>
                <c:pt idx="1">
                  <c:v>904.27751564220159</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FD65-1F4A-9073-3D899F10AD6F}"/>
            </c:ext>
          </c:extLst>
        </c:ser>
        <c:ser>
          <c:idx val="7"/>
          <c:order val="4"/>
          <c:tx>
            <c:strRef>
              <c:f>Summary!$B$140</c:f>
              <c:strCache>
                <c:ptCount val="1"/>
                <c:pt idx="0">
                  <c:v>50G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Summary!$C$140:$M$140</c:f>
              <c:numCache>
                <c:formatCode>_("$"* #,##0_);_("$"* \(#,##0\);_("$"* "-"??_);_(@_)</c:formatCode>
                <c:ptCount val="11"/>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FD65-1F4A-9073-3D899F10AD6F}"/>
            </c:ext>
          </c:extLst>
        </c:ser>
        <c:ser>
          <c:idx val="3"/>
          <c:order val="5"/>
          <c:tx>
            <c:strRef>
              <c:f>Summary!$B$141</c:f>
              <c:strCache>
                <c:ptCount val="1"/>
                <c:pt idx="0">
                  <c:v>100G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Summary!$C$141:$M$141</c:f>
              <c:numCache>
                <c:formatCode>_("$"* #,##0_);_("$"* \(#,##0\);_("$"* "-"??_);_(@_)</c:formatCode>
                <c:ptCount val="11"/>
                <c:pt idx="0">
                  <c:v>1143.1589634696481</c:v>
                </c:pt>
                <c:pt idx="1">
                  <c:v>1653.9743919741536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5-FD65-1F4A-9073-3D899F10AD6F}"/>
            </c:ext>
          </c:extLst>
        </c:ser>
        <c:ser>
          <c:idx val="6"/>
          <c:order val="6"/>
          <c:tx>
            <c:strRef>
              <c:f>Summary!$B$142</c:f>
              <c:strCache>
                <c:ptCount val="1"/>
                <c:pt idx="0">
                  <c:v>200G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Summary!$C$142:$M$142</c:f>
              <c:numCache>
                <c:formatCode>_("$"* #,##0.0_);_("$"* \(#,##0.0\);_("$"* "-"??_);_(@_)</c:formatCode>
                <c:ptCount val="11"/>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numCache>
            </c:numRef>
          </c:val>
          <c:extLst xmlns:c16r2="http://schemas.microsoft.com/office/drawing/2015/06/chart">
            <c:ext xmlns:c16="http://schemas.microsoft.com/office/drawing/2014/chart" uri="{C3380CC4-5D6E-409C-BE32-E72D297353CC}">
              <c16:uniqueId val="{00000006-FD65-1F4A-9073-3D899F10AD6F}"/>
            </c:ext>
          </c:extLst>
        </c:ser>
        <c:ser>
          <c:idx val="5"/>
          <c:order val="7"/>
          <c:tx>
            <c:strRef>
              <c:f>Summary!$B$143</c:f>
              <c:strCache>
                <c:ptCount val="1"/>
                <c:pt idx="0">
                  <c:v>400G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Summary!$C$143:$M$143</c:f>
              <c:numCache>
                <c:formatCode>_("$"* #,##0_);_("$"* \(#,##0\);_("$"* "-"??_);_(@_)</c:formatCode>
                <c:ptCount val="11"/>
                <c:pt idx="1">
                  <c:v>1.3482999999999998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7-FD65-1F4A-9073-3D899F10AD6F}"/>
            </c:ext>
          </c:extLst>
        </c:ser>
        <c:ser>
          <c:idx val="8"/>
          <c:order val="8"/>
          <c:tx>
            <c:strRef>
              <c:f>Summary!$B$144</c:f>
              <c:strCache>
                <c:ptCount val="1"/>
                <c:pt idx="0">
                  <c:v>800G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Summary!$C$144:$M$144</c:f>
              <c:numCache>
                <c:formatCode>_("$"* #,##0_);_("$"* \(#,##0\);_("$"* "-"??_);_(@_)</c:formatCode>
                <c:ptCount val="11"/>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18EA-CD4C-ABF1-D981B606955A}"/>
            </c:ext>
          </c:extLst>
        </c:ser>
        <c:dLbls>
          <c:showLegendKey val="0"/>
          <c:showVal val="0"/>
          <c:showCatName val="0"/>
          <c:showSerName val="0"/>
          <c:showPercent val="0"/>
          <c:showBubbleSize val="0"/>
        </c:dLbls>
        <c:gapWidth val="150"/>
        <c:overlap val="100"/>
        <c:axId val="232854656"/>
        <c:axId val="232856192"/>
      </c:barChart>
      <c:catAx>
        <c:axId val="232854656"/>
        <c:scaling>
          <c:orientation val="minMax"/>
        </c:scaling>
        <c:delete val="0"/>
        <c:axPos val="b"/>
        <c:numFmt formatCode="General" sourceLinked="1"/>
        <c:majorTickMark val="out"/>
        <c:minorTickMark val="none"/>
        <c:tickLblPos val="nextTo"/>
        <c:txPr>
          <a:bodyPr/>
          <a:lstStyle/>
          <a:p>
            <a:pPr>
              <a:defRPr sz="1200"/>
            </a:pPr>
            <a:endParaRPr lang="en-US"/>
          </a:p>
        </c:txPr>
        <c:crossAx val="232856192"/>
        <c:crosses val="autoZero"/>
        <c:auto val="1"/>
        <c:lblAlgn val="ctr"/>
        <c:lblOffset val="100"/>
        <c:noMultiLvlLbl val="0"/>
      </c:catAx>
      <c:valAx>
        <c:axId val="232856192"/>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232854656"/>
        <c:crosses val="autoZero"/>
        <c:crossBetween val="between"/>
      </c:valAx>
    </c:plotArea>
    <c:legend>
      <c:legendPos val="t"/>
      <c:layout>
        <c:manualLayout>
          <c:xMode val="edge"/>
          <c:yMode val="edge"/>
          <c:x val="0.13671413544724978"/>
          <c:y val="5.4416644570205626E-2"/>
          <c:w val="0.22702742999429945"/>
          <c:h val="0.33582651803846947"/>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415625773674872"/>
          <c:y val="4.2205107408400763E-2"/>
          <c:w val="0.77443754472476678"/>
          <c:h val="0.84519756537436974"/>
        </c:manualLayout>
      </c:layout>
      <c:barChart>
        <c:barDir val="col"/>
        <c:grouping val="stacked"/>
        <c:varyColors val="0"/>
        <c:ser>
          <c:idx val="0"/>
          <c:order val="0"/>
          <c:tx>
            <c:strRef>
              <c:f>Summary!$B$119</c:f>
              <c:strCache>
                <c:ptCount val="1"/>
                <c:pt idx="0">
                  <c:v>1G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Summary!$C$119:$M$119</c:f>
              <c:numCache>
                <c:formatCode>_(* #,##0_);_(* \(#,##0\);_(* "-"??_);_(@_)</c:formatCode>
                <c:ptCount val="11"/>
                <c:pt idx="0">
                  <c:v>13567410.105</c:v>
                </c:pt>
                <c:pt idx="1">
                  <c:v>11273695.050000001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FFC3-BC43-AD83-EAFEE37073E6}"/>
            </c:ext>
          </c:extLst>
        </c:ser>
        <c:ser>
          <c:idx val="1"/>
          <c:order val="1"/>
          <c:tx>
            <c:strRef>
              <c:f>Summary!$B$120</c:f>
              <c:strCache>
                <c:ptCount val="1"/>
                <c:pt idx="0">
                  <c:v>10G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Summary!$C$120:$M$120</c:f>
              <c:numCache>
                <c:formatCode>_(* #,##0_);_(* \(#,##0\);_(* "-"??_);_(@_)</c:formatCode>
                <c:ptCount val="11"/>
                <c:pt idx="0">
                  <c:v>18516818.93</c:v>
                </c:pt>
                <c:pt idx="1">
                  <c:v>19945022.100000001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FFC3-BC43-AD83-EAFEE37073E6}"/>
            </c:ext>
          </c:extLst>
        </c:ser>
        <c:ser>
          <c:idx val="4"/>
          <c:order val="2"/>
          <c:tx>
            <c:strRef>
              <c:f>Summary!$B$121</c:f>
              <c:strCache>
                <c:ptCount val="1"/>
                <c:pt idx="0">
                  <c:v>25G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Summary!$C$121:$M$121</c:f>
              <c:numCache>
                <c:formatCode>_(* #,##0_);_(* \(#,##0\);_(* "-"??_);_(@_)</c:formatCode>
                <c:ptCount val="11"/>
                <c:pt idx="0">
                  <c:v>11694</c:v>
                </c:pt>
                <c:pt idx="1">
                  <c:v>113327</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FFC3-BC43-AD83-EAFEE37073E6}"/>
            </c:ext>
          </c:extLst>
        </c:ser>
        <c:ser>
          <c:idx val="2"/>
          <c:order val="3"/>
          <c:tx>
            <c:strRef>
              <c:f>Summary!$B$122</c:f>
              <c:strCache>
                <c:ptCount val="1"/>
                <c:pt idx="0">
                  <c:v>40G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Summary!$C$122:$M$122</c:f>
              <c:numCache>
                <c:formatCode>_(* #,##0_);_(* \(#,##0\);_(* "-"??_);_(@_)</c:formatCode>
                <c:ptCount val="11"/>
                <c:pt idx="0">
                  <c:v>3153068</c:v>
                </c:pt>
                <c:pt idx="1">
                  <c:v>3864160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3-FFC3-BC43-AD83-EAFEE37073E6}"/>
            </c:ext>
          </c:extLst>
        </c:ser>
        <c:ser>
          <c:idx val="6"/>
          <c:order val="4"/>
          <c:tx>
            <c:strRef>
              <c:f>Summary!$B$123</c:f>
              <c:strCache>
                <c:ptCount val="1"/>
                <c:pt idx="0">
                  <c:v>50G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Summary!$C$123:$M$123</c:f>
              <c:numCache>
                <c:formatCode>_(* #,##0_);_(* \(#,##0\);_(* "-"??_);_(@_)</c:formatCode>
                <c:ptCount val="11"/>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4-FFC3-BC43-AD83-EAFEE37073E6}"/>
            </c:ext>
          </c:extLst>
        </c:ser>
        <c:ser>
          <c:idx val="3"/>
          <c:order val="5"/>
          <c:tx>
            <c:strRef>
              <c:f>Summary!$B$124</c:f>
              <c:strCache>
                <c:ptCount val="1"/>
                <c:pt idx="0">
                  <c:v>100G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Summary!$C$124:$M$124</c:f>
              <c:numCache>
                <c:formatCode>_(* #,##0_);_(* \(#,##0\);_(* "-"??_);_(@_)</c:formatCode>
                <c:ptCount val="11"/>
                <c:pt idx="0">
                  <c:v>919370</c:v>
                </c:pt>
                <c:pt idx="1">
                  <c:v>2881490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5-FFC3-BC43-AD83-EAFEE37073E6}"/>
            </c:ext>
          </c:extLst>
        </c:ser>
        <c:ser>
          <c:idx val="7"/>
          <c:order val="6"/>
          <c:tx>
            <c:strRef>
              <c:f>Summary!$B$125</c:f>
              <c:strCache>
                <c:ptCount val="1"/>
                <c:pt idx="0">
                  <c:v>200G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Summary!$C$125:$M$125</c:f>
              <c:numCache>
                <c:formatCode>_(* #,##0_);_(* \(#,##0\);_(* "-"??_);_(@_)</c:formatCode>
                <c:ptCount val="11"/>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6-FFC3-BC43-AD83-EAFEE37073E6}"/>
            </c:ext>
          </c:extLst>
        </c:ser>
        <c:ser>
          <c:idx val="5"/>
          <c:order val="7"/>
          <c:tx>
            <c:strRef>
              <c:f>Summary!$B$126</c:f>
              <c:strCache>
                <c:ptCount val="1"/>
                <c:pt idx="0">
                  <c:v>400G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Summary!$C$126:$M$126</c:f>
              <c:numCache>
                <c:formatCode>_(* #,##0_);_(* \(#,##0\);_(* "-"??_);_(@_)</c:formatCode>
                <c:ptCount val="11"/>
                <c:pt idx="1">
                  <c:v>89</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7-FFC3-BC43-AD83-EAFEE37073E6}"/>
            </c:ext>
          </c:extLst>
        </c:ser>
        <c:ser>
          <c:idx val="8"/>
          <c:order val="8"/>
          <c:tx>
            <c:strRef>
              <c:f>Summary!$B$127</c:f>
              <c:strCache>
                <c:ptCount val="1"/>
                <c:pt idx="0">
                  <c:v>800G</c:v>
                </c:pt>
              </c:strCache>
            </c:strRef>
          </c:tx>
          <c:invertIfNegative val="0"/>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Summary!$C$127:$M$127</c:f>
              <c:numCache>
                <c:formatCode>_(* #,##0_);_(* \(#,##0\);_(* "-"??_);_(@_)</c:formatCode>
                <c:ptCount val="11"/>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E283-D14F-A632-754F8EB4891E}"/>
            </c:ext>
          </c:extLst>
        </c:ser>
        <c:dLbls>
          <c:showLegendKey val="0"/>
          <c:showVal val="0"/>
          <c:showCatName val="0"/>
          <c:showSerName val="0"/>
          <c:showPercent val="0"/>
          <c:showBubbleSize val="0"/>
        </c:dLbls>
        <c:gapWidth val="150"/>
        <c:overlap val="100"/>
        <c:axId val="232899712"/>
        <c:axId val="232901248"/>
      </c:barChart>
      <c:catAx>
        <c:axId val="232899712"/>
        <c:scaling>
          <c:orientation val="minMax"/>
        </c:scaling>
        <c:delete val="0"/>
        <c:axPos val="b"/>
        <c:numFmt formatCode="General" sourceLinked="1"/>
        <c:majorTickMark val="out"/>
        <c:minorTickMark val="none"/>
        <c:tickLblPos val="nextTo"/>
        <c:txPr>
          <a:bodyPr/>
          <a:lstStyle/>
          <a:p>
            <a:pPr>
              <a:defRPr sz="1200"/>
            </a:pPr>
            <a:endParaRPr lang="en-US"/>
          </a:p>
        </c:txPr>
        <c:crossAx val="232901248"/>
        <c:crosses val="autoZero"/>
        <c:auto val="1"/>
        <c:lblAlgn val="ctr"/>
        <c:lblOffset val="100"/>
        <c:noMultiLvlLbl val="0"/>
      </c:catAx>
      <c:valAx>
        <c:axId val="232901248"/>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2.5693500961476497E-2"/>
              <c:y val="0.25022654293800212"/>
            </c:manualLayout>
          </c:layout>
          <c:overlay val="0"/>
        </c:title>
        <c:numFmt formatCode="_(* #,##0_);_(* \(#,##0\);_(* &quot;-&quot;_);_(@_)" sourceLinked="0"/>
        <c:majorTickMark val="out"/>
        <c:minorTickMark val="none"/>
        <c:tickLblPos val="nextTo"/>
        <c:txPr>
          <a:bodyPr/>
          <a:lstStyle/>
          <a:p>
            <a:pPr>
              <a:defRPr sz="1200"/>
            </a:pPr>
            <a:endParaRPr lang="en-US"/>
          </a:p>
        </c:txPr>
        <c:crossAx val="232899712"/>
        <c:crosses val="autoZero"/>
        <c:crossBetween val="between"/>
      </c:valAx>
    </c:plotArea>
    <c:legend>
      <c:legendPos val="t"/>
      <c:layout>
        <c:manualLayout>
          <c:xMode val="edge"/>
          <c:yMode val="edge"/>
          <c:x val="0.21917716603529147"/>
          <c:y val="7.5389954081811483E-2"/>
          <c:w val="0.26094723240599743"/>
          <c:h val="0.36750339471506493"/>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075180738459866"/>
          <c:y val="6.0979003054420146E-2"/>
          <c:w val="0.78733439496758928"/>
          <c:h val="0.83064707120677872"/>
        </c:manualLayout>
      </c:layout>
      <c:lineChart>
        <c:grouping val="standard"/>
        <c:varyColors val="0"/>
        <c:ser>
          <c:idx val="0"/>
          <c:order val="0"/>
          <c:tx>
            <c:strRef>
              <c:f>Summary!$B$119</c:f>
              <c:strCache>
                <c:ptCount val="1"/>
                <c:pt idx="0">
                  <c:v>1G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Summary!$C$119:$M$119</c:f>
              <c:numCache>
                <c:formatCode>_(* #,##0_);_(* \(#,##0\);_(* "-"??_);_(@_)</c:formatCode>
                <c:ptCount val="11"/>
                <c:pt idx="0">
                  <c:v>13567410.105</c:v>
                </c:pt>
                <c:pt idx="1">
                  <c:v>11273695.050000001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563D-9542-A559-C232ED949B76}"/>
            </c:ext>
          </c:extLst>
        </c:ser>
        <c:ser>
          <c:idx val="1"/>
          <c:order val="1"/>
          <c:tx>
            <c:strRef>
              <c:f>Summary!$B$120</c:f>
              <c:strCache>
                <c:ptCount val="1"/>
                <c:pt idx="0">
                  <c:v>10G</c:v>
                </c:pt>
              </c:strCache>
            </c:strRef>
          </c:tx>
          <c:marker>
            <c:symbol val="square"/>
            <c:size val="5"/>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Summary!$C$120:$M$120</c:f>
              <c:numCache>
                <c:formatCode>_(* #,##0_);_(* \(#,##0\);_(* "-"??_);_(@_)</c:formatCode>
                <c:ptCount val="11"/>
                <c:pt idx="0">
                  <c:v>18516818.93</c:v>
                </c:pt>
                <c:pt idx="1">
                  <c:v>19945022.100000001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563D-9542-A559-C232ED949B76}"/>
            </c:ext>
          </c:extLst>
        </c:ser>
        <c:ser>
          <c:idx val="3"/>
          <c:order val="2"/>
          <c:tx>
            <c:strRef>
              <c:f>Summary!$B$124</c:f>
              <c:strCache>
                <c:ptCount val="1"/>
                <c:pt idx="0">
                  <c:v>100G</c:v>
                </c:pt>
              </c:strCache>
            </c:strRef>
          </c:tx>
          <c:marker>
            <c:symbol val="circle"/>
            <c:size val="5"/>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Summary!$C$124:$M$124</c:f>
              <c:numCache>
                <c:formatCode>_(* #,##0_);_(* \(#,##0\);_(* "-"??_);_(@_)</c:formatCode>
                <c:ptCount val="11"/>
                <c:pt idx="0">
                  <c:v>919370</c:v>
                </c:pt>
                <c:pt idx="1">
                  <c:v>2881490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563D-9542-A559-C232ED949B76}"/>
            </c:ext>
          </c:extLst>
        </c:ser>
        <c:dLbls>
          <c:showLegendKey val="0"/>
          <c:showVal val="0"/>
          <c:showCatName val="0"/>
          <c:showSerName val="0"/>
          <c:showPercent val="0"/>
          <c:showBubbleSize val="0"/>
        </c:dLbls>
        <c:marker val="1"/>
        <c:smooth val="0"/>
        <c:axId val="233075840"/>
        <c:axId val="233077376"/>
      </c:lineChart>
      <c:catAx>
        <c:axId val="233075840"/>
        <c:scaling>
          <c:orientation val="minMax"/>
        </c:scaling>
        <c:delete val="0"/>
        <c:axPos val="b"/>
        <c:numFmt formatCode="General" sourceLinked="1"/>
        <c:majorTickMark val="out"/>
        <c:minorTickMark val="none"/>
        <c:tickLblPos val="nextTo"/>
        <c:txPr>
          <a:bodyPr/>
          <a:lstStyle/>
          <a:p>
            <a:pPr>
              <a:defRPr sz="1200"/>
            </a:pPr>
            <a:endParaRPr lang="en-US"/>
          </a:p>
        </c:txPr>
        <c:crossAx val="233077376"/>
        <c:crosses val="autoZero"/>
        <c:auto val="1"/>
        <c:lblAlgn val="ctr"/>
        <c:lblOffset val="100"/>
        <c:noMultiLvlLbl val="0"/>
      </c:catAx>
      <c:valAx>
        <c:axId val="233077376"/>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681321678506862E-2"/>
              <c:y val="0.19364728332974018"/>
            </c:manualLayout>
          </c:layout>
          <c:overlay val="0"/>
        </c:title>
        <c:numFmt formatCode="_(* #,##0_);_(* \(#,##0\);_(* &quot;-&quot;_);_(@_)" sourceLinked="0"/>
        <c:majorTickMark val="out"/>
        <c:minorTickMark val="none"/>
        <c:tickLblPos val="nextTo"/>
        <c:txPr>
          <a:bodyPr/>
          <a:lstStyle/>
          <a:p>
            <a:pPr>
              <a:defRPr sz="1200"/>
            </a:pPr>
            <a:endParaRPr lang="en-US"/>
          </a:p>
        </c:txPr>
        <c:crossAx val="233075840"/>
        <c:crosses val="autoZero"/>
        <c:crossBetween val="between"/>
      </c:valAx>
    </c:plotArea>
    <c:legend>
      <c:legendPos val="t"/>
      <c:layout>
        <c:manualLayout>
          <c:xMode val="edge"/>
          <c:yMode val="edge"/>
          <c:x val="0.21089597351266823"/>
          <c:y val="7.8250856523301798E-2"/>
          <c:w val="0.13842346071518044"/>
          <c:h val="0.2318847340008503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10430821875071"/>
          <c:y val="6.0979003054420146E-2"/>
          <c:w val="0.80098190213161424"/>
          <c:h val="0.83064707120677872"/>
        </c:manualLayout>
      </c:layout>
      <c:lineChart>
        <c:grouping val="standard"/>
        <c:varyColors val="0"/>
        <c:ser>
          <c:idx val="4"/>
          <c:order val="0"/>
          <c:tx>
            <c:strRef>
              <c:f>Summary!$B$121</c:f>
              <c:strCache>
                <c:ptCount val="1"/>
                <c:pt idx="0">
                  <c:v>25G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Summary!$C$121:$M$121</c:f>
              <c:numCache>
                <c:formatCode>_(* #,##0_);_(* \(#,##0\);_(* "-"??_);_(@_)</c:formatCode>
                <c:ptCount val="11"/>
                <c:pt idx="0">
                  <c:v>11694</c:v>
                </c:pt>
                <c:pt idx="1">
                  <c:v>113327</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563D-9542-A559-C232ED949B76}"/>
            </c:ext>
          </c:extLst>
        </c:ser>
        <c:ser>
          <c:idx val="0"/>
          <c:order val="1"/>
          <c:tx>
            <c:v>40G</c:v>
          </c:tx>
          <c:spPr>
            <a:ln>
              <a:solidFill>
                <a:schemeClr val="accent3"/>
              </a:solidFill>
            </a:ln>
          </c:spPr>
          <c:marker>
            <c:spPr>
              <a:solidFill>
                <a:schemeClr val="accent3"/>
              </a:solidFill>
              <a:ln>
                <a:solidFill>
                  <a:schemeClr val="accent3"/>
                </a:solidFill>
              </a:ln>
            </c:spPr>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Summary!$C$122:$M$122</c:f>
              <c:numCache>
                <c:formatCode>_(* #,##0_);_(* \(#,##0\);_(* "-"??_);_(@_)</c:formatCode>
                <c:ptCount val="11"/>
                <c:pt idx="0">
                  <c:v>3153068</c:v>
                </c:pt>
                <c:pt idx="1">
                  <c:v>3864160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9493-EC4F-A833-CE38BE01BC90}"/>
            </c:ext>
          </c:extLst>
        </c:ser>
        <c:ser>
          <c:idx val="6"/>
          <c:order val="2"/>
          <c:tx>
            <c:strRef>
              <c:f>Summary!$B$123</c:f>
              <c:strCache>
                <c:ptCount val="1"/>
                <c:pt idx="0">
                  <c:v>50G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Summary!$C$123:$M$123</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563D-9542-A559-C232ED949B76}"/>
            </c:ext>
          </c:extLst>
        </c:ser>
        <c:ser>
          <c:idx val="7"/>
          <c:order val="3"/>
          <c:tx>
            <c:strRef>
              <c:f>Summary!$B$125</c:f>
              <c:strCache>
                <c:ptCount val="1"/>
                <c:pt idx="0">
                  <c:v>200G</c:v>
                </c:pt>
              </c:strCache>
            </c:strRef>
          </c:tx>
          <c:marker>
            <c:symbol val="plus"/>
            <c:size val="7"/>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Summary!$C$125:$M$125</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6-563D-9542-A559-C232ED949B76}"/>
            </c:ext>
          </c:extLst>
        </c:ser>
        <c:ser>
          <c:idx val="5"/>
          <c:order val="4"/>
          <c:tx>
            <c:strRef>
              <c:f>Summary!$B$126</c:f>
              <c:strCache>
                <c:ptCount val="1"/>
                <c:pt idx="0">
                  <c:v>400G</c:v>
                </c:pt>
              </c:strCache>
            </c:strRef>
          </c:tx>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Summary!$C$126:$M$126</c:f>
              <c:numCache>
                <c:formatCode>_(* #,##0_);_(* \(#,##0\);_(* "-"??_);_(@_)</c:formatCode>
                <c:ptCount val="11"/>
                <c:pt idx="1">
                  <c:v>89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7-563D-9542-A559-C232ED949B76}"/>
            </c:ext>
          </c:extLst>
        </c:ser>
        <c:ser>
          <c:idx val="8"/>
          <c:order val="5"/>
          <c:tx>
            <c:strRef>
              <c:f>Summary!$B$127</c:f>
              <c:strCache>
                <c:ptCount val="1"/>
                <c:pt idx="0">
                  <c:v>800G</c:v>
                </c:pt>
              </c:strCache>
            </c:strRef>
          </c:tx>
          <c:spPr>
            <a:ln>
              <a:solidFill>
                <a:srgbClr val="00B050"/>
              </a:solidFill>
            </a:ln>
          </c:spPr>
          <c:marker>
            <c:spPr>
              <a:solidFill>
                <a:srgbClr val="00B050"/>
              </a:solidFill>
              <a:ln>
                <a:solidFill>
                  <a:srgbClr val="00B050"/>
                </a:solidFill>
              </a:ln>
            </c:spPr>
          </c:marker>
          <c:cat>
            <c:numRef>
              <c:f>Summary!$C$118:$M$118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Summary!$C$127:$M$127</c:f>
              <c:numCache>
                <c:formatCode>_(* #,##0_);_(* \(#,##0\);_(* "-"??_);_(@_)</c:formatCode>
                <c:ptCount val="11"/>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D6E9-C844-9D3A-CB9DAF54EC16}"/>
            </c:ext>
          </c:extLst>
        </c:ser>
        <c:dLbls>
          <c:showLegendKey val="0"/>
          <c:showVal val="0"/>
          <c:showCatName val="0"/>
          <c:showSerName val="0"/>
          <c:showPercent val="0"/>
          <c:showBubbleSize val="0"/>
        </c:dLbls>
        <c:marker val="1"/>
        <c:smooth val="0"/>
        <c:axId val="233194240"/>
        <c:axId val="233196160"/>
      </c:lineChart>
      <c:catAx>
        <c:axId val="233194240"/>
        <c:scaling>
          <c:orientation val="minMax"/>
        </c:scaling>
        <c:delete val="0"/>
        <c:axPos val="b"/>
        <c:numFmt formatCode="General" sourceLinked="1"/>
        <c:majorTickMark val="out"/>
        <c:minorTickMark val="none"/>
        <c:tickLblPos val="nextTo"/>
        <c:txPr>
          <a:bodyPr/>
          <a:lstStyle/>
          <a:p>
            <a:pPr>
              <a:defRPr sz="1200"/>
            </a:pPr>
            <a:endParaRPr lang="en-US"/>
          </a:p>
        </c:txPr>
        <c:crossAx val="233196160"/>
        <c:crosses val="autoZero"/>
        <c:auto val="1"/>
        <c:lblAlgn val="ctr"/>
        <c:lblOffset val="100"/>
        <c:noMultiLvlLbl val="0"/>
      </c:catAx>
      <c:valAx>
        <c:axId val="233196160"/>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2.5115545908029595E-2"/>
              <c:y val="0.19364728332974018"/>
            </c:manualLayout>
          </c:layout>
          <c:overlay val="0"/>
        </c:title>
        <c:numFmt formatCode="_(* #,##0_);_(* \(#,##0\);_(* &quot;-&quot;_);_(@_)" sourceLinked="0"/>
        <c:majorTickMark val="out"/>
        <c:minorTickMark val="none"/>
        <c:tickLblPos val="nextTo"/>
        <c:txPr>
          <a:bodyPr/>
          <a:lstStyle/>
          <a:p>
            <a:pPr>
              <a:defRPr sz="1200"/>
            </a:pPr>
            <a:endParaRPr lang="en-US"/>
          </a:p>
        </c:txPr>
        <c:crossAx val="233194240"/>
        <c:crosses val="autoZero"/>
        <c:crossBetween val="between"/>
      </c:valAx>
    </c:plotArea>
    <c:legend>
      <c:legendPos val="t"/>
      <c:layout>
        <c:manualLayout>
          <c:xMode val="edge"/>
          <c:yMode val="edge"/>
          <c:x val="0.2146402593009776"/>
          <c:y val="0.10103569231891681"/>
          <c:w val="0.19146329689239469"/>
          <c:h val="0.5432772394375798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60533338736253"/>
          <c:y val="5.383936369482302E-2"/>
          <c:w val="0.84204267984274561"/>
          <c:h val="0.85039737948044036"/>
        </c:manualLayout>
      </c:layout>
      <c:lineChart>
        <c:grouping val="standard"/>
        <c:varyColors val="0"/>
        <c:ser>
          <c:idx val="1"/>
          <c:order val="0"/>
          <c:tx>
            <c:strRef>
              <c:f>Summary!$B$137</c:f>
              <c:strCache>
                <c:ptCount val="1"/>
                <c:pt idx="0">
                  <c:v>10G</c:v>
                </c:pt>
              </c:strCache>
            </c:strRef>
          </c:tx>
          <c:marker>
            <c:symbol val="square"/>
            <c:size val="5"/>
          </c:marker>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Summary!$C$137:$M$137</c:f>
              <c:numCache>
                <c:formatCode>_("$"* #,##0_);_("$"* \(#,##0\);_("$"* "-"??_);_(@_)</c:formatCode>
                <c:ptCount val="11"/>
                <c:pt idx="0">
                  <c:v>588.89972784362988</c:v>
                </c:pt>
                <c:pt idx="1">
                  <c:v>486.60483553423245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547B-AE46-A98C-233E0A537257}"/>
            </c:ext>
          </c:extLst>
        </c:ser>
        <c:ser>
          <c:idx val="2"/>
          <c:order val="1"/>
          <c:tx>
            <c:strRef>
              <c:f>Summary!$B$139</c:f>
              <c:strCache>
                <c:ptCount val="1"/>
                <c:pt idx="0">
                  <c:v>40G</c:v>
                </c:pt>
              </c:strCache>
            </c:strRef>
          </c:tx>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Summary!$C$139:$M$139</c:f>
              <c:numCache>
                <c:formatCode>_("$"* #,##0_);_("$"* \(#,##0\);_("$"* "-"??_);_(@_)</c:formatCode>
                <c:ptCount val="11"/>
                <c:pt idx="0">
                  <c:v>787.93297017215446</c:v>
                </c:pt>
                <c:pt idx="1">
                  <c:v>904.27751564220159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547B-AE46-A98C-233E0A537257}"/>
            </c:ext>
          </c:extLst>
        </c:ser>
        <c:ser>
          <c:idx val="3"/>
          <c:order val="2"/>
          <c:tx>
            <c:strRef>
              <c:f>Summary!$B$141</c:f>
              <c:strCache>
                <c:ptCount val="1"/>
                <c:pt idx="0">
                  <c:v>100G</c:v>
                </c:pt>
              </c:strCache>
            </c:strRef>
          </c:tx>
          <c:marker>
            <c:symbol val="circle"/>
            <c:size val="5"/>
          </c:marker>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Summary!$C$141:$M$141</c:f>
              <c:numCache>
                <c:formatCode>_("$"* #,##0_);_("$"* \(#,##0\);_("$"* "-"??_);_(@_)</c:formatCode>
                <c:ptCount val="11"/>
                <c:pt idx="0">
                  <c:v>1143.1589634696481</c:v>
                </c:pt>
                <c:pt idx="1">
                  <c:v>1653.9743919741536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547B-AE46-A98C-233E0A537257}"/>
            </c:ext>
          </c:extLst>
        </c:ser>
        <c:ser>
          <c:idx val="6"/>
          <c:order val="3"/>
          <c:tx>
            <c:strRef>
              <c:f>Summary!$B$142</c:f>
              <c:strCache>
                <c:ptCount val="1"/>
                <c:pt idx="0">
                  <c:v>200G</c:v>
                </c:pt>
              </c:strCache>
            </c:strRef>
          </c:tx>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Summary!$C$142:$M$142</c:f>
              <c:numCache>
                <c:formatCode>_("$"* #,##0.0_);_("$"* \(#,##0.0\);_("$"* "-"??_);_(@_)</c:formatCode>
                <c:ptCount val="11"/>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numCache>
            </c:numRef>
          </c:val>
          <c:smooth val="0"/>
          <c:extLst xmlns:c16r2="http://schemas.microsoft.com/office/drawing/2015/06/chart">
            <c:ext xmlns:c16="http://schemas.microsoft.com/office/drawing/2014/chart" uri="{C3380CC4-5D6E-409C-BE32-E72D297353CC}">
              <c16:uniqueId val="{00000006-547B-AE46-A98C-233E0A537257}"/>
            </c:ext>
          </c:extLst>
        </c:ser>
        <c:ser>
          <c:idx val="5"/>
          <c:order val="4"/>
          <c:tx>
            <c:strRef>
              <c:f>Summary!$B$143</c:f>
              <c:strCache>
                <c:ptCount val="1"/>
                <c:pt idx="0">
                  <c:v>400G</c:v>
                </c:pt>
              </c:strCache>
            </c:strRef>
          </c:tx>
          <c:marker>
            <c:symbol val="circle"/>
            <c:size val="5"/>
          </c:marker>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Summary!$C$143:$M$143</c:f>
              <c:numCache>
                <c:formatCode>_("$"* #,##0_);_("$"* \(#,##0\);_("$"* "-"??_);_(@_)</c:formatCode>
                <c:ptCount val="11"/>
                <c:pt idx="1">
                  <c:v>1.3482999999999998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7-547B-AE46-A98C-233E0A537257}"/>
            </c:ext>
          </c:extLst>
        </c:ser>
        <c:ser>
          <c:idx val="8"/>
          <c:order val="5"/>
          <c:tx>
            <c:strRef>
              <c:f>Summary!$B$144</c:f>
              <c:strCache>
                <c:ptCount val="1"/>
                <c:pt idx="0">
                  <c:v>800G</c:v>
                </c:pt>
              </c:strCache>
            </c:strRef>
          </c:tx>
          <c:spPr>
            <a:ln>
              <a:solidFill>
                <a:srgbClr val="00B050"/>
              </a:solidFill>
            </a:ln>
          </c:spPr>
          <c:marker>
            <c:spPr>
              <a:solidFill>
                <a:srgbClr val="00B050"/>
              </a:solidFill>
              <a:ln>
                <a:solidFill>
                  <a:srgbClr val="00B050"/>
                </a:solidFill>
              </a:ln>
            </c:spPr>
          </c:marker>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Summary!$C$144:$M$144</c:f>
              <c:numCache>
                <c:formatCode>_("$"* #,##0_);_("$"* \(#,##0\);_("$"* "-"??_);_(@_)</c:formatCode>
                <c:ptCount val="11"/>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39BF-9C49-9DC9-C031F2F3D5A6}"/>
            </c:ext>
          </c:extLst>
        </c:ser>
        <c:dLbls>
          <c:showLegendKey val="0"/>
          <c:showVal val="0"/>
          <c:showCatName val="0"/>
          <c:showSerName val="0"/>
          <c:showPercent val="0"/>
          <c:showBubbleSize val="0"/>
        </c:dLbls>
        <c:marker val="1"/>
        <c:smooth val="0"/>
        <c:axId val="233251584"/>
        <c:axId val="233253504"/>
      </c:lineChart>
      <c:catAx>
        <c:axId val="233251584"/>
        <c:scaling>
          <c:orientation val="minMax"/>
        </c:scaling>
        <c:delete val="0"/>
        <c:axPos val="b"/>
        <c:numFmt formatCode="General" sourceLinked="1"/>
        <c:majorTickMark val="out"/>
        <c:minorTickMark val="none"/>
        <c:tickLblPos val="nextTo"/>
        <c:txPr>
          <a:bodyPr/>
          <a:lstStyle/>
          <a:p>
            <a:pPr>
              <a:defRPr sz="1200"/>
            </a:pPr>
            <a:endParaRPr lang="en-US"/>
          </a:p>
        </c:txPr>
        <c:crossAx val="233253504"/>
        <c:crosses val="autoZero"/>
        <c:auto val="1"/>
        <c:lblAlgn val="ctr"/>
        <c:lblOffset val="100"/>
        <c:noMultiLvlLbl val="0"/>
      </c:catAx>
      <c:valAx>
        <c:axId val="233253504"/>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83162781921E-2"/>
              <c:y val="0.28140922384701911"/>
            </c:manualLayout>
          </c:layout>
          <c:overlay val="0"/>
        </c:title>
        <c:numFmt formatCode="&quot;$&quot;#,##0" sourceLinked="0"/>
        <c:majorTickMark val="out"/>
        <c:minorTickMark val="none"/>
        <c:tickLblPos val="nextTo"/>
        <c:txPr>
          <a:bodyPr/>
          <a:lstStyle/>
          <a:p>
            <a:pPr>
              <a:defRPr sz="1200"/>
            </a:pPr>
            <a:endParaRPr lang="en-US"/>
          </a:p>
        </c:txPr>
        <c:crossAx val="233251584"/>
        <c:crosses val="autoZero"/>
        <c:crossBetween val="between"/>
      </c:valAx>
    </c:plotArea>
    <c:legend>
      <c:legendPos val="t"/>
      <c:layout>
        <c:manualLayout>
          <c:xMode val="edge"/>
          <c:yMode val="edge"/>
          <c:x val="0.14841397118921953"/>
          <c:y val="6.6181565103065915E-2"/>
          <c:w val="0.84466294951602017"/>
          <c:h val="8.275496934447793E-2"/>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32984035341698"/>
          <c:y val="4.9886318107985946E-2"/>
          <c:w val="0.84377666359227232"/>
          <c:h val="0.86620914310300245"/>
        </c:manualLayout>
      </c:layout>
      <c:lineChart>
        <c:grouping val="standard"/>
        <c:varyColors val="0"/>
        <c:ser>
          <c:idx val="0"/>
          <c:order val="0"/>
          <c:tx>
            <c:strRef>
              <c:f>Summary!$B$136</c:f>
              <c:strCache>
                <c:ptCount val="1"/>
                <c:pt idx="0">
                  <c:v>1G</c:v>
                </c:pt>
              </c:strCache>
            </c:strRef>
          </c:tx>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Summary!$C$136:$M$136</c:f>
              <c:numCache>
                <c:formatCode>_("$"* #,##0_);_("$"* \(#,##0\);_("$"* "-"??_);_(@_)</c:formatCode>
                <c:ptCount val="11"/>
                <c:pt idx="0">
                  <c:v>154.16513112975395</c:v>
                </c:pt>
                <c:pt idx="1">
                  <c:v>110.62740763127242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547B-AE46-A98C-233E0A537257}"/>
            </c:ext>
          </c:extLst>
        </c:ser>
        <c:ser>
          <c:idx val="4"/>
          <c:order val="1"/>
          <c:tx>
            <c:strRef>
              <c:f>Summary!$B$138</c:f>
              <c:strCache>
                <c:ptCount val="1"/>
                <c:pt idx="0">
                  <c:v>25G</c:v>
                </c:pt>
              </c:strCache>
            </c:strRef>
          </c:tx>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Summary!$C$138:$M$138</c:f>
              <c:numCache>
                <c:formatCode>_("$"* #,##0_);_("$"* \(#,##0\);_("$"* "-"??_);_(@_)</c:formatCode>
                <c:ptCount val="11"/>
                <c:pt idx="0" formatCode="_(&quot;$&quot;* #,##0.0_);_(&quot;$&quot;* \(#,##0.0\);_(&quot;$&quot;* &quot;-&quot;??_);_(@_)">
                  <c:v>3.4123060000000001</c:v>
                </c:pt>
                <c:pt idx="1">
                  <c:v>19.187075306914231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547B-AE46-A98C-233E0A537257}"/>
            </c:ext>
          </c:extLst>
        </c:ser>
        <c:ser>
          <c:idx val="7"/>
          <c:order val="2"/>
          <c:tx>
            <c:strRef>
              <c:f>Summary!$B$140</c:f>
              <c:strCache>
                <c:ptCount val="1"/>
                <c:pt idx="0">
                  <c:v>50G</c:v>
                </c:pt>
              </c:strCache>
            </c:strRef>
          </c:tx>
          <c:marker>
            <c:symbol val="plus"/>
            <c:size val="7"/>
          </c:marker>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Summary!$C$140:$M$140</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547B-AE46-A98C-233E0A537257}"/>
            </c:ext>
          </c:extLst>
        </c:ser>
        <c:dLbls>
          <c:showLegendKey val="0"/>
          <c:showVal val="0"/>
          <c:showCatName val="0"/>
          <c:showSerName val="0"/>
          <c:showPercent val="0"/>
          <c:showBubbleSize val="0"/>
        </c:dLbls>
        <c:marker val="1"/>
        <c:smooth val="0"/>
        <c:axId val="233292544"/>
        <c:axId val="233294080"/>
      </c:lineChart>
      <c:catAx>
        <c:axId val="233292544"/>
        <c:scaling>
          <c:orientation val="minMax"/>
        </c:scaling>
        <c:delete val="0"/>
        <c:axPos val="b"/>
        <c:numFmt formatCode="General" sourceLinked="1"/>
        <c:majorTickMark val="out"/>
        <c:minorTickMark val="none"/>
        <c:tickLblPos val="nextTo"/>
        <c:txPr>
          <a:bodyPr/>
          <a:lstStyle/>
          <a:p>
            <a:pPr>
              <a:defRPr sz="1200"/>
            </a:pPr>
            <a:endParaRPr lang="en-US"/>
          </a:p>
        </c:txPr>
        <c:crossAx val="233294080"/>
        <c:crosses val="autoZero"/>
        <c:auto val="1"/>
        <c:lblAlgn val="ctr"/>
        <c:lblOffset val="100"/>
        <c:noMultiLvlLbl val="0"/>
      </c:catAx>
      <c:valAx>
        <c:axId val="233294080"/>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1.4714054866099497E-2"/>
              <c:y val="0.33855214008329271"/>
            </c:manualLayout>
          </c:layout>
          <c:overlay val="0"/>
        </c:title>
        <c:numFmt formatCode="&quot;$&quot;#,##0" sourceLinked="0"/>
        <c:majorTickMark val="out"/>
        <c:minorTickMark val="none"/>
        <c:tickLblPos val="nextTo"/>
        <c:txPr>
          <a:bodyPr/>
          <a:lstStyle/>
          <a:p>
            <a:pPr>
              <a:defRPr sz="1200"/>
            </a:pPr>
            <a:endParaRPr lang="en-US"/>
          </a:p>
        </c:txPr>
        <c:crossAx val="233292544"/>
        <c:crosses val="autoZero"/>
        <c:crossBetween val="between"/>
      </c:valAx>
    </c:plotArea>
    <c:legend>
      <c:legendPos val="t"/>
      <c:layout>
        <c:manualLayout>
          <c:xMode val="edge"/>
          <c:yMode val="edge"/>
          <c:x val="0.40693743246505415"/>
          <c:y val="6.6468542373345596E-2"/>
          <c:w val="0.27011681392233561"/>
          <c:h val="9.7114726789546066E-2"/>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99693175859165"/>
          <c:y val="4.4374675798309345E-2"/>
          <c:w val="0.85792760567452775"/>
          <c:h val="0.86403869827235957"/>
        </c:manualLayout>
      </c:layout>
      <c:barChart>
        <c:barDir val="col"/>
        <c:grouping val="stacked"/>
        <c:varyColors val="0"/>
        <c:ser>
          <c:idx val="0"/>
          <c:order val="0"/>
          <c:tx>
            <c:strRef>
              <c:f>Summary!$B$160</c:f>
              <c:strCache>
                <c:ptCount val="1"/>
                <c:pt idx="0">
                  <c:v>50G &amp; below</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Summary!$C$160:$M$160</c:f>
              <c:numCache>
                <c:formatCode>_("$"* #,##0_);_("$"* \(#,##0\);_("$"* "-"??_);_(@_)</c:formatCode>
                <c:ptCount val="11"/>
                <c:pt idx="0">
                  <c:v>1534.4101351455383</c:v>
                </c:pt>
                <c:pt idx="1">
                  <c:v>1520.6968341146207</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FD65-1F4A-9073-3D899F10AD6F}"/>
            </c:ext>
          </c:extLst>
        </c:ser>
        <c:ser>
          <c:idx val="3"/>
          <c:order val="1"/>
          <c:tx>
            <c:strRef>
              <c:f>Summary!$B$141</c:f>
              <c:strCache>
                <c:ptCount val="1"/>
                <c:pt idx="0">
                  <c:v>100G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Summary!$C$141:$M$141</c:f>
              <c:numCache>
                <c:formatCode>_("$"* #,##0_);_("$"* \(#,##0\);_("$"* "-"??_);_(@_)</c:formatCode>
                <c:ptCount val="11"/>
                <c:pt idx="0">
                  <c:v>1143.1589634696481</c:v>
                </c:pt>
                <c:pt idx="1">
                  <c:v>1653.9743919741536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5-FD65-1F4A-9073-3D899F10AD6F}"/>
            </c:ext>
          </c:extLst>
        </c:ser>
        <c:ser>
          <c:idx val="6"/>
          <c:order val="2"/>
          <c:tx>
            <c:strRef>
              <c:f>Summary!$B$142</c:f>
              <c:strCache>
                <c:ptCount val="1"/>
                <c:pt idx="0">
                  <c:v>200G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Summary!$C$142:$M$142</c:f>
              <c:numCache>
                <c:formatCode>_("$"* #,##0.0_);_("$"* \(#,##0.0\);_("$"* "-"??_);_(@_)</c:formatCode>
                <c:ptCount val="11"/>
                <c:pt idx="2" formatCode="_(&quot;$&quot;* #,##0_);_(&quot;$&quot;* \(#,##0\);_(&quot;$&quot;* &quot;-&quot;??_);_(@_)">
                  <c:v>0</c:v>
                </c:pt>
                <c:pt idx="3" formatCode="_(&quot;$&quot;* #,##0_);_(&quot;$&quot;* \(#,##0\);_(&quot;$&quot;* &quot;-&quot;??_);_(@_)">
                  <c:v>0</c:v>
                </c:pt>
                <c:pt idx="4" formatCode="_(&quot;$&quot;* #,##0_);_(&quot;$&quot;* \(#,##0\);_(&quot;$&quot;* &quot;-&quot;??_);_(@_)">
                  <c:v>0</c:v>
                </c:pt>
                <c:pt idx="5" formatCode="_(&quot;$&quot;* #,##0_);_(&quot;$&quot;* \(#,##0\);_(&quot;$&quot;* &quot;-&quot;??_);_(@_)">
                  <c:v>0</c:v>
                </c:pt>
                <c:pt idx="6" formatCode="_(&quot;$&quot;* #,##0_);_(&quot;$&quot;* \(#,##0\);_(&quot;$&quot;* &quot;-&quot;??_);_(@_)">
                  <c:v>0</c:v>
                </c:pt>
                <c:pt idx="7" formatCode="_(&quot;$&quot;* #,##0_);_(&quot;$&quot;* \(#,##0\);_(&quot;$&quot;* &quot;-&quot;??_);_(@_)">
                  <c:v>0</c:v>
                </c:pt>
                <c:pt idx="8" formatCode="_(&quot;$&quot;* #,##0_);_(&quot;$&quot;* \(#,##0\);_(&quot;$&quot;* &quot;-&quot;??_);_(@_)">
                  <c:v>0</c:v>
                </c:pt>
                <c:pt idx="9" formatCode="_(&quot;$&quot;* #,##0_);_(&quot;$&quot;* \(#,##0\);_(&quot;$&quot;* &quot;-&quot;??_);_(@_)">
                  <c:v>0</c:v>
                </c:pt>
                <c:pt idx="10" formatCode="_(&quot;$&quot;* #,##0_);_(&quot;$&quot;* \(#,##0\);_(&quot;$&quot;* &quot;-&quot;??_);_(@_)">
                  <c:v>0</c:v>
                </c:pt>
              </c:numCache>
            </c:numRef>
          </c:val>
          <c:extLst xmlns:c16r2="http://schemas.microsoft.com/office/drawing/2015/06/chart">
            <c:ext xmlns:c16="http://schemas.microsoft.com/office/drawing/2014/chart" uri="{C3380CC4-5D6E-409C-BE32-E72D297353CC}">
              <c16:uniqueId val="{00000006-FD65-1F4A-9073-3D899F10AD6F}"/>
            </c:ext>
          </c:extLst>
        </c:ser>
        <c:ser>
          <c:idx val="5"/>
          <c:order val="3"/>
          <c:tx>
            <c:strRef>
              <c:f>Summary!$B$143</c:f>
              <c:strCache>
                <c:ptCount val="1"/>
                <c:pt idx="0">
                  <c:v>400G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Summary!$C$143:$M$143</c:f>
              <c:numCache>
                <c:formatCode>_("$"* #,##0_);_("$"* \(#,##0\);_("$"* "-"??_);_(@_)</c:formatCode>
                <c:ptCount val="11"/>
                <c:pt idx="1">
                  <c:v>1.3482999999999998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7-FD65-1F4A-9073-3D899F10AD6F}"/>
            </c:ext>
          </c:extLst>
        </c:ser>
        <c:ser>
          <c:idx val="8"/>
          <c:order val="4"/>
          <c:tx>
            <c:strRef>
              <c:f>Summary!$B$144</c:f>
              <c:strCache>
                <c:ptCount val="1"/>
                <c:pt idx="0">
                  <c:v>800G</c:v>
                </c:pt>
              </c:strCache>
            </c:strRef>
          </c:tx>
          <c:invertIfNegative val="0"/>
          <c:cat>
            <c:numRef>
              <c:f>Summary!$C$135:$M$135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Summary!$C$144:$M$144</c:f>
              <c:numCache>
                <c:formatCode>_("$"* #,##0_);_("$"* \(#,##0\);_("$"* "-"??_);_(@_)</c:formatCode>
                <c:ptCount val="11"/>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18EA-CD4C-ABF1-D981B606955A}"/>
            </c:ext>
          </c:extLst>
        </c:ser>
        <c:dLbls>
          <c:showLegendKey val="0"/>
          <c:showVal val="0"/>
          <c:showCatName val="0"/>
          <c:showSerName val="0"/>
          <c:showPercent val="0"/>
          <c:showBubbleSize val="0"/>
        </c:dLbls>
        <c:gapWidth val="150"/>
        <c:overlap val="100"/>
        <c:axId val="233733504"/>
        <c:axId val="233743488"/>
      </c:barChart>
      <c:catAx>
        <c:axId val="233733504"/>
        <c:scaling>
          <c:orientation val="minMax"/>
        </c:scaling>
        <c:delete val="0"/>
        <c:axPos val="b"/>
        <c:numFmt formatCode="General" sourceLinked="1"/>
        <c:majorTickMark val="out"/>
        <c:minorTickMark val="none"/>
        <c:tickLblPos val="nextTo"/>
        <c:txPr>
          <a:bodyPr/>
          <a:lstStyle/>
          <a:p>
            <a:pPr>
              <a:defRPr sz="1200"/>
            </a:pPr>
            <a:endParaRPr lang="en-US"/>
          </a:p>
        </c:txPr>
        <c:crossAx val="233743488"/>
        <c:crosses val="autoZero"/>
        <c:auto val="1"/>
        <c:lblAlgn val="ctr"/>
        <c:lblOffset val="100"/>
        <c:noMultiLvlLbl val="0"/>
      </c:catAx>
      <c:valAx>
        <c:axId val="233743488"/>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a:t>
                </a:r>
                <a:r>
                  <a:rPr lang="en-US" sz="1400"/>
                  <a:t>mn)</a:t>
                </a:r>
              </a:p>
            </c:rich>
          </c:tx>
          <c:layout>
            <c:manualLayout>
              <c:xMode val="edge"/>
              <c:yMode val="edge"/>
              <c:x val="3.2125982658516561E-4"/>
              <c:y val="0.27181822347087115"/>
            </c:manualLayout>
          </c:layout>
          <c:overlay val="0"/>
        </c:title>
        <c:numFmt formatCode="&quot;$&quot;#,##0" sourceLinked="0"/>
        <c:majorTickMark val="out"/>
        <c:minorTickMark val="none"/>
        <c:tickLblPos val="nextTo"/>
        <c:txPr>
          <a:bodyPr/>
          <a:lstStyle/>
          <a:p>
            <a:pPr>
              <a:defRPr sz="1200"/>
            </a:pPr>
            <a:endParaRPr lang="en-US"/>
          </a:p>
        </c:txPr>
        <c:crossAx val="233733504"/>
        <c:crosses val="autoZero"/>
        <c:crossBetween val="between"/>
      </c:valAx>
    </c:plotArea>
    <c:legend>
      <c:legendPos val="t"/>
      <c:layout>
        <c:manualLayout>
          <c:xMode val="edge"/>
          <c:yMode val="edge"/>
          <c:x val="0.15161505175983148"/>
          <c:y val="5.3444361631177745E-2"/>
          <c:w val="0.1778135445530335"/>
          <c:h val="0.40027111988373754"/>
        </c:manualLayout>
      </c:layout>
      <c:overlay val="0"/>
      <c:spPr>
        <a:solidFill>
          <a:schemeClr val="bg1"/>
        </a:solidFill>
        <a:ln>
          <a:solidFill>
            <a:schemeClr val="tx1"/>
          </a:solidFill>
        </a:ln>
      </c:spPr>
      <c:txPr>
        <a:bodyPr/>
        <a:lstStyle/>
        <a:p>
          <a:pPr>
            <a:defRPr sz="1400"/>
          </a:pPr>
          <a:endParaRPr lang="en-US"/>
        </a:p>
      </c:txPr>
    </c:legend>
    <c:plotVisOnly val="1"/>
    <c:dispBlanksAs val="gap"/>
    <c:showDLblsOverMax val="0"/>
  </c:chart>
  <c:spPr>
    <a:ln>
      <a:solidFill>
        <a:schemeClr val="bg1">
          <a:lumMod val="75000"/>
        </a:schemeClr>
      </a:solidFill>
    </a:ln>
  </c:spPr>
  <c:txPr>
    <a:bodyPr/>
    <a:lstStyle/>
    <a:p>
      <a:pPr>
        <a:defRPr sz="1000"/>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10 km - 40 km Reach</a:t>
            </a:r>
          </a:p>
        </c:rich>
      </c:tx>
      <c:layout>
        <c:manualLayout>
          <c:xMode val="edge"/>
          <c:yMode val="edge"/>
          <c:x val="0.48880726053821577"/>
          <c:y val="3.6654552171485583E-2"/>
        </c:manualLayout>
      </c:layout>
      <c:overlay val="1"/>
    </c:title>
    <c:autoTitleDeleted val="0"/>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Summary!$B$638</c:f>
              <c:strCache>
                <c:ptCount val="1"/>
                <c:pt idx="0">
                  <c:v>100G LR4_10 km_CFP</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Summary!$C$638:$M$638</c:f>
              <c:numCache>
                <c:formatCode>_(* #,##0_);_(* \(#,##0\);_(* "-"??_);_(@_)</c:formatCode>
                <c:ptCount val="11"/>
                <c:pt idx="0">
                  <c:v>109936</c:v>
                </c:pt>
                <c:pt idx="1">
                  <c:v>67349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7CB8-0841-BB02-C4F11002BB48}"/>
            </c:ext>
          </c:extLst>
        </c:ser>
        <c:ser>
          <c:idx val="2"/>
          <c:order val="1"/>
          <c:tx>
            <c:strRef>
              <c:f>Summary!$B$639</c:f>
              <c:strCache>
                <c:ptCount val="1"/>
                <c:pt idx="0">
                  <c:v>100G LR4_10 km_CFP2/4</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Summary!$C$639:$M$639</c:f>
              <c:numCache>
                <c:formatCode>_(* #,##0_);_(* \(#,##0\);_(* "-"??_);_(@_)</c:formatCode>
                <c:ptCount val="11"/>
                <c:pt idx="0">
                  <c:v>92243</c:v>
                </c:pt>
                <c:pt idx="1">
                  <c:v>78202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6-7CB8-0841-BB02-C4F11002BB48}"/>
            </c:ext>
          </c:extLst>
        </c:ser>
        <c:ser>
          <c:idx val="3"/>
          <c:order val="2"/>
          <c:tx>
            <c:strRef>
              <c:f>Summary!$B$640</c:f>
              <c:strCache>
                <c:ptCount val="1"/>
                <c:pt idx="0">
                  <c:v>100G LR4 and LR1_10 km_QSFP28</c:v>
                </c:pt>
              </c:strCache>
            </c:strRef>
          </c:tx>
          <c:marker>
            <c:symbol val="square"/>
            <c:size val="5"/>
          </c:marker>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Summary!$C$640:$M$640</c:f>
              <c:numCache>
                <c:formatCode>_(* #,##0_);_(* \(#,##0\);_(* "-"??_);_(@_)</c:formatCode>
                <c:ptCount val="11"/>
                <c:pt idx="0">
                  <c:v>90443</c:v>
                </c:pt>
                <c:pt idx="1">
                  <c:v>362352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7-7CB8-0841-BB02-C4F11002BB48}"/>
            </c:ext>
          </c:extLst>
        </c:ser>
        <c:ser>
          <c:idx val="9"/>
          <c:order val="3"/>
          <c:tx>
            <c:strRef>
              <c:f>Summary!$B$641</c:f>
              <c:strCache>
                <c:ptCount val="1"/>
                <c:pt idx="0">
                  <c:v>100G 4WDM10_10 km_QSFP28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Summary!$C$641:$M$641</c:f>
              <c:numCache>
                <c:formatCode>_(* #,##0_);_(* \(#,##0\);_(* "-"??_);_(@_)</c:formatCode>
                <c:ptCount val="11"/>
                <c:pt idx="1">
                  <c:v>45000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8-7CB8-0841-BB02-C4F11002BB48}"/>
            </c:ext>
          </c:extLst>
        </c:ser>
        <c:ser>
          <c:idx val="6"/>
          <c:order val="4"/>
          <c:tx>
            <c:strRef>
              <c:f>Summary!$B$642</c:f>
              <c:strCache>
                <c:ptCount val="1"/>
                <c:pt idx="0">
                  <c:v>100G 4WDM20_20 km_QSFP28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Summary!$C$642:$M$642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9-7CB8-0841-BB02-C4F11002BB48}"/>
            </c:ext>
          </c:extLst>
        </c:ser>
        <c:ser>
          <c:idx val="4"/>
          <c:order val="5"/>
          <c:tx>
            <c:strRef>
              <c:f>Summary!$B$645</c:f>
              <c:strCache>
                <c:ptCount val="1"/>
                <c:pt idx="0">
                  <c:v>100G ZR4_80 km_QSFP28</c:v>
                </c:pt>
              </c:strCache>
            </c:strRef>
          </c:tx>
          <c:cat>
            <c:numRef>
              <c:f>Summary!$C$632:$M$632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Summary!$C$645:$M$645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A-7CB8-0841-BB02-C4F11002BB48}"/>
            </c:ext>
          </c:extLst>
        </c:ser>
        <c:dLbls>
          <c:showLegendKey val="0"/>
          <c:showVal val="0"/>
          <c:showCatName val="0"/>
          <c:showSerName val="0"/>
          <c:showPercent val="0"/>
          <c:showBubbleSize val="0"/>
        </c:dLbls>
        <c:marker val="1"/>
        <c:smooth val="0"/>
        <c:axId val="233401728"/>
        <c:axId val="233415808"/>
      </c:lineChart>
      <c:catAx>
        <c:axId val="233401728"/>
        <c:scaling>
          <c:orientation val="minMax"/>
        </c:scaling>
        <c:delete val="0"/>
        <c:axPos val="b"/>
        <c:numFmt formatCode="General" sourceLinked="1"/>
        <c:majorTickMark val="out"/>
        <c:minorTickMark val="none"/>
        <c:tickLblPos val="nextTo"/>
        <c:txPr>
          <a:bodyPr/>
          <a:lstStyle/>
          <a:p>
            <a:pPr>
              <a:defRPr sz="1000"/>
            </a:pPr>
            <a:endParaRPr lang="en-US"/>
          </a:p>
        </c:txPr>
        <c:crossAx val="233415808"/>
        <c:crosses val="autoZero"/>
        <c:auto val="1"/>
        <c:lblAlgn val="ctr"/>
        <c:lblOffset val="100"/>
        <c:noMultiLvlLbl val="0"/>
      </c:catAx>
      <c:valAx>
        <c:axId val="233415808"/>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233401728"/>
        <c:crosses val="autoZero"/>
        <c:crossBetween val="between"/>
      </c:valAx>
    </c:plotArea>
    <c:legend>
      <c:legendPos val="t"/>
      <c:layout>
        <c:manualLayout>
          <c:xMode val="edge"/>
          <c:yMode val="edge"/>
          <c:x val="0.15059163192836192"/>
          <c:y val="4.971068616422946E-2"/>
          <c:w val="0.31353217594788602"/>
          <c:h val="0.44477076153279527"/>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04808094640299"/>
          <c:y val="4.7522815683520098E-2"/>
          <c:w val="0.65378166762576706"/>
          <c:h val="0.78416608000478838"/>
        </c:manualLayout>
      </c:layout>
      <c:lineChart>
        <c:grouping val="standard"/>
        <c:varyColors val="0"/>
        <c:ser>
          <c:idx val="0"/>
          <c:order val="0"/>
          <c:tx>
            <c:strRef>
              <c:f>Summary!$B$276</c:f>
              <c:strCache>
                <c:ptCount val="1"/>
                <c:pt idx="0">
                  <c:v>&lt;10G MMF</c:v>
                </c:pt>
              </c:strCache>
            </c:strRef>
          </c:tx>
          <c:marker>
            <c:symbol val="none"/>
          </c:marker>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Summary!$C$276:$M$276</c:f>
              <c:numCache>
                <c:formatCode>_(* #,##0_);_(* \(#,##0\);_(* "-"??_);_(@_)</c:formatCode>
                <c:ptCount val="11"/>
                <c:pt idx="0">
                  <c:v>4496175.0999999996</c:v>
                </c:pt>
                <c:pt idx="1">
                  <c:v>4278484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BA67-684C-A9F7-171CBA15FEFF}"/>
            </c:ext>
          </c:extLst>
        </c:ser>
        <c:ser>
          <c:idx val="1"/>
          <c:order val="1"/>
          <c:tx>
            <c:strRef>
              <c:f>Summary!$B$277</c:f>
              <c:strCache>
                <c:ptCount val="1"/>
                <c:pt idx="0">
                  <c:v>10G MMF</c:v>
                </c:pt>
              </c:strCache>
            </c:strRef>
          </c:tx>
          <c:marker>
            <c:symbol val="none"/>
          </c:marker>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Summary!$C$277:$M$277</c:f>
              <c:numCache>
                <c:formatCode>_(* #,##0_);_(* \(#,##0\);_(* "-"??_);_(@_)</c:formatCode>
                <c:ptCount val="11"/>
                <c:pt idx="0">
                  <c:v>13000883.93</c:v>
                </c:pt>
                <c:pt idx="1">
                  <c:v>14702610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BA67-684C-A9F7-171CBA15FEFF}"/>
            </c:ext>
          </c:extLst>
        </c:ser>
        <c:ser>
          <c:idx val="2"/>
          <c:order val="2"/>
          <c:tx>
            <c:strRef>
              <c:f>Summary!$B$278</c:f>
              <c:strCache>
                <c:ptCount val="1"/>
                <c:pt idx="0">
                  <c:v>25G MMF</c:v>
                </c:pt>
              </c:strCache>
            </c:strRef>
          </c:tx>
          <c:marker>
            <c:symbol val="none"/>
          </c:marker>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Summary!$C$278:$M$278</c:f>
              <c:numCache>
                <c:formatCode>_(* #,##0_);_(* \(#,##0\);_(* "-"??_);_(@_)</c:formatCode>
                <c:ptCount val="11"/>
                <c:pt idx="0">
                  <c:v>306387</c:v>
                </c:pt>
                <c:pt idx="1">
                  <c:v>727839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BA67-684C-A9F7-171CBA15FEFF}"/>
            </c:ext>
          </c:extLst>
        </c:ser>
        <c:ser>
          <c:idx val="3"/>
          <c:order val="3"/>
          <c:tx>
            <c:strRef>
              <c:f>Summary!$B$280</c:f>
              <c:strCache>
                <c:ptCount val="1"/>
                <c:pt idx="0">
                  <c:v>&lt;10G SMF</c:v>
                </c:pt>
              </c:strCache>
            </c:strRef>
          </c:tx>
          <c:marker>
            <c:symbol val="none"/>
          </c:marker>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Summary!$C$280:$M$280</c:f>
              <c:numCache>
                <c:formatCode>_(* #,##0_);_(* \(#,##0\);_(* "-"??_);_(@_)</c:formatCode>
                <c:ptCount val="11"/>
                <c:pt idx="0">
                  <c:v>9071235.0050000008</c:v>
                </c:pt>
                <c:pt idx="1">
                  <c:v>6995211.0500000007</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BA67-684C-A9F7-171CBA15FEFF}"/>
            </c:ext>
          </c:extLst>
        </c:ser>
        <c:ser>
          <c:idx val="4"/>
          <c:order val="4"/>
          <c:tx>
            <c:strRef>
              <c:f>Summary!$B$281</c:f>
              <c:strCache>
                <c:ptCount val="1"/>
                <c:pt idx="0">
                  <c:v>10G SMF</c:v>
                </c:pt>
              </c:strCache>
            </c:strRef>
          </c:tx>
          <c:marker>
            <c:symbol val="none"/>
          </c:marker>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Summary!$C$281:$M$281</c:f>
              <c:numCache>
                <c:formatCode>_(* #,##0_);_(* \(#,##0\);_(* "-"??_);_(@_)</c:formatCode>
                <c:ptCount val="11"/>
                <c:pt idx="0">
                  <c:v>8669003</c:v>
                </c:pt>
                <c:pt idx="1">
                  <c:v>9106572.0999999996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BA67-684C-A9F7-171CBA15FEFF}"/>
            </c:ext>
          </c:extLst>
        </c:ser>
        <c:ser>
          <c:idx val="5"/>
          <c:order val="5"/>
          <c:tx>
            <c:strRef>
              <c:f>Summary!$B$282</c:f>
              <c:strCache>
                <c:ptCount val="1"/>
                <c:pt idx="0">
                  <c:v>25G SMF</c:v>
                </c:pt>
              </c:strCache>
            </c:strRef>
          </c:tx>
          <c:marker>
            <c:symbol val="none"/>
          </c:marker>
          <c:cat>
            <c:numRef>
              <c:f>Summary!$C$275:$M$275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Summary!$C$282:$M$282</c:f>
              <c:numCache>
                <c:formatCode>_(* #,##0_);_(* \(#,##0\);_(* "-"??_);_(@_)</c:formatCode>
                <c:ptCount val="11"/>
                <c:pt idx="0">
                  <c:v>624677</c:v>
                </c:pt>
                <c:pt idx="1">
                  <c:v>2266978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BA67-684C-A9F7-171CBA15FEFF}"/>
            </c:ext>
          </c:extLst>
        </c:ser>
        <c:dLbls>
          <c:showLegendKey val="0"/>
          <c:showVal val="0"/>
          <c:showCatName val="0"/>
          <c:showSerName val="0"/>
          <c:showPercent val="0"/>
          <c:showBubbleSize val="0"/>
        </c:dLbls>
        <c:marker val="1"/>
        <c:smooth val="0"/>
        <c:axId val="229799424"/>
        <c:axId val="229800960"/>
      </c:lineChart>
      <c:catAx>
        <c:axId val="229799424"/>
        <c:scaling>
          <c:orientation val="minMax"/>
        </c:scaling>
        <c:delete val="0"/>
        <c:axPos val="b"/>
        <c:numFmt formatCode="General" sourceLinked="1"/>
        <c:majorTickMark val="out"/>
        <c:minorTickMark val="none"/>
        <c:tickLblPos val="nextTo"/>
        <c:txPr>
          <a:bodyPr/>
          <a:lstStyle/>
          <a:p>
            <a:pPr>
              <a:defRPr sz="1200"/>
            </a:pPr>
            <a:endParaRPr lang="en-US"/>
          </a:p>
        </c:txPr>
        <c:crossAx val="229800960"/>
        <c:crosses val="autoZero"/>
        <c:auto val="1"/>
        <c:lblAlgn val="ctr"/>
        <c:lblOffset val="100"/>
        <c:noMultiLvlLbl val="0"/>
      </c:catAx>
      <c:valAx>
        <c:axId val="229800960"/>
        <c:scaling>
          <c:orientation val="minMax"/>
        </c:scaling>
        <c:delete val="0"/>
        <c:axPos val="l"/>
        <c:majorGridlines/>
        <c:title>
          <c:tx>
            <c:rich>
              <a:bodyPr rot="-5400000" vert="horz"/>
              <a:lstStyle/>
              <a:p>
                <a:pPr>
                  <a:defRPr sz="1400"/>
                </a:pPr>
                <a:r>
                  <a:rPr lang="en-US" sz="1400"/>
                  <a:t>Annual shipments</a:t>
                </a:r>
              </a:p>
            </c:rich>
          </c:tx>
          <c:overlay val="0"/>
        </c:title>
        <c:numFmt formatCode="_(* #,##0_);_(* \(#,##0\);_(* &quot;-&quot;??_);_(@_)" sourceLinked="1"/>
        <c:majorTickMark val="out"/>
        <c:minorTickMark val="none"/>
        <c:tickLblPos val="nextTo"/>
        <c:crossAx val="229799424"/>
        <c:crosses val="autoZero"/>
        <c:crossBetween val="between"/>
      </c:valAx>
    </c:plotArea>
    <c:legend>
      <c:legendPos val="r"/>
      <c:layout>
        <c:manualLayout>
          <c:xMode val="edge"/>
          <c:yMode val="edge"/>
          <c:x val="0.82520750123625797"/>
          <c:y val="0.12970309109623801"/>
          <c:w val="0.163198295865191"/>
          <c:h val="0.7106312760402799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500m - 2 km Reach</a:t>
            </a:r>
          </a:p>
        </c:rich>
      </c:tx>
      <c:layout>
        <c:manualLayout>
          <c:xMode val="edge"/>
          <c:yMode val="edge"/>
          <c:x val="0.51517162172910214"/>
          <c:y val="2.660333072304152E-2"/>
        </c:manualLayout>
      </c:layout>
      <c:overlay val="1"/>
    </c:title>
    <c:autoTitleDeleted val="0"/>
    <c:plotArea>
      <c:layout>
        <c:manualLayout>
          <c:layoutTarget val="inner"/>
          <c:xMode val="edge"/>
          <c:yMode val="edge"/>
          <c:x val="0.16567489063867016"/>
          <c:y val="3.2895576992769252E-2"/>
          <c:w val="0.79113101973364441"/>
          <c:h val="0.88129472991329527"/>
        </c:manualLayout>
      </c:layout>
      <c:lineChart>
        <c:grouping val="standard"/>
        <c:varyColors val="0"/>
        <c:ser>
          <c:idx val="0"/>
          <c:order val="0"/>
          <c:tx>
            <c:strRef>
              <c:f>Summary!$B$633</c:f>
              <c:strCache>
                <c:ptCount val="1"/>
                <c:pt idx="0">
                  <c:v>100G PSM4_500 m_QSFP28</c:v>
                </c:pt>
              </c:strCache>
            </c:strRef>
          </c:tx>
          <c:cat>
            <c:numRef>
              <c:f>Summary!$F$632:$M$632</c:f>
              <c:numCache>
                <c:formatCode>General</c:formatCode>
                <c:ptCount val="8"/>
                <c:pt idx="0">
                  <c:v>2019</c:v>
                </c:pt>
                <c:pt idx="1">
                  <c:v>2020</c:v>
                </c:pt>
                <c:pt idx="2">
                  <c:v>2021</c:v>
                </c:pt>
                <c:pt idx="3">
                  <c:v>2022</c:v>
                </c:pt>
                <c:pt idx="4">
                  <c:v>2023</c:v>
                </c:pt>
                <c:pt idx="5">
                  <c:v>2024</c:v>
                </c:pt>
                <c:pt idx="6">
                  <c:v>2025</c:v>
                </c:pt>
                <c:pt idx="7">
                  <c:v>2026</c:v>
                </c:pt>
              </c:numCache>
            </c:numRef>
          </c:cat>
          <c:val>
            <c:numRef>
              <c:f>Summary!$F$633:$M$633</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0-5DCE-3642-9899-C31AB7F0A551}"/>
            </c:ext>
          </c:extLst>
        </c:ser>
        <c:ser>
          <c:idx val="7"/>
          <c:order val="1"/>
          <c:tx>
            <c:strRef>
              <c:f>Summary!$B$634</c:f>
              <c:strCache>
                <c:ptCount val="1"/>
                <c:pt idx="0">
                  <c:v>100G DR/DR+_500m, 2km_QSFP28</c:v>
                </c:pt>
              </c:strCache>
            </c:strRef>
          </c:tx>
          <c:cat>
            <c:numRef>
              <c:f>Summary!$F$632:$M$632</c:f>
              <c:numCache>
                <c:formatCode>General</c:formatCode>
                <c:ptCount val="8"/>
                <c:pt idx="0">
                  <c:v>2019</c:v>
                </c:pt>
                <c:pt idx="1">
                  <c:v>2020</c:v>
                </c:pt>
                <c:pt idx="2">
                  <c:v>2021</c:v>
                </c:pt>
                <c:pt idx="3">
                  <c:v>2022</c:v>
                </c:pt>
                <c:pt idx="4">
                  <c:v>2023</c:v>
                </c:pt>
                <c:pt idx="5">
                  <c:v>2024</c:v>
                </c:pt>
                <c:pt idx="6">
                  <c:v>2025</c:v>
                </c:pt>
                <c:pt idx="7">
                  <c:v>2026</c:v>
                </c:pt>
              </c:numCache>
            </c:numRef>
          </c:cat>
          <c:val>
            <c:numRef>
              <c:f>Summary!$F$634:$M$634</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1-5DCE-3642-9899-C31AB7F0A551}"/>
            </c:ext>
          </c:extLst>
        </c:ser>
        <c:ser>
          <c:idx val="8"/>
          <c:order val="2"/>
          <c:tx>
            <c:strRef>
              <c:f>Summary!$B$635</c:f>
              <c:strCache>
                <c:ptCount val="1"/>
                <c:pt idx="0">
                  <c:v>100G CWDM4-subspec_500 m_QSFP28</c:v>
                </c:pt>
              </c:strCache>
            </c:strRef>
          </c:tx>
          <c:cat>
            <c:numRef>
              <c:f>Summary!$F$632:$M$632</c:f>
              <c:numCache>
                <c:formatCode>General</c:formatCode>
                <c:ptCount val="8"/>
                <c:pt idx="0">
                  <c:v>2019</c:v>
                </c:pt>
                <c:pt idx="1">
                  <c:v>2020</c:v>
                </c:pt>
                <c:pt idx="2">
                  <c:v>2021</c:v>
                </c:pt>
                <c:pt idx="3">
                  <c:v>2022</c:v>
                </c:pt>
                <c:pt idx="4">
                  <c:v>2023</c:v>
                </c:pt>
                <c:pt idx="5">
                  <c:v>2024</c:v>
                </c:pt>
                <c:pt idx="6">
                  <c:v>2025</c:v>
                </c:pt>
                <c:pt idx="7">
                  <c:v>2026</c:v>
                </c:pt>
              </c:numCache>
            </c:numRef>
          </c:cat>
          <c:val>
            <c:numRef>
              <c:f>Summary!$F$635:$M$635</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2-5DCE-3642-9899-C31AB7F0A551}"/>
            </c:ext>
          </c:extLst>
        </c:ser>
        <c:ser>
          <c:idx val="5"/>
          <c:order val="3"/>
          <c:tx>
            <c:strRef>
              <c:f>Summary!$B$636</c:f>
              <c:strCache>
                <c:ptCount val="1"/>
                <c:pt idx="0">
                  <c:v>100G CWDM4_2 km_QSFP28</c:v>
                </c:pt>
              </c:strCache>
            </c:strRef>
          </c:tx>
          <c:cat>
            <c:numRef>
              <c:f>Summary!$F$632:$M$632</c:f>
              <c:numCache>
                <c:formatCode>General</c:formatCode>
                <c:ptCount val="8"/>
                <c:pt idx="0">
                  <c:v>2019</c:v>
                </c:pt>
                <c:pt idx="1">
                  <c:v>2020</c:v>
                </c:pt>
                <c:pt idx="2">
                  <c:v>2021</c:v>
                </c:pt>
                <c:pt idx="3">
                  <c:v>2022</c:v>
                </c:pt>
                <c:pt idx="4">
                  <c:v>2023</c:v>
                </c:pt>
                <c:pt idx="5">
                  <c:v>2024</c:v>
                </c:pt>
                <c:pt idx="6">
                  <c:v>2025</c:v>
                </c:pt>
                <c:pt idx="7">
                  <c:v>2026</c:v>
                </c:pt>
              </c:numCache>
            </c:numRef>
          </c:cat>
          <c:val>
            <c:numRef>
              <c:f>Summary!$F$636:$M$636</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3-5DCE-3642-9899-C31AB7F0A551}"/>
            </c:ext>
          </c:extLst>
        </c:ser>
        <c:ser>
          <c:idx val="10"/>
          <c:order val="4"/>
          <c:tx>
            <c:strRef>
              <c:f>Summary!$B$637</c:f>
              <c:strCache>
                <c:ptCount val="1"/>
                <c:pt idx="0">
                  <c:v>100G FR1_2 km_QSFP28</c:v>
                </c:pt>
              </c:strCache>
            </c:strRef>
          </c:tx>
          <c:cat>
            <c:numRef>
              <c:f>Summary!$F$632:$M$632</c:f>
              <c:numCache>
                <c:formatCode>General</c:formatCode>
                <c:ptCount val="8"/>
                <c:pt idx="0">
                  <c:v>2019</c:v>
                </c:pt>
                <c:pt idx="1">
                  <c:v>2020</c:v>
                </c:pt>
                <c:pt idx="2">
                  <c:v>2021</c:v>
                </c:pt>
                <c:pt idx="3">
                  <c:v>2022</c:v>
                </c:pt>
                <c:pt idx="4">
                  <c:v>2023</c:v>
                </c:pt>
                <c:pt idx="5">
                  <c:v>2024</c:v>
                </c:pt>
                <c:pt idx="6">
                  <c:v>2025</c:v>
                </c:pt>
                <c:pt idx="7">
                  <c:v>2026</c:v>
                </c:pt>
              </c:numCache>
            </c:numRef>
          </c:cat>
          <c:val>
            <c:numRef>
              <c:f>Summary!$F$637:$M$637</c:f>
              <c:numCache>
                <c:formatCode>_(* #,##0_);_(* \(#,##0\);_(* "-"??_);_(@_)</c:formatCode>
                <c:ptCount val="8"/>
                <c:pt idx="0">
                  <c:v>0</c:v>
                </c:pt>
                <c:pt idx="1">
                  <c:v>0</c:v>
                </c:pt>
                <c:pt idx="2">
                  <c:v>0</c:v>
                </c:pt>
                <c:pt idx="3">
                  <c:v>0</c:v>
                </c:pt>
                <c:pt idx="4">
                  <c:v>0</c:v>
                </c:pt>
                <c:pt idx="5">
                  <c:v>0</c:v>
                </c:pt>
                <c:pt idx="6">
                  <c:v>0</c:v>
                </c:pt>
                <c:pt idx="7">
                  <c:v>0</c:v>
                </c:pt>
              </c:numCache>
            </c:numRef>
          </c:val>
          <c:smooth val="0"/>
          <c:extLst xmlns:c16r2="http://schemas.microsoft.com/office/drawing/2015/06/chart">
            <c:ext xmlns:c16="http://schemas.microsoft.com/office/drawing/2014/chart" uri="{C3380CC4-5D6E-409C-BE32-E72D297353CC}">
              <c16:uniqueId val="{00000004-5DCE-3642-9899-C31AB7F0A551}"/>
            </c:ext>
          </c:extLst>
        </c:ser>
        <c:dLbls>
          <c:showLegendKey val="0"/>
          <c:showVal val="0"/>
          <c:showCatName val="0"/>
          <c:showSerName val="0"/>
          <c:showPercent val="0"/>
          <c:showBubbleSize val="0"/>
        </c:dLbls>
        <c:marker val="1"/>
        <c:smooth val="0"/>
        <c:axId val="233458304"/>
        <c:axId val="233464192"/>
      </c:lineChart>
      <c:catAx>
        <c:axId val="233458304"/>
        <c:scaling>
          <c:orientation val="minMax"/>
        </c:scaling>
        <c:delete val="0"/>
        <c:axPos val="b"/>
        <c:numFmt formatCode="General" sourceLinked="1"/>
        <c:majorTickMark val="out"/>
        <c:minorTickMark val="none"/>
        <c:tickLblPos val="nextTo"/>
        <c:txPr>
          <a:bodyPr/>
          <a:lstStyle/>
          <a:p>
            <a:pPr>
              <a:defRPr sz="1000"/>
            </a:pPr>
            <a:endParaRPr lang="en-US"/>
          </a:p>
        </c:txPr>
        <c:crossAx val="233464192"/>
        <c:crosses val="autoZero"/>
        <c:auto val="1"/>
        <c:lblAlgn val="ctr"/>
        <c:lblOffset val="100"/>
        <c:noMultiLvlLbl val="0"/>
      </c:catAx>
      <c:valAx>
        <c:axId val="233464192"/>
        <c:scaling>
          <c:orientation val="minMax"/>
          <c:min val="0"/>
        </c:scaling>
        <c:delete val="0"/>
        <c:axPos val="l"/>
        <c:majorGridlines/>
        <c:title>
          <c:tx>
            <c:rich>
              <a:bodyPr rot="-5400000" vert="horz"/>
              <a:lstStyle/>
              <a:p>
                <a:pPr>
                  <a:defRPr sz="1400"/>
                </a:pPr>
                <a:r>
                  <a:rPr lang="en-US" sz="1400"/>
                  <a:t>Annual shipments (Units)</a:t>
                </a:r>
              </a:p>
            </c:rich>
          </c:tx>
          <c:layout>
            <c:manualLayout>
              <c:xMode val="edge"/>
              <c:yMode val="edge"/>
              <c:x val="1.2892855059784193E-2"/>
              <c:y val="0.14833887125365874"/>
            </c:manualLayout>
          </c:layout>
          <c:overlay val="0"/>
        </c:title>
        <c:numFmt formatCode="#,##0" sourceLinked="0"/>
        <c:majorTickMark val="out"/>
        <c:minorTickMark val="none"/>
        <c:tickLblPos val="nextTo"/>
        <c:txPr>
          <a:bodyPr/>
          <a:lstStyle/>
          <a:p>
            <a:pPr>
              <a:defRPr sz="1000"/>
            </a:pPr>
            <a:endParaRPr lang="en-US"/>
          </a:p>
        </c:txPr>
        <c:crossAx val="233458304"/>
        <c:crosses val="autoZero"/>
        <c:crossBetween val="between"/>
      </c:valAx>
    </c:plotArea>
    <c:legend>
      <c:legendPos val="t"/>
      <c:layout>
        <c:manualLayout>
          <c:xMode val="edge"/>
          <c:yMode val="edge"/>
          <c:x val="0.17017517254787595"/>
          <c:y val="3.4445479655357214E-2"/>
          <c:w val="0.33032180068400541"/>
          <c:h val="0.29397308874096073"/>
        </c:manualLayout>
      </c:layout>
      <c:overlay val="0"/>
      <c:spPr>
        <a:solidFill>
          <a:schemeClr val="bg1"/>
        </a:solidFill>
        <a:ln>
          <a:solidFill>
            <a:sysClr val="windowText" lastClr="000000"/>
          </a:solidFill>
        </a:ln>
      </c:spPr>
      <c:txPr>
        <a:bodyPr/>
        <a:lstStyle/>
        <a:p>
          <a:pPr>
            <a:defRPr sz="1000"/>
          </a:pPr>
          <a:endParaRPr lang="en-US"/>
        </a:p>
      </c:txPr>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500m - 2 km Reach</a:t>
            </a:r>
            <a:endParaRPr lang="en-US">
              <a:effectLst/>
            </a:endParaRPr>
          </a:p>
        </c:rich>
      </c:tx>
      <c:layout>
        <c:manualLayout>
          <c:xMode val="edge"/>
          <c:yMode val="edge"/>
          <c:x val="0.41913566720485257"/>
          <c:y val="0.24398892515796347"/>
        </c:manualLayout>
      </c:layout>
      <c:overlay val="1"/>
    </c:title>
    <c:autoTitleDeleted val="0"/>
    <c:plotArea>
      <c:layout>
        <c:manualLayout>
          <c:layoutTarget val="inner"/>
          <c:xMode val="edge"/>
          <c:yMode val="edge"/>
          <c:x val="0.12907819443361657"/>
          <c:y val="9.2787092789871878E-2"/>
          <c:w val="0.85306213455991264"/>
          <c:h val="0.8253064690443106"/>
        </c:manualLayout>
      </c:layout>
      <c:lineChart>
        <c:grouping val="standard"/>
        <c:varyColors val="0"/>
        <c:ser>
          <c:idx val="0"/>
          <c:order val="0"/>
          <c:tx>
            <c:strRef>
              <c:f>Summary!$B$665</c:f>
              <c:strCache>
                <c:ptCount val="1"/>
                <c:pt idx="0">
                  <c:v>100G PSM4_500 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Summary!$C$665:$M$665</c:f>
              <c:numCache>
                <c:formatCode>_("$"* #,##0_);_("$"* \(#,##0\);_("$"* "-"??_);_(@_)</c:formatCode>
                <c:ptCount val="11"/>
                <c:pt idx="0">
                  <c:v>67.773890240000014</c:v>
                </c:pt>
                <c:pt idx="1">
                  <c:v>158.09400299999999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84A1-914C-A9C3-AE1A8529D042}"/>
            </c:ext>
          </c:extLst>
        </c:ser>
        <c:ser>
          <c:idx val="1"/>
          <c:order val="1"/>
          <c:tx>
            <c:strRef>
              <c:f>Summary!$B$666</c:f>
              <c:strCache>
                <c:ptCount val="1"/>
                <c:pt idx="0">
                  <c:v>100G DR/DR+_500m, 2km_QSFP28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Summary!$C$666:$M$666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84A1-914C-A9C3-AE1A8529D042}"/>
            </c:ext>
          </c:extLst>
        </c:ser>
        <c:ser>
          <c:idx val="2"/>
          <c:order val="2"/>
          <c:tx>
            <c:strRef>
              <c:f>Summary!$B$667</c:f>
              <c:strCache>
                <c:ptCount val="1"/>
                <c:pt idx="0">
                  <c:v>100G CWDM4-subspec_500 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Summary!$C$667:$M$667</c:f>
              <c:numCache>
                <c:formatCode>_("$"* #,##0_);_("$"* \(#,##0\);_("$"* "-"??_);_(@_)</c:formatCode>
                <c:ptCount val="11"/>
                <c:pt idx="0">
                  <c:v>55.125374999999998</c:v>
                </c:pt>
                <c:pt idx="1">
                  <c:v>307.53544499999998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84A1-914C-A9C3-AE1A8529D042}"/>
            </c:ext>
          </c:extLst>
        </c:ser>
        <c:ser>
          <c:idx val="3"/>
          <c:order val="3"/>
          <c:tx>
            <c:strRef>
              <c:f>Summary!$B$668</c:f>
              <c:strCache>
                <c:ptCount val="1"/>
                <c:pt idx="0">
                  <c:v>100G CWDM4_2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Summary!$C$668:$M$668</c:f>
              <c:numCache>
                <c:formatCode>_("$"* #,##0_);_("$"* \(#,##0\);_("$"* "-"??_);_(@_)</c:formatCode>
                <c:ptCount val="11"/>
                <c:pt idx="0">
                  <c:v>25.566254999999995</c:v>
                </c:pt>
                <c:pt idx="1">
                  <c:v>190.37908500000003</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84A1-914C-A9C3-AE1A8529D042}"/>
            </c:ext>
          </c:extLst>
        </c:ser>
        <c:ser>
          <c:idx val="4"/>
          <c:order val="4"/>
          <c:tx>
            <c:strRef>
              <c:f>Summary!$B$669</c:f>
              <c:strCache>
                <c:ptCount val="1"/>
                <c:pt idx="0">
                  <c:v>100G FR1_2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Summary!$C$669:$M$669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84A1-914C-A9C3-AE1A8529D042}"/>
            </c:ext>
          </c:extLst>
        </c:ser>
        <c:dLbls>
          <c:showLegendKey val="0"/>
          <c:showVal val="0"/>
          <c:showCatName val="0"/>
          <c:showSerName val="0"/>
          <c:showPercent val="0"/>
          <c:showBubbleSize val="0"/>
        </c:dLbls>
        <c:marker val="1"/>
        <c:smooth val="0"/>
        <c:axId val="233498496"/>
        <c:axId val="233500032"/>
      </c:lineChart>
      <c:catAx>
        <c:axId val="233498496"/>
        <c:scaling>
          <c:orientation val="minMax"/>
        </c:scaling>
        <c:delete val="0"/>
        <c:axPos val="b"/>
        <c:numFmt formatCode="General" sourceLinked="1"/>
        <c:majorTickMark val="out"/>
        <c:minorTickMark val="none"/>
        <c:tickLblPos val="nextTo"/>
        <c:crossAx val="233500032"/>
        <c:crosses val="autoZero"/>
        <c:auto val="1"/>
        <c:lblAlgn val="ctr"/>
        <c:lblOffset val="100"/>
        <c:noMultiLvlLbl val="0"/>
      </c:catAx>
      <c:valAx>
        <c:axId val="233500032"/>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1.6779449598503159E-2"/>
              <c:y val="0.23756042802342014"/>
            </c:manualLayout>
          </c:layout>
          <c:overlay val="0"/>
        </c:title>
        <c:numFmt formatCode="&quot;$&quot;#,##0" sourceLinked="0"/>
        <c:majorTickMark val="out"/>
        <c:minorTickMark val="none"/>
        <c:tickLblPos val="nextTo"/>
        <c:crossAx val="233498496"/>
        <c:crosses val="autoZero"/>
        <c:crossBetween val="between"/>
      </c:valAx>
    </c:plotArea>
    <c:legend>
      <c:legendPos val="l"/>
      <c:layout>
        <c:manualLayout>
          <c:xMode val="edge"/>
          <c:yMode val="edge"/>
          <c:x val="0.12832926893206623"/>
          <c:y val="2.8389443379508203E-2"/>
          <c:w val="0.85052637805384634"/>
          <c:h val="0.18382500725164974"/>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10 km - 40 km Reach</a:t>
            </a:r>
            <a:endParaRPr lang="en-US">
              <a:effectLst/>
            </a:endParaRPr>
          </a:p>
        </c:rich>
      </c:tx>
      <c:layout>
        <c:manualLayout>
          <c:xMode val="edge"/>
          <c:yMode val="edge"/>
          <c:x val="0.40352210241903447"/>
          <c:y val="0.19298250945780066"/>
        </c:manualLayout>
      </c:layout>
      <c:overlay val="1"/>
    </c:title>
    <c:autoTitleDeleted val="0"/>
    <c:plotArea>
      <c:layout>
        <c:manualLayout>
          <c:layoutTarget val="inner"/>
          <c:xMode val="edge"/>
          <c:yMode val="edge"/>
          <c:x val="0.12767766468215863"/>
          <c:y val="0.10847329975778416"/>
          <c:w val="0.85446268484732091"/>
          <c:h val="0.80962006067690584"/>
        </c:manualLayout>
      </c:layout>
      <c:lineChart>
        <c:grouping val="standard"/>
        <c:varyColors val="0"/>
        <c:ser>
          <c:idx val="5"/>
          <c:order val="0"/>
          <c:tx>
            <c:strRef>
              <c:f>Summary!$B$670</c:f>
              <c:strCache>
                <c:ptCount val="1"/>
                <c:pt idx="0">
                  <c:v>100G LR4_10 km_CFP</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Summary!$C$670:$M$670</c:f>
              <c:numCache>
                <c:formatCode>_("$"* #,##0_);_("$"* \(#,##0\);_("$"* "-"??_);_(@_)</c:formatCode>
                <c:ptCount val="11"/>
                <c:pt idx="0">
                  <c:v>387.84002208207454</c:v>
                </c:pt>
                <c:pt idx="1">
                  <c:v>186.42675405916248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5-2E3F-0442-AB9C-3972521F7D5C}"/>
            </c:ext>
          </c:extLst>
        </c:ser>
        <c:ser>
          <c:idx val="6"/>
          <c:order val="1"/>
          <c:tx>
            <c:strRef>
              <c:f>Summary!$B$671</c:f>
              <c:strCache>
                <c:ptCount val="1"/>
                <c:pt idx="0">
                  <c:v>100G LR4_10 km_CFP2/4</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Summary!$C$671:$M$671</c:f>
              <c:numCache>
                <c:formatCode>_("$"* #,##0_);_("$"* \(#,##0\);_("$"* "-"??_);_(@_)</c:formatCode>
                <c:ptCount val="11"/>
                <c:pt idx="0">
                  <c:v>265.89292589706986</c:v>
                </c:pt>
                <c:pt idx="1">
                  <c:v>167.37814313065076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6-2E3F-0442-AB9C-3972521F7D5C}"/>
            </c:ext>
          </c:extLst>
        </c:ser>
        <c:ser>
          <c:idx val="7"/>
          <c:order val="2"/>
          <c:tx>
            <c:strRef>
              <c:f>Summary!$B$672</c:f>
              <c:strCache>
                <c:ptCount val="1"/>
                <c:pt idx="0">
                  <c:v>100G LR4 and LR1_10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Summary!$C$672:$M$672</c:f>
              <c:numCache>
                <c:formatCode>_("$"* #,##0_);_("$"* \(#,##0\);_("$"* "-"??_);_(@_)</c:formatCode>
                <c:ptCount val="11"/>
                <c:pt idx="0">
                  <c:v>175.29210971636297</c:v>
                </c:pt>
                <c:pt idx="1">
                  <c:v>434.82240000000002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7-2E3F-0442-AB9C-3972521F7D5C}"/>
            </c:ext>
          </c:extLst>
        </c:ser>
        <c:ser>
          <c:idx val="8"/>
          <c:order val="3"/>
          <c:tx>
            <c:strRef>
              <c:f>Summary!$B$673</c:f>
              <c:strCache>
                <c:ptCount val="1"/>
                <c:pt idx="0">
                  <c:v>100G 4WDM10_10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Summary!$C$673:$M$673</c:f>
              <c:numCache>
                <c:formatCode>_("$"* #,##0_);_("$"* \(#,##0\);_("$"* "-"??_);_(@_)</c:formatCode>
                <c:ptCount val="11"/>
                <c:pt idx="0">
                  <c:v>0</c:v>
                </c:pt>
                <c:pt idx="1">
                  <c:v>22.5</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8-2E3F-0442-AB9C-3972521F7D5C}"/>
            </c:ext>
          </c:extLst>
        </c:ser>
        <c:ser>
          <c:idx val="9"/>
          <c:order val="4"/>
          <c:tx>
            <c:strRef>
              <c:f>Summary!$B$674</c:f>
              <c:strCache>
                <c:ptCount val="1"/>
                <c:pt idx="0">
                  <c:v>100G 4WDM20_20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Summary!$C$674:$M$674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9-2E3F-0442-AB9C-3972521F7D5C}"/>
            </c:ext>
          </c:extLst>
        </c:ser>
        <c:ser>
          <c:idx val="10"/>
          <c:order val="5"/>
          <c:tx>
            <c:strRef>
              <c:f>Summary!$B$677</c:f>
              <c:strCache>
                <c:ptCount val="1"/>
                <c:pt idx="0">
                  <c:v>100G ZR4_80 km_QSFP28</c:v>
                </c:pt>
              </c:strCache>
            </c:strRef>
          </c:tx>
          <c:cat>
            <c:numRef>
              <c:f>Summary!$C$664:$M$664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Summary!$C$677:$M$677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A-2E3F-0442-AB9C-3972521F7D5C}"/>
            </c:ext>
          </c:extLst>
        </c:ser>
        <c:dLbls>
          <c:showLegendKey val="0"/>
          <c:showVal val="0"/>
          <c:showCatName val="0"/>
          <c:showSerName val="0"/>
          <c:showPercent val="0"/>
          <c:showBubbleSize val="0"/>
        </c:dLbls>
        <c:marker val="1"/>
        <c:smooth val="0"/>
        <c:axId val="233621760"/>
        <c:axId val="233635840"/>
      </c:lineChart>
      <c:catAx>
        <c:axId val="233621760"/>
        <c:scaling>
          <c:orientation val="minMax"/>
        </c:scaling>
        <c:delete val="0"/>
        <c:axPos val="b"/>
        <c:numFmt formatCode="General" sourceLinked="1"/>
        <c:majorTickMark val="out"/>
        <c:minorTickMark val="none"/>
        <c:tickLblPos val="nextTo"/>
        <c:crossAx val="233635840"/>
        <c:crosses val="autoZero"/>
        <c:auto val="1"/>
        <c:lblAlgn val="ctr"/>
        <c:lblOffset val="100"/>
        <c:noMultiLvlLbl val="0"/>
      </c:catAx>
      <c:valAx>
        <c:axId val="233635840"/>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2.2027270981371236E-2"/>
              <c:y val="0.2969314341325312"/>
            </c:manualLayout>
          </c:layout>
          <c:overlay val="0"/>
        </c:title>
        <c:numFmt formatCode="&quot;$&quot;#,##0" sourceLinked="0"/>
        <c:majorTickMark val="out"/>
        <c:minorTickMark val="none"/>
        <c:tickLblPos val="nextTo"/>
        <c:crossAx val="233621760"/>
        <c:crosses val="autoZero"/>
        <c:crossBetween val="between"/>
      </c:valAx>
    </c:plotArea>
    <c:legend>
      <c:legendPos val="l"/>
      <c:layout>
        <c:manualLayout>
          <c:xMode val="edge"/>
          <c:yMode val="edge"/>
          <c:x val="0.12872234711995242"/>
          <c:y val="2.1474242705965665E-2"/>
          <c:w val="0.85126207335299575"/>
          <c:h val="0.16244181860528215"/>
        </c:manualLayout>
      </c:layout>
      <c:overlay val="0"/>
      <c:spPr>
        <a:solidFill>
          <a:schemeClr val="bg1"/>
        </a:solidFill>
        <a:ln>
          <a:solidFill>
            <a:schemeClr val="bg1">
              <a:lumMod val="50000"/>
            </a:schemeClr>
          </a:solidFill>
        </a:ln>
      </c:spPr>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10GbE</a:t>
            </a:r>
            <a:r>
              <a:rPr lang="en-US" baseline="0"/>
              <a:t> Shipments by Reach</a:t>
            </a:r>
            <a:endParaRPr lang="en-US"/>
          </a:p>
        </c:rich>
      </c:tx>
      <c:overlay val="0"/>
      <c:spPr>
        <a:noFill/>
        <a:ln>
          <a:noFill/>
        </a:ln>
        <a:effectLst/>
      </c:spPr>
    </c:title>
    <c:autoTitleDeleted val="0"/>
    <c:plotArea>
      <c:layout/>
      <c:lineChart>
        <c:grouping val="standard"/>
        <c:varyColors val="0"/>
        <c:ser>
          <c:idx val="0"/>
          <c:order val="0"/>
          <c:tx>
            <c:strRef>
              <c:f>Summary!$B$868</c:f>
              <c:strCache>
                <c:ptCount val="1"/>
                <c:pt idx="0">
                  <c:v>10G MMF</c:v>
                </c:pt>
              </c:strCache>
            </c:strRef>
          </c:tx>
          <c:spPr>
            <a:ln w="28575" cap="rnd">
              <a:solidFill>
                <a:schemeClr val="accent1"/>
              </a:solidFill>
              <a:round/>
            </a:ln>
            <a:effectLst/>
          </c:spPr>
          <c:marker>
            <c:symbol val="none"/>
          </c:marker>
          <c:cat>
            <c:numRef>
              <c:f>Summary!$C$867:$G$867</c:f>
              <c:numCache>
                <c:formatCode>General</c:formatCode>
                <c:ptCount val="5"/>
                <c:pt idx="0">
                  <c:v>2016</c:v>
                </c:pt>
                <c:pt idx="1">
                  <c:v>2017</c:v>
                </c:pt>
                <c:pt idx="2">
                  <c:v>2018</c:v>
                </c:pt>
                <c:pt idx="3">
                  <c:v>2019</c:v>
                </c:pt>
                <c:pt idx="4">
                  <c:v>2020</c:v>
                </c:pt>
              </c:numCache>
            </c:numRef>
          </c:cat>
          <c:val>
            <c:numRef>
              <c:f>Summary!$C$868:$G$868</c:f>
              <c:numCache>
                <c:formatCode>_(* #,##0_);_(* \(#,##0\);_(* "-"??_);_(@_)</c:formatCode>
                <c:ptCount val="5"/>
                <c:pt idx="0">
                  <c:v>11471385.93</c:v>
                </c:pt>
                <c:pt idx="1">
                  <c:v>12691744</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13AA-114C-9A06-CA4B4621762D}"/>
            </c:ext>
          </c:extLst>
        </c:ser>
        <c:ser>
          <c:idx val="1"/>
          <c:order val="1"/>
          <c:tx>
            <c:strRef>
              <c:f>Summary!$B$869</c:f>
              <c:strCache>
                <c:ptCount val="1"/>
                <c:pt idx="0">
                  <c:v>10G 10km</c:v>
                </c:pt>
              </c:strCache>
            </c:strRef>
          </c:tx>
          <c:spPr>
            <a:ln w="28575" cap="rnd">
              <a:solidFill>
                <a:schemeClr val="accent2"/>
              </a:solidFill>
              <a:round/>
            </a:ln>
            <a:effectLst/>
          </c:spPr>
          <c:marker>
            <c:symbol val="none"/>
          </c:marker>
          <c:cat>
            <c:numRef>
              <c:f>Summary!$C$867:$G$867</c:f>
              <c:numCache>
                <c:formatCode>General</c:formatCode>
                <c:ptCount val="5"/>
                <c:pt idx="0">
                  <c:v>2016</c:v>
                </c:pt>
                <c:pt idx="1">
                  <c:v>2017</c:v>
                </c:pt>
                <c:pt idx="2">
                  <c:v>2018</c:v>
                </c:pt>
                <c:pt idx="3">
                  <c:v>2019</c:v>
                </c:pt>
                <c:pt idx="4">
                  <c:v>2020</c:v>
                </c:pt>
              </c:numCache>
            </c:numRef>
          </c:cat>
          <c:val>
            <c:numRef>
              <c:f>Summary!$C$869:$G$869</c:f>
              <c:numCache>
                <c:formatCode>_(* #,##0_);_(* \(#,##0\);_(* "-"??_);_(@_)</c:formatCode>
                <c:ptCount val="5"/>
                <c:pt idx="0">
                  <c:v>6522271</c:v>
                </c:pt>
                <c:pt idx="1">
                  <c:v>6815238</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13AA-114C-9A06-CA4B4621762D}"/>
            </c:ext>
          </c:extLst>
        </c:ser>
        <c:ser>
          <c:idx val="2"/>
          <c:order val="2"/>
          <c:tx>
            <c:strRef>
              <c:f>Summary!$B$870</c:f>
              <c:strCache>
                <c:ptCount val="1"/>
                <c:pt idx="0">
                  <c:v>10G 40/80km</c:v>
                </c:pt>
              </c:strCache>
            </c:strRef>
          </c:tx>
          <c:spPr>
            <a:ln w="28575" cap="rnd">
              <a:solidFill>
                <a:schemeClr val="accent3"/>
              </a:solidFill>
              <a:round/>
            </a:ln>
            <a:effectLst/>
          </c:spPr>
          <c:marker>
            <c:symbol val="none"/>
          </c:marker>
          <c:cat>
            <c:numRef>
              <c:f>Summary!$C$867:$G$867</c:f>
              <c:numCache>
                <c:formatCode>General</c:formatCode>
                <c:ptCount val="5"/>
                <c:pt idx="0">
                  <c:v>2016</c:v>
                </c:pt>
                <c:pt idx="1">
                  <c:v>2017</c:v>
                </c:pt>
                <c:pt idx="2">
                  <c:v>2018</c:v>
                </c:pt>
                <c:pt idx="3">
                  <c:v>2019</c:v>
                </c:pt>
                <c:pt idx="4">
                  <c:v>2020</c:v>
                </c:pt>
              </c:numCache>
            </c:numRef>
          </c:cat>
          <c:val>
            <c:numRef>
              <c:f>Summary!$C$870:$G$870</c:f>
              <c:numCache>
                <c:formatCode>_(* #,##0_);_(* \(#,##0\);_(* "-"??_);_(@_)</c:formatCode>
                <c:ptCount val="5"/>
                <c:pt idx="0">
                  <c:v>523162</c:v>
                </c:pt>
                <c:pt idx="1">
                  <c:v>438040.1</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13AA-114C-9A06-CA4B4621762D}"/>
            </c:ext>
          </c:extLst>
        </c:ser>
        <c:dLbls>
          <c:showLegendKey val="0"/>
          <c:showVal val="0"/>
          <c:showCatName val="0"/>
          <c:showSerName val="0"/>
          <c:showPercent val="0"/>
          <c:showBubbleSize val="0"/>
        </c:dLbls>
        <c:marker val="1"/>
        <c:smooth val="0"/>
        <c:axId val="233663488"/>
        <c:axId val="233665280"/>
      </c:lineChart>
      <c:catAx>
        <c:axId val="233663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33665280"/>
        <c:crosses val="autoZero"/>
        <c:auto val="1"/>
        <c:lblAlgn val="ctr"/>
        <c:lblOffset val="100"/>
        <c:noMultiLvlLbl val="0"/>
      </c:catAx>
      <c:valAx>
        <c:axId val="233665280"/>
        <c:scaling>
          <c:logBase val="10"/>
          <c:orientation val="minMax"/>
          <c:min val="1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33663488"/>
        <c:crosses val="autoZero"/>
        <c:crossBetween val="between"/>
      </c:valAx>
      <c:spPr>
        <a:noFill/>
        <a:ln>
          <a:noFill/>
        </a:ln>
        <a:effectLst/>
      </c:spPr>
    </c:plotArea>
    <c:legend>
      <c:legendPos val="b"/>
      <c:layout>
        <c:manualLayout>
          <c:xMode val="edge"/>
          <c:yMode val="edge"/>
          <c:x val="0.22177485009040926"/>
          <c:y val="0.6711000028865457"/>
          <c:w val="0.69118230944325731"/>
          <c:h val="5.77190156964611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by Reach</a:t>
            </a:r>
            <a:endParaRPr lang="en-US"/>
          </a:p>
        </c:rich>
      </c:tx>
      <c:overlay val="0"/>
      <c:spPr>
        <a:noFill/>
        <a:ln>
          <a:noFill/>
        </a:ln>
        <a:effectLst/>
      </c:spPr>
    </c:title>
    <c:autoTitleDeleted val="0"/>
    <c:plotArea>
      <c:layout/>
      <c:lineChart>
        <c:grouping val="standard"/>
        <c:varyColors val="0"/>
        <c:ser>
          <c:idx val="0"/>
          <c:order val="0"/>
          <c:tx>
            <c:strRef>
              <c:f>Summary!$B$875</c:f>
              <c:strCache>
                <c:ptCount val="1"/>
                <c:pt idx="0">
                  <c:v>100G MMF</c:v>
                </c:pt>
              </c:strCache>
            </c:strRef>
          </c:tx>
          <c:spPr>
            <a:ln w="28575" cap="rnd">
              <a:solidFill>
                <a:schemeClr val="accent1"/>
              </a:solidFill>
              <a:round/>
            </a:ln>
            <a:effectLst/>
          </c:spPr>
          <c:marker>
            <c:symbol val="none"/>
          </c:marker>
          <c:cat>
            <c:numRef>
              <c:f>Summary!$H$867:$L$867</c:f>
              <c:numCache>
                <c:formatCode>General</c:formatCode>
                <c:ptCount val="5"/>
                <c:pt idx="0">
                  <c:v>2021</c:v>
                </c:pt>
                <c:pt idx="1">
                  <c:v>2022</c:v>
                </c:pt>
                <c:pt idx="2">
                  <c:v>2023</c:v>
                </c:pt>
                <c:pt idx="3">
                  <c:v>2024</c:v>
                </c:pt>
                <c:pt idx="4">
                  <c:v>2025</c:v>
                </c:pt>
              </c:numCache>
            </c:numRef>
          </c:cat>
          <c:val>
            <c:numRef>
              <c:f>Summary!$H$875:$L$875</c:f>
              <c:numCache>
                <c:formatCode>_(* #,##0_);_(* \(#,##0\);_(* "-"??_);_(@_)</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4C47-C442-8AF9-E5BD7835E327}"/>
            </c:ext>
          </c:extLst>
        </c:ser>
        <c:ser>
          <c:idx val="1"/>
          <c:order val="1"/>
          <c:tx>
            <c:strRef>
              <c:f>Summary!$B$876</c:f>
              <c:strCache>
                <c:ptCount val="1"/>
                <c:pt idx="0">
                  <c:v>100G 10km</c:v>
                </c:pt>
              </c:strCache>
            </c:strRef>
          </c:tx>
          <c:spPr>
            <a:ln w="28575" cap="rnd">
              <a:solidFill>
                <a:schemeClr val="accent2"/>
              </a:solidFill>
              <a:round/>
            </a:ln>
            <a:effectLst/>
          </c:spPr>
          <c:marker>
            <c:symbol val="none"/>
          </c:marker>
          <c:cat>
            <c:numRef>
              <c:f>Summary!$H$867:$L$867</c:f>
              <c:numCache>
                <c:formatCode>General</c:formatCode>
                <c:ptCount val="5"/>
                <c:pt idx="0">
                  <c:v>2021</c:v>
                </c:pt>
                <c:pt idx="1">
                  <c:v>2022</c:v>
                </c:pt>
                <c:pt idx="2">
                  <c:v>2023</c:v>
                </c:pt>
                <c:pt idx="3">
                  <c:v>2024</c:v>
                </c:pt>
                <c:pt idx="4">
                  <c:v>2025</c:v>
                </c:pt>
              </c:numCache>
            </c:numRef>
          </c:cat>
          <c:val>
            <c:numRef>
              <c:f>Summary!$H$876:$L$876</c:f>
              <c:numCache>
                <c:formatCode>_(* #,##0_);_(* \(#,##0\);_(* "-"??_);_(@_)</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C47-C442-8AF9-E5BD7835E327}"/>
            </c:ext>
          </c:extLst>
        </c:ser>
        <c:ser>
          <c:idx val="2"/>
          <c:order val="2"/>
          <c:tx>
            <c:strRef>
              <c:f>Summary!$B$877</c:f>
              <c:strCache>
                <c:ptCount val="1"/>
                <c:pt idx="0">
                  <c:v>100G 30/80km</c:v>
                </c:pt>
              </c:strCache>
            </c:strRef>
          </c:tx>
          <c:spPr>
            <a:ln w="28575" cap="rnd">
              <a:solidFill>
                <a:schemeClr val="accent3"/>
              </a:solidFill>
              <a:round/>
            </a:ln>
            <a:effectLst/>
          </c:spPr>
          <c:marker>
            <c:symbol val="none"/>
          </c:marker>
          <c:cat>
            <c:numRef>
              <c:f>Summary!$H$867:$L$867</c:f>
              <c:numCache>
                <c:formatCode>General</c:formatCode>
                <c:ptCount val="5"/>
                <c:pt idx="0">
                  <c:v>2021</c:v>
                </c:pt>
                <c:pt idx="1">
                  <c:v>2022</c:v>
                </c:pt>
                <c:pt idx="2">
                  <c:v>2023</c:v>
                </c:pt>
                <c:pt idx="3">
                  <c:v>2024</c:v>
                </c:pt>
                <c:pt idx="4">
                  <c:v>2025</c:v>
                </c:pt>
              </c:numCache>
            </c:numRef>
          </c:cat>
          <c:val>
            <c:numRef>
              <c:f>Summary!$H$877:$L$877</c:f>
              <c:numCache>
                <c:formatCode>_(* #,##0_);_(* \(#,##0\);_(* "-"??_);_(@_)</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4C47-C442-8AF9-E5BD7835E327}"/>
            </c:ext>
          </c:extLst>
        </c:ser>
        <c:dLbls>
          <c:showLegendKey val="0"/>
          <c:showVal val="0"/>
          <c:showCatName val="0"/>
          <c:showSerName val="0"/>
          <c:showPercent val="0"/>
          <c:showBubbleSize val="0"/>
        </c:dLbls>
        <c:marker val="1"/>
        <c:smooth val="0"/>
        <c:axId val="233775104"/>
        <c:axId val="233776640"/>
      </c:lineChart>
      <c:catAx>
        <c:axId val="233775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33776640"/>
        <c:crosses val="autoZero"/>
        <c:auto val="1"/>
        <c:lblAlgn val="ctr"/>
        <c:lblOffset val="100"/>
        <c:noMultiLvlLbl val="0"/>
      </c:catAx>
      <c:valAx>
        <c:axId val="233776640"/>
        <c:scaling>
          <c:logBase val="10"/>
          <c:orientation val="minMax"/>
          <c:min val="1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233775104"/>
        <c:crosses val="autoZero"/>
        <c:crossBetween val="between"/>
      </c:valAx>
      <c:spPr>
        <a:noFill/>
        <a:ln>
          <a:noFill/>
        </a:ln>
        <a:effectLst/>
      </c:spPr>
    </c:plotArea>
    <c:legend>
      <c:legendPos val="b"/>
      <c:layout>
        <c:manualLayout>
          <c:xMode val="edge"/>
          <c:yMode val="edge"/>
          <c:x val="0.22664549275404447"/>
          <c:y val="0.18737684215663739"/>
          <c:w val="0.69118230944325731"/>
          <c:h val="5.7719015696461179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48044122258653"/>
          <c:y val="3.778602565976448E-2"/>
          <c:w val="0.8461988279895738"/>
          <c:h val="0.88510710065066112"/>
        </c:manualLayout>
      </c:layout>
      <c:lineChart>
        <c:grouping val="standard"/>
        <c:varyColors val="0"/>
        <c:ser>
          <c:idx val="2"/>
          <c:order val="0"/>
          <c:tx>
            <c:strRef>
              <c:f>Summary!$B$844</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Summary!$G$843:$M$843</c:f>
              <c:numCache>
                <c:formatCode>General</c:formatCode>
                <c:ptCount val="7"/>
                <c:pt idx="0">
                  <c:v>2020</c:v>
                </c:pt>
                <c:pt idx="1">
                  <c:v>2021</c:v>
                </c:pt>
                <c:pt idx="2">
                  <c:v>2022</c:v>
                </c:pt>
                <c:pt idx="3">
                  <c:v>2023</c:v>
                </c:pt>
                <c:pt idx="4">
                  <c:v>2024</c:v>
                </c:pt>
                <c:pt idx="5">
                  <c:v>2025</c:v>
                </c:pt>
                <c:pt idx="6">
                  <c:v>2026</c:v>
                </c:pt>
              </c:numCache>
            </c:numRef>
          </c:cat>
          <c:val>
            <c:numRef>
              <c:f>Summary!$G$844:$M$844</c:f>
              <c:numCache>
                <c:formatCode>_(* #,##0_);_(* \(#,##0\);_(* "-"??_);_(@_)</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0-DCD4-1B4A-BF00-DACF0025900F}"/>
            </c:ext>
          </c:extLst>
        </c:ser>
        <c:ser>
          <c:idx val="0"/>
          <c:order val="1"/>
          <c:tx>
            <c:strRef>
              <c:f>Summary!$B$845</c:f>
              <c:strCache>
                <c:ptCount val="1"/>
                <c:pt idx="0">
                  <c:v>800G PSM8_500 m_OSFP, QSFP-DD800</c:v>
                </c:pt>
              </c:strCache>
            </c:strRef>
          </c:tx>
          <c:cat>
            <c:numRef>
              <c:f>Summary!$G$843:$M$843</c:f>
              <c:numCache>
                <c:formatCode>General</c:formatCode>
                <c:ptCount val="7"/>
                <c:pt idx="0">
                  <c:v>2020</c:v>
                </c:pt>
                <c:pt idx="1">
                  <c:v>2021</c:v>
                </c:pt>
                <c:pt idx="2">
                  <c:v>2022</c:v>
                </c:pt>
                <c:pt idx="3">
                  <c:v>2023</c:v>
                </c:pt>
                <c:pt idx="4">
                  <c:v>2024</c:v>
                </c:pt>
                <c:pt idx="5">
                  <c:v>2025</c:v>
                </c:pt>
                <c:pt idx="6">
                  <c:v>2026</c:v>
                </c:pt>
              </c:numCache>
            </c:numRef>
          </c:cat>
          <c:val>
            <c:numRef>
              <c:f>Summary!$G$845:$M$845</c:f>
              <c:numCache>
                <c:formatCode>_(* #,##0_);_(* \(#,##0\);_(* "-"??_);_(@_)</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1-DCD4-1B4A-BF00-DACF0025900F}"/>
            </c:ext>
          </c:extLst>
        </c:ser>
        <c:ser>
          <c:idx val="1"/>
          <c:order val="2"/>
          <c:tx>
            <c:strRef>
              <c:f>Summary!$B$846</c:f>
              <c:strCache>
                <c:ptCount val="1"/>
                <c:pt idx="0">
                  <c:v>2x(400G FR4)_2 km_OSFP, QSFP-DD800</c:v>
                </c:pt>
              </c:strCache>
            </c:strRef>
          </c:tx>
          <c:spPr>
            <a:ln>
              <a:solidFill>
                <a:schemeClr val="accent4"/>
              </a:solidFill>
            </a:ln>
          </c:spPr>
          <c:marker>
            <c:spPr>
              <a:solidFill>
                <a:schemeClr val="accent4"/>
              </a:solidFill>
              <a:ln>
                <a:solidFill>
                  <a:schemeClr val="accent4"/>
                </a:solidFill>
              </a:ln>
            </c:spPr>
          </c:marker>
          <c:cat>
            <c:numRef>
              <c:f>Summary!$G$843:$M$843</c:f>
              <c:numCache>
                <c:formatCode>General</c:formatCode>
                <c:ptCount val="7"/>
                <c:pt idx="0">
                  <c:v>2020</c:v>
                </c:pt>
                <c:pt idx="1">
                  <c:v>2021</c:v>
                </c:pt>
                <c:pt idx="2">
                  <c:v>2022</c:v>
                </c:pt>
                <c:pt idx="3">
                  <c:v>2023</c:v>
                </c:pt>
                <c:pt idx="4">
                  <c:v>2024</c:v>
                </c:pt>
                <c:pt idx="5">
                  <c:v>2025</c:v>
                </c:pt>
                <c:pt idx="6">
                  <c:v>2026</c:v>
                </c:pt>
              </c:numCache>
            </c:numRef>
          </c:cat>
          <c:val>
            <c:numRef>
              <c:f>Summary!$G$846:$M$846</c:f>
              <c:numCache>
                <c:formatCode>_(* #,##0_);_(* \(#,##0\);_(* "-"??_);_(@_)</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2-DCD4-1B4A-BF00-DACF0025900F}"/>
            </c:ext>
          </c:extLst>
        </c:ser>
        <c:dLbls>
          <c:showLegendKey val="0"/>
          <c:showVal val="0"/>
          <c:showCatName val="0"/>
          <c:showSerName val="0"/>
          <c:showPercent val="0"/>
          <c:showBubbleSize val="0"/>
        </c:dLbls>
        <c:marker val="1"/>
        <c:smooth val="0"/>
        <c:axId val="233824256"/>
        <c:axId val="233826176"/>
      </c:lineChart>
      <c:catAx>
        <c:axId val="233824256"/>
        <c:scaling>
          <c:orientation val="minMax"/>
        </c:scaling>
        <c:delete val="0"/>
        <c:axPos val="b"/>
        <c:numFmt formatCode="General" sourceLinked="1"/>
        <c:majorTickMark val="out"/>
        <c:minorTickMark val="none"/>
        <c:tickLblPos val="nextTo"/>
        <c:txPr>
          <a:bodyPr/>
          <a:lstStyle/>
          <a:p>
            <a:pPr>
              <a:defRPr sz="1000"/>
            </a:pPr>
            <a:endParaRPr lang="en-US"/>
          </a:p>
        </c:txPr>
        <c:crossAx val="233826176"/>
        <c:crosses val="autoZero"/>
        <c:auto val="1"/>
        <c:lblAlgn val="ctr"/>
        <c:lblOffset val="100"/>
        <c:noMultiLvlLbl val="0"/>
      </c:catAx>
      <c:valAx>
        <c:axId val="233826176"/>
        <c:scaling>
          <c:orientation val="minMax"/>
          <c:max val="2500000"/>
        </c:scaling>
        <c:delete val="0"/>
        <c:axPos val="l"/>
        <c:majorGridlines/>
        <c:title>
          <c:tx>
            <c:rich>
              <a:bodyPr rot="-5400000" vert="horz"/>
              <a:lstStyle/>
              <a:p>
                <a:pPr>
                  <a:defRPr sz="1400"/>
                </a:pPr>
                <a:r>
                  <a:rPr lang="en-US" sz="1400"/>
                  <a:t>Annual shipments (Units)</a:t>
                </a:r>
              </a:p>
            </c:rich>
          </c:tx>
          <c:layout>
            <c:manualLayout>
              <c:xMode val="edge"/>
              <c:yMode val="edge"/>
              <c:x val="1.2632186676185111E-2"/>
              <c:y val="9.1600160005513298E-2"/>
            </c:manualLayout>
          </c:layout>
          <c:overlay val="0"/>
        </c:title>
        <c:numFmt formatCode="_(* #,##0_);_(* \(#,##0\);_(* &quot;-&quot;??_);_(@_)" sourceLinked="1"/>
        <c:majorTickMark val="out"/>
        <c:minorTickMark val="none"/>
        <c:tickLblPos val="nextTo"/>
        <c:txPr>
          <a:bodyPr/>
          <a:lstStyle/>
          <a:p>
            <a:pPr>
              <a:defRPr sz="1000"/>
            </a:pPr>
            <a:endParaRPr lang="en-US"/>
          </a:p>
        </c:txPr>
        <c:crossAx val="233824256"/>
        <c:crosses val="autoZero"/>
        <c:crossBetween val="between"/>
        <c:majorUnit val="500000"/>
      </c:valAx>
    </c:plotArea>
    <c:legend>
      <c:legendPos val="t"/>
      <c:layout>
        <c:manualLayout>
          <c:xMode val="edge"/>
          <c:yMode val="edge"/>
          <c:x val="0.17532950011636667"/>
          <c:y val="6.8869471953289907E-2"/>
          <c:w val="0.49595437786734969"/>
          <c:h val="0.3063369298897229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0615423506351"/>
          <c:y val="6.190251394785997E-2"/>
          <c:w val="0.81325480929315752"/>
          <c:h val="0.80162524905012333"/>
        </c:manualLayout>
      </c:layout>
      <c:lineChart>
        <c:grouping val="standard"/>
        <c:varyColors val="0"/>
        <c:ser>
          <c:idx val="2"/>
          <c:order val="0"/>
          <c:tx>
            <c:strRef>
              <c:f>Summary!$B$852</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Summary!$H$851:$M$851</c:f>
              <c:numCache>
                <c:formatCode>General</c:formatCode>
                <c:ptCount val="6"/>
                <c:pt idx="0">
                  <c:v>2021</c:v>
                </c:pt>
                <c:pt idx="1">
                  <c:v>2022</c:v>
                </c:pt>
                <c:pt idx="2">
                  <c:v>2023</c:v>
                </c:pt>
                <c:pt idx="3">
                  <c:v>2024</c:v>
                </c:pt>
                <c:pt idx="4">
                  <c:v>2025</c:v>
                </c:pt>
                <c:pt idx="5">
                  <c:v>2026</c:v>
                </c:pt>
              </c:numCache>
            </c:numRef>
          </c:cat>
          <c:val>
            <c:numRef>
              <c:f>Summary!$H$852:$M$852</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28FB-3C42-9AE7-8CFF292F800D}"/>
            </c:ext>
          </c:extLst>
        </c:ser>
        <c:ser>
          <c:idx val="0"/>
          <c:order val="1"/>
          <c:tx>
            <c:strRef>
              <c:f>Summary!$B$853</c:f>
              <c:strCache>
                <c:ptCount val="1"/>
                <c:pt idx="0">
                  <c:v>800G PSM8_500 m_OSFP, QSFP-DD800</c:v>
                </c:pt>
              </c:strCache>
            </c:strRef>
          </c:tx>
          <c:cat>
            <c:numRef>
              <c:f>Summary!$H$851:$M$851</c:f>
              <c:numCache>
                <c:formatCode>General</c:formatCode>
                <c:ptCount val="6"/>
                <c:pt idx="0">
                  <c:v>2021</c:v>
                </c:pt>
                <c:pt idx="1">
                  <c:v>2022</c:v>
                </c:pt>
                <c:pt idx="2">
                  <c:v>2023</c:v>
                </c:pt>
                <c:pt idx="3">
                  <c:v>2024</c:v>
                </c:pt>
                <c:pt idx="4">
                  <c:v>2025</c:v>
                </c:pt>
                <c:pt idx="5">
                  <c:v>2026</c:v>
                </c:pt>
              </c:numCache>
            </c:numRef>
          </c:cat>
          <c:val>
            <c:numRef>
              <c:f>Summary!$H$853:$M$853</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28FB-3C42-9AE7-8CFF292F800D}"/>
            </c:ext>
          </c:extLst>
        </c:ser>
        <c:ser>
          <c:idx val="1"/>
          <c:order val="2"/>
          <c:tx>
            <c:strRef>
              <c:f>Summary!$B$854</c:f>
              <c:strCache>
                <c:ptCount val="1"/>
                <c:pt idx="0">
                  <c:v>2x(400G FR4)_2 km_OSFP, QSFP-DD800</c:v>
                </c:pt>
              </c:strCache>
            </c:strRef>
          </c:tx>
          <c:spPr>
            <a:ln>
              <a:solidFill>
                <a:schemeClr val="accent4"/>
              </a:solidFill>
            </a:ln>
          </c:spPr>
          <c:marker>
            <c:spPr>
              <a:solidFill>
                <a:schemeClr val="accent4"/>
              </a:solidFill>
              <a:ln>
                <a:solidFill>
                  <a:schemeClr val="accent4"/>
                </a:solidFill>
              </a:ln>
            </c:spPr>
          </c:marker>
          <c:cat>
            <c:numRef>
              <c:f>Summary!$H$851:$M$851</c:f>
              <c:numCache>
                <c:formatCode>General</c:formatCode>
                <c:ptCount val="6"/>
                <c:pt idx="0">
                  <c:v>2021</c:v>
                </c:pt>
                <c:pt idx="1">
                  <c:v>2022</c:v>
                </c:pt>
                <c:pt idx="2">
                  <c:v>2023</c:v>
                </c:pt>
                <c:pt idx="3">
                  <c:v>2024</c:v>
                </c:pt>
                <c:pt idx="4">
                  <c:v>2025</c:v>
                </c:pt>
                <c:pt idx="5">
                  <c:v>2026</c:v>
                </c:pt>
              </c:numCache>
            </c:numRef>
          </c:cat>
          <c:val>
            <c:numRef>
              <c:f>Summary!$H$854:$M$854</c:f>
              <c:numCache>
                <c:formatCode>_("$"* #,##0_);_("$"* \(#,##0\);_("$"* "-"??_);_(@_)</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2-28FB-3C42-9AE7-8CFF292F800D}"/>
            </c:ext>
          </c:extLst>
        </c:ser>
        <c:ser>
          <c:idx val="3"/>
          <c:order val="3"/>
          <c:tx>
            <c:strRef>
              <c:f>Summary!$B$855</c:f>
              <c:strCache>
                <c:ptCount val="1"/>
              </c:strCache>
            </c:strRef>
          </c:tx>
          <c:cat>
            <c:numRef>
              <c:f>Summary!$H$851:$M$851</c:f>
              <c:numCache>
                <c:formatCode>General</c:formatCode>
                <c:ptCount val="6"/>
                <c:pt idx="0">
                  <c:v>2021</c:v>
                </c:pt>
                <c:pt idx="1">
                  <c:v>2022</c:v>
                </c:pt>
                <c:pt idx="2">
                  <c:v>2023</c:v>
                </c:pt>
                <c:pt idx="3">
                  <c:v>2024</c:v>
                </c:pt>
                <c:pt idx="4">
                  <c:v>2025</c:v>
                </c:pt>
                <c:pt idx="5">
                  <c:v>2026</c:v>
                </c:pt>
              </c:numCache>
            </c:numRef>
          </c:cat>
          <c:val>
            <c:numRef>
              <c:f>Summary!$H$855:$M$855</c:f>
              <c:numCache>
                <c:formatCode>_("$"* #,##0_);_("$"* \(#,##0\);_("$"* "-"??_);_(@_)</c:formatCode>
                <c:ptCount val="6"/>
              </c:numCache>
            </c:numRef>
          </c:val>
          <c:smooth val="0"/>
          <c:extLst xmlns:c16r2="http://schemas.microsoft.com/office/drawing/2015/06/chart">
            <c:ext xmlns:c16="http://schemas.microsoft.com/office/drawing/2014/chart" uri="{C3380CC4-5D6E-409C-BE32-E72D297353CC}">
              <c16:uniqueId val="{00000001-F838-454A-941E-7BC3272537FE}"/>
            </c:ext>
          </c:extLst>
        </c:ser>
        <c:dLbls>
          <c:showLegendKey val="0"/>
          <c:showVal val="0"/>
          <c:showCatName val="0"/>
          <c:showSerName val="0"/>
          <c:showPercent val="0"/>
          <c:showBubbleSize val="0"/>
        </c:dLbls>
        <c:marker val="1"/>
        <c:smooth val="0"/>
        <c:axId val="233858944"/>
        <c:axId val="233860480"/>
      </c:lineChart>
      <c:catAx>
        <c:axId val="233858944"/>
        <c:scaling>
          <c:orientation val="minMax"/>
        </c:scaling>
        <c:delete val="0"/>
        <c:axPos val="b"/>
        <c:numFmt formatCode="General" sourceLinked="1"/>
        <c:majorTickMark val="out"/>
        <c:minorTickMark val="none"/>
        <c:tickLblPos val="nextTo"/>
        <c:txPr>
          <a:bodyPr/>
          <a:lstStyle/>
          <a:p>
            <a:pPr>
              <a:defRPr sz="1000"/>
            </a:pPr>
            <a:endParaRPr lang="en-US"/>
          </a:p>
        </c:txPr>
        <c:crossAx val="233860480"/>
        <c:crosses val="autoZero"/>
        <c:auto val="1"/>
        <c:lblAlgn val="ctr"/>
        <c:lblOffset val="100"/>
        <c:noMultiLvlLbl val="0"/>
      </c:catAx>
      <c:valAx>
        <c:axId val="233860480"/>
        <c:scaling>
          <c:orientation val="minMax"/>
        </c:scaling>
        <c:delete val="0"/>
        <c:axPos val="l"/>
        <c:majorGridlines/>
        <c:title>
          <c:tx>
            <c:rich>
              <a:bodyPr rot="-5400000" vert="horz"/>
              <a:lstStyle/>
              <a:p>
                <a:pPr>
                  <a:defRPr sz="1400"/>
                </a:pPr>
                <a:r>
                  <a:rPr lang="en-US" sz="1400"/>
                  <a:t>A.S.P.s</a:t>
                </a:r>
              </a:p>
            </c:rich>
          </c:tx>
          <c:layout>
            <c:manualLayout>
              <c:xMode val="edge"/>
              <c:yMode val="edge"/>
              <c:x val="2.197759587763849E-3"/>
              <c:y val="0.40973955832116876"/>
            </c:manualLayout>
          </c:layout>
          <c:overlay val="0"/>
        </c:title>
        <c:numFmt formatCode="&quot;$&quot;#,##0" sourceLinked="0"/>
        <c:majorTickMark val="out"/>
        <c:minorTickMark val="none"/>
        <c:tickLblPos val="nextTo"/>
        <c:txPr>
          <a:bodyPr/>
          <a:lstStyle/>
          <a:p>
            <a:pPr>
              <a:defRPr sz="1000"/>
            </a:pPr>
            <a:endParaRPr lang="en-US"/>
          </a:p>
        </c:txPr>
        <c:crossAx val="233858944"/>
        <c:crosses val="autoZero"/>
        <c:crossBetween val="between"/>
      </c:valAx>
    </c:plotArea>
    <c:legend>
      <c:legendPos val="t"/>
      <c:legendEntry>
        <c:idx val="3"/>
        <c:delete val="1"/>
      </c:legendEntry>
      <c:layout>
        <c:manualLayout>
          <c:xMode val="edge"/>
          <c:yMode val="edge"/>
          <c:x val="0.53295469405372298"/>
          <c:y val="3.6056969576591817E-2"/>
          <c:w val="0.44680795291424852"/>
          <c:h val="0.336831810369970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76114234262062"/>
          <c:y val="3.5802548449797827E-2"/>
          <c:w val="0.84942799254536561"/>
          <c:h val="0.87533537520182725"/>
        </c:manualLayout>
      </c:layout>
      <c:lineChart>
        <c:grouping val="standard"/>
        <c:varyColors val="0"/>
        <c:ser>
          <c:idx val="2"/>
          <c:order val="0"/>
          <c:tx>
            <c:strRef>
              <c:f>Summary!$B$860</c:f>
              <c:strCache>
                <c:ptCount val="1"/>
                <c:pt idx="0">
                  <c:v>800G SR8_50 m_OSFP, QSFP-DD800</c:v>
                </c:pt>
              </c:strCache>
            </c:strRef>
          </c:tx>
          <c:spPr>
            <a:ln>
              <a:solidFill>
                <a:schemeClr val="accent2"/>
              </a:solidFill>
            </a:ln>
          </c:spPr>
          <c:marker>
            <c:spPr>
              <a:solidFill>
                <a:schemeClr val="accent2"/>
              </a:solidFill>
              <a:ln>
                <a:solidFill>
                  <a:schemeClr val="accent2"/>
                </a:solidFill>
              </a:ln>
            </c:spPr>
          </c:marker>
          <c:cat>
            <c:numRef>
              <c:f>Summary!$G$810:$M$810</c:f>
              <c:numCache>
                <c:formatCode>General</c:formatCode>
                <c:ptCount val="7"/>
                <c:pt idx="0">
                  <c:v>2020</c:v>
                </c:pt>
                <c:pt idx="1">
                  <c:v>2021</c:v>
                </c:pt>
                <c:pt idx="2">
                  <c:v>2022</c:v>
                </c:pt>
                <c:pt idx="3">
                  <c:v>2023</c:v>
                </c:pt>
                <c:pt idx="4">
                  <c:v>2024</c:v>
                </c:pt>
                <c:pt idx="5">
                  <c:v>2025</c:v>
                </c:pt>
                <c:pt idx="6">
                  <c:v>2026</c:v>
                </c:pt>
              </c:numCache>
            </c:numRef>
          </c:cat>
          <c:val>
            <c:numRef>
              <c:f>Summary!$G$860:$M$860</c:f>
              <c:numCache>
                <c:formatCode>_("$"* #,##0_);_("$"* \(#,##0\);_("$"* "-"??_);_(@_)</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0-5A8F-0344-B2CD-C518500A5542}"/>
            </c:ext>
          </c:extLst>
        </c:ser>
        <c:ser>
          <c:idx val="0"/>
          <c:order val="1"/>
          <c:tx>
            <c:strRef>
              <c:f>Summary!$B$861</c:f>
              <c:strCache>
                <c:ptCount val="1"/>
                <c:pt idx="0">
                  <c:v>800G PSM8_500 m_OSFP, QSFP-DD800</c:v>
                </c:pt>
              </c:strCache>
            </c:strRef>
          </c:tx>
          <c:cat>
            <c:numRef>
              <c:f>Summary!$G$810:$M$810</c:f>
              <c:numCache>
                <c:formatCode>General</c:formatCode>
                <c:ptCount val="7"/>
                <c:pt idx="0">
                  <c:v>2020</c:v>
                </c:pt>
                <c:pt idx="1">
                  <c:v>2021</c:v>
                </c:pt>
                <c:pt idx="2">
                  <c:v>2022</c:v>
                </c:pt>
                <c:pt idx="3">
                  <c:v>2023</c:v>
                </c:pt>
                <c:pt idx="4">
                  <c:v>2024</c:v>
                </c:pt>
                <c:pt idx="5">
                  <c:v>2025</c:v>
                </c:pt>
                <c:pt idx="6">
                  <c:v>2026</c:v>
                </c:pt>
              </c:numCache>
            </c:numRef>
          </c:cat>
          <c:val>
            <c:numRef>
              <c:f>Summary!$G$861:$M$861</c:f>
              <c:numCache>
                <c:formatCode>_("$"* #,##0_);_("$"* \(#,##0\);_("$"* "-"??_);_(@_)</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1-5A8F-0344-B2CD-C518500A5542}"/>
            </c:ext>
          </c:extLst>
        </c:ser>
        <c:ser>
          <c:idx val="1"/>
          <c:order val="2"/>
          <c:tx>
            <c:strRef>
              <c:f>Summary!$B$862</c:f>
              <c:strCache>
                <c:ptCount val="1"/>
                <c:pt idx="0">
                  <c:v>2x(400G FR4)_2 km_OSFP, QSFP-DD800</c:v>
                </c:pt>
              </c:strCache>
            </c:strRef>
          </c:tx>
          <c:spPr>
            <a:ln>
              <a:solidFill>
                <a:schemeClr val="accent4"/>
              </a:solidFill>
            </a:ln>
          </c:spPr>
          <c:marker>
            <c:spPr>
              <a:solidFill>
                <a:schemeClr val="accent4"/>
              </a:solidFill>
              <a:ln>
                <a:solidFill>
                  <a:schemeClr val="accent4"/>
                </a:solidFill>
              </a:ln>
            </c:spPr>
          </c:marker>
          <c:cat>
            <c:numRef>
              <c:f>Summary!$G$810:$M$810</c:f>
              <c:numCache>
                <c:formatCode>General</c:formatCode>
                <c:ptCount val="7"/>
                <c:pt idx="0">
                  <c:v>2020</c:v>
                </c:pt>
                <c:pt idx="1">
                  <c:v>2021</c:v>
                </c:pt>
                <c:pt idx="2">
                  <c:v>2022</c:v>
                </c:pt>
                <c:pt idx="3">
                  <c:v>2023</c:v>
                </c:pt>
                <c:pt idx="4">
                  <c:v>2024</c:v>
                </c:pt>
                <c:pt idx="5">
                  <c:v>2025</c:v>
                </c:pt>
                <c:pt idx="6">
                  <c:v>2026</c:v>
                </c:pt>
              </c:numCache>
            </c:numRef>
          </c:cat>
          <c:val>
            <c:numRef>
              <c:f>Summary!$G$862:$M$862</c:f>
              <c:numCache>
                <c:formatCode>_("$"* #,##0_);_("$"* \(#,##0\);_("$"* "-"??_);_(@_)</c:formatCode>
                <c:ptCount val="7"/>
                <c:pt idx="0">
                  <c:v>0</c:v>
                </c:pt>
                <c:pt idx="1">
                  <c:v>0</c:v>
                </c:pt>
                <c:pt idx="2">
                  <c:v>0</c:v>
                </c:pt>
                <c:pt idx="3">
                  <c:v>0</c:v>
                </c:pt>
                <c:pt idx="4">
                  <c:v>0</c:v>
                </c:pt>
                <c:pt idx="5">
                  <c:v>0</c:v>
                </c:pt>
                <c:pt idx="6">
                  <c:v>0</c:v>
                </c:pt>
              </c:numCache>
            </c:numRef>
          </c:val>
          <c:smooth val="0"/>
          <c:extLst xmlns:c16r2="http://schemas.microsoft.com/office/drawing/2015/06/chart">
            <c:ext xmlns:c16="http://schemas.microsoft.com/office/drawing/2014/chart" uri="{C3380CC4-5D6E-409C-BE32-E72D297353CC}">
              <c16:uniqueId val="{00000002-5A8F-0344-B2CD-C518500A5542}"/>
            </c:ext>
          </c:extLst>
        </c:ser>
        <c:dLbls>
          <c:showLegendKey val="0"/>
          <c:showVal val="0"/>
          <c:showCatName val="0"/>
          <c:showSerName val="0"/>
          <c:showPercent val="0"/>
          <c:showBubbleSize val="0"/>
        </c:dLbls>
        <c:marker val="1"/>
        <c:smooth val="0"/>
        <c:axId val="233965824"/>
        <c:axId val="233976192"/>
      </c:lineChart>
      <c:catAx>
        <c:axId val="233965824"/>
        <c:scaling>
          <c:orientation val="minMax"/>
        </c:scaling>
        <c:delete val="0"/>
        <c:axPos val="b"/>
        <c:numFmt formatCode="General" sourceLinked="1"/>
        <c:majorTickMark val="out"/>
        <c:minorTickMark val="none"/>
        <c:tickLblPos val="nextTo"/>
        <c:txPr>
          <a:bodyPr/>
          <a:lstStyle/>
          <a:p>
            <a:pPr>
              <a:defRPr sz="1000"/>
            </a:pPr>
            <a:endParaRPr lang="en-US"/>
          </a:p>
        </c:txPr>
        <c:crossAx val="233976192"/>
        <c:crosses val="autoZero"/>
        <c:auto val="1"/>
        <c:lblAlgn val="ctr"/>
        <c:lblOffset val="100"/>
        <c:noMultiLvlLbl val="0"/>
      </c:catAx>
      <c:valAx>
        <c:axId val="233976192"/>
        <c:scaling>
          <c:orientation val="minMax"/>
        </c:scaling>
        <c:delete val="0"/>
        <c:axPos val="l"/>
        <c:majorGridlines/>
        <c:title>
          <c:tx>
            <c:rich>
              <a:bodyPr rot="-5400000" vert="horz"/>
              <a:lstStyle/>
              <a:p>
                <a:pPr>
                  <a:defRPr sz="1400" b="1"/>
                </a:pPr>
                <a:r>
                  <a:rPr lang="en-US" sz="1400" b="1"/>
                  <a:t>Annual sales ($mn)</a:t>
                </a:r>
              </a:p>
            </c:rich>
          </c:tx>
          <c:overlay val="0"/>
        </c:title>
        <c:numFmt formatCode="&quot;$&quot;#,##0" sourceLinked="0"/>
        <c:majorTickMark val="out"/>
        <c:minorTickMark val="none"/>
        <c:tickLblPos val="nextTo"/>
        <c:txPr>
          <a:bodyPr/>
          <a:lstStyle/>
          <a:p>
            <a:pPr>
              <a:defRPr sz="1000"/>
            </a:pPr>
            <a:endParaRPr lang="en-US"/>
          </a:p>
        </c:txPr>
        <c:crossAx val="233965824"/>
        <c:crosses val="autoZero"/>
        <c:crossBetween val="between"/>
      </c:valAx>
    </c:plotArea>
    <c:legend>
      <c:legendPos val="t"/>
      <c:layout>
        <c:manualLayout>
          <c:xMode val="edge"/>
          <c:yMode val="edge"/>
          <c:x val="0.13432250966082437"/>
          <c:y val="4.9710763796812933E-2"/>
          <c:w val="0.54194027747577234"/>
          <c:h val="0.3069051042808598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567805605883631"/>
          <c:y val="4.8133783277090364E-2"/>
          <c:w val="0.7911277752870971"/>
          <c:h val="0.86605654293213352"/>
        </c:manualLayout>
      </c:layout>
      <c:lineChart>
        <c:grouping val="standard"/>
        <c:varyColors val="0"/>
        <c:ser>
          <c:idx val="1"/>
          <c:order val="0"/>
          <c:tx>
            <c:strRef>
              <c:f>Summary!$B$700</c:f>
              <c:strCache>
                <c:ptCount val="1"/>
                <c:pt idx="0">
                  <c:v>100G SR4 </c:v>
                </c:pt>
              </c:strCache>
            </c:strRef>
          </c:tx>
          <c:cat>
            <c:numRef>
              <c:f>Summary!$C$699:$M$699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Summary!$C$700:$M$700</c:f>
              <c:numCache>
                <c:formatCode>_(* #,##0_);_(* \(#,##0\);_(* "-"??_);_(@_)</c:formatCode>
                <c:ptCount val="11"/>
                <c:pt idx="0">
                  <c:v>280058</c:v>
                </c:pt>
                <c:pt idx="1">
                  <c:v>622792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74AF-4145-A2BA-302D07AC74A2}"/>
            </c:ext>
          </c:extLst>
        </c:ser>
        <c:ser>
          <c:idx val="2"/>
          <c:order val="1"/>
          <c:tx>
            <c:strRef>
              <c:f>Summary!$B$701</c:f>
              <c:strCache>
                <c:ptCount val="1"/>
                <c:pt idx="0">
                  <c:v>100G PSM4 </c:v>
                </c:pt>
              </c:strCache>
            </c:strRef>
          </c:tx>
          <c:cat>
            <c:numRef>
              <c:f>Summary!$C$699:$M$699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Summary!$C$701:$M$701</c:f>
              <c:numCache>
                <c:formatCode>_(* #,##0_);_(* \(#,##0\);_(* "-"??_);_(@_)</c:formatCode>
                <c:ptCount val="11"/>
                <c:pt idx="0">
                  <c:v>200861</c:v>
                </c:pt>
                <c:pt idx="1">
                  <c:v>710038</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74AF-4145-A2BA-302D07AC74A2}"/>
            </c:ext>
          </c:extLst>
        </c:ser>
        <c:ser>
          <c:idx val="3"/>
          <c:order val="2"/>
          <c:tx>
            <c:strRef>
              <c:f>Summary!$B$702</c:f>
              <c:strCache>
                <c:ptCount val="1"/>
                <c:pt idx="0">
                  <c:v>100G DR1 and FR1</c:v>
                </c:pt>
              </c:strCache>
            </c:strRef>
          </c:tx>
          <c:marker>
            <c:symbol val="square"/>
            <c:size val="5"/>
          </c:marker>
          <c:cat>
            <c:numRef>
              <c:f>Summary!$C$699:$M$699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Summary!$C$702:$M$702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74AF-4145-A2BA-302D07AC74A2}"/>
            </c:ext>
          </c:extLst>
        </c:ser>
        <c:ser>
          <c:idx val="9"/>
          <c:order val="3"/>
          <c:tx>
            <c:strRef>
              <c:f>Summary!$B$703</c:f>
              <c:strCache>
                <c:ptCount val="1"/>
                <c:pt idx="0">
                  <c:v>100G CWDM4 </c:v>
                </c:pt>
              </c:strCache>
            </c:strRef>
          </c:tx>
          <c:cat>
            <c:numRef>
              <c:f>Summary!$C$699:$M$699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Summary!$C$703:$M$703</c:f>
              <c:numCache>
                <c:formatCode>_(* #,##0_);_(* \(#,##0\);_(* "-"??_);_(@_)</c:formatCode>
                <c:ptCount val="11"/>
                <c:pt idx="0">
                  <c:v>119190</c:v>
                </c:pt>
                <c:pt idx="1">
                  <c:v>976303</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74AF-4145-A2BA-302D07AC74A2}"/>
            </c:ext>
          </c:extLst>
        </c:ser>
        <c:ser>
          <c:idx val="6"/>
          <c:order val="4"/>
          <c:tx>
            <c:strRef>
              <c:f>Summary!$B$704</c:f>
              <c:strCache>
                <c:ptCount val="1"/>
                <c:pt idx="0">
                  <c:v>100G LR4 and LR1</c:v>
                </c:pt>
              </c:strCache>
            </c:strRef>
          </c:tx>
          <c:cat>
            <c:numRef>
              <c:f>Summary!$C$699:$M$699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Summary!$C$704:$M$704</c:f>
              <c:numCache>
                <c:formatCode>_(* #,##0_);_(* \(#,##0\);_(* "-"??_);_(@_)</c:formatCode>
                <c:ptCount val="11"/>
                <c:pt idx="0">
                  <c:v>90443</c:v>
                </c:pt>
                <c:pt idx="1">
                  <c:v>362352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234022400"/>
        <c:axId val="234023936"/>
      </c:lineChart>
      <c:catAx>
        <c:axId val="234022400"/>
        <c:scaling>
          <c:orientation val="minMax"/>
        </c:scaling>
        <c:delete val="0"/>
        <c:axPos val="b"/>
        <c:numFmt formatCode="General" sourceLinked="1"/>
        <c:majorTickMark val="out"/>
        <c:minorTickMark val="none"/>
        <c:tickLblPos val="nextTo"/>
        <c:txPr>
          <a:bodyPr/>
          <a:lstStyle/>
          <a:p>
            <a:pPr>
              <a:defRPr sz="1200"/>
            </a:pPr>
            <a:endParaRPr lang="en-US"/>
          </a:p>
        </c:txPr>
        <c:crossAx val="234023936"/>
        <c:crosses val="autoZero"/>
        <c:auto val="1"/>
        <c:lblAlgn val="ctr"/>
        <c:lblOffset val="100"/>
        <c:noMultiLvlLbl val="0"/>
      </c:catAx>
      <c:valAx>
        <c:axId val="234023936"/>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200"/>
            </a:pPr>
            <a:endParaRPr lang="en-US"/>
          </a:p>
        </c:txPr>
        <c:crossAx val="234022400"/>
        <c:crosses val="autoZero"/>
        <c:crossBetween val="between"/>
        <c:majorUnit val="2000000"/>
      </c:valAx>
    </c:plotArea>
    <c:legend>
      <c:legendPos val="t"/>
      <c:layout>
        <c:manualLayout>
          <c:xMode val="edge"/>
          <c:yMode val="edge"/>
          <c:x val="0.18167823826649104"/>
          <c:y val="7.5790257863901617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Summary!$B$709</c:f>
              <c:strCache>
                <c:ptCount val="1"/>
                <c:pt idx="0">
                  <c:v>100G SR4 </c:v>
                </c:pt>
              </c:strCache>
            </c:strRef>
          </c:tx>
          <c:cat>
            <c:numRef>
              <c:f>Summary!$E$708:$M$708</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Summary!$E$709:$M$709</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0-74AF-4145-A2BA-302D07AC74A2}"/>
            </c:ext>
          </c:extLst>
        </c:ser>
        <c:ser>
          <c:idx val="2"/>
          <c:order val="1"/>
          <c:tx>
            <c:strRef>
              <c:f>Summary!$B$710</c:f>
              <c:strCache>
                <c:ptCount val="1"/>
                <c:pt idx="0">
                  <c:v>100G PSM4 </c:v>
                </c:pt>
              </c:strCache>
            </c:strRef>
          </c:tx>
          <c:cat>
            <c:numRef>
              <c:f>Summary!$E$708:$M$708</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Summary!$E$710:$M$710</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1-74AF-4145-A2BA-302D07AC74A2}"/>
            </c:ext>
          </c:extLst>
        </c:ser>
        <c:ser>
          <c:idx val="3"/>
          <c:order val="2"/>
          <c:tx>
            <c:strRef>
              <c:f>Summary!$B$711</c:f>
              <c:strCache>
                <c:ptCount val="1"/>
                <c:pt idx="0">
                  <c:v>100G DR1 and FR1</c:v>
                </c:pt>
              </c:strCache>
            </c:strRef>
          </c:tx>
          <c:marker>
            <c:symbol val="square"/>
            <c:size val="5"/>
          </c:marker>
          <c:cat>
            <c:numRef>
              <c:f>Summary!$E$708:$M$708</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Summary!$E$711:$M$711</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2-74AF-4145-A2BA-302D07AC74A2}"/>
            </c:ext>
          </c:extLst>
        </c:ser>
        <c:ser>
          <c:idx val="9"/>
          <c:order val="3"/>
          <c:tx>
            <c:strRef>
              <c:f>Summary!$B$712</c:f>
              <c:strCache>
                <c:ptCount val="1"/>
                <c:pt idx="0">
                  <c:v>100G CWDM4 </c:v>
                </c:pt>
              </c:strCache>
            </c:strRef>
          </c:tx>
          <c:cat>
            <c:numRef>
              <c:f>Summary!$E$708:$M$708</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Summary!$E$712:$M$712</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3-74AF-4145-A2BA-302D07AC74A2}"/>
            </c:ext>
          </c:extLst>
        </c:ser>
        <c:ser>
          <c:idx val="6"/>
          <c:order val="4"/>
          <c:tx>
            <c:strRef>
              <c:f>Summary!$B$713</c:f>
              <c:strCache>
                <c:ptCount val="1"/>
                <c:pt idx="0">
                  <c:v>100G LR4 and LR1</c:v>
                </c:pt>
              </c:strCache>
            </c:strRef>
          </c:tx>
          <c:cat>
            <c:numRef>
              <c:f>Summary!$E$708:$M$708</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Summary!$E$713:$M$713</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234082688"/>
        <c:axId val="234084224"/>
      </c:lineChart>
      <c:catAx>
        <c:axId val="234082688"/>
        <c:scaling>
          <c:orientation val="minMax"/>
        </c:scaling>
        <c:delete val="0"/>
        <c:axPos val="b"/>
        <c:numFmt formatCode="General" sourceLinked="1"/>
        <c:majorTickMark val="out"/>
        <c:minorTickMark val="none"/>
        <c:tickLblPos val="nextTo"/>
        <c:txPr>
          <a:bodyPr/>
          <a:lstStyle/>
          <a:p>
            <a:pPr>
              <a:defRPr sz="1200"/>
            </a:pPr>
            <a:endParaRPr lang="en-US"/>
          </a:p>
        </c:txPr>
        <c:crossAx val="234084224"/>
        <c:crosses val="autoZero"/>
        <c:auto val="1"/>
        <c:lblAlgn val="ctr"/>
        <c:lblOffset val="100"/>
        <c:noMultiLvlLbl val="0"/>
      </c:catAx>
      <c:valAx>
        <c:axId val="234084224"/>
        <c:scaling>
          <c:orientation val="minMax"/>
          <c:max val="1000"/>
          <c:min val="0"/>
        </c:scaling>
        <c:delete val="0"/>
        <c:axPos val="l"/>
        <c:majorGridlines/>
        <c:title>
          <c:tx>
            <c:rich>
              <a:bodyPr rot="-5400000" vert="horz"/>
              <a:lstStyle/>
              <a:p>
                <a:pPr>
                  <a:defRPr sz="1400"/>
                </a:pPr>
                <a:r>
                  <a:rPr lang="en-US" sz="1400"/>
                  <a:t>A.S.P.s</a:t>
                </a:r>
              </a:p>
            </c:rich>
          </c:tx>
          <c:layout>
            <c:manualLayout>
              <c:xMode val="edge"/>
              <c:yMode val="edge"/>
              <c:x val="4.1663429101162055E-3"/>
              <c:y val="0.38845680215320644"/>
            </c:manualLayout>
          </c:layout>
          <c:overlay val="0"/>
        </c:title>
        <c:numFmt formatCode="&quot;$&quot;#,##0" sourceLinked="0"/>
        <c:majorTickMark val="out"/>
        <c:minorTickMark val="none"/>
        <c:tickLblPos val="nextTo"/>
        <c:txPr>
          <a:bodyPr/>
          <a:lstStyle/>
          <a:p>
            <a:pPr>
              <a:defRPr sz="1200"/>
            </a:pPr>
            <a:endParaRPr lang="en-US"/>
          </a:p>
        </c:txPr>
        <c:crossAx val="234082688"/>
        <c:crosses val="autoZero"/>
        <c:crossBetween val="between"/>
      </c:valAx>
    </c:plotArea>
    <c:legend>
      <c:legendPos val="t"/>
      <c:layout>
        <c:manualLayout>
          <c:xMode val="edge"/>
          <c:yMode val="edge"/>
          <c:x val="0.65563143134260815"/>
          <c:y val="9.5933234399252248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06512561360372"/>
          <c:y val="3.9619699166240335E-2"/>
          <c:w val="0.80285652295759247"/>
          <c:h val="0.83729438888942231"/>
        </c:manualLayout>
      </c:layout>
      <c:lineChart>
        <c:grouping val="standard"/>
        <c:varyColors val="0"/>
        <c:ser>
          <c:idx val="0"/>
          <c:order val="0"/>
          <c:tx>
            <c:strRef>
              <c:f>Summary!$B$553</c:f>
              <c:strCache>
                <c:ptCount val="1"/>
                <c:pt idx="0">
                  <c:v>100 m  100G CFP</c:v>
                </c:pt>
              </c:strCache>
            </c:strRef>
          </c:tx>
          <c:cat>
            <c:numRef>
              <c:f>Summary!$C$552:$M$552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Summary!$C$553:$F$553</c:f>
              <c:numCache>
                <c:formatCode>_(* #,##0_);_(* \(#,##0\);_(* "-"??_);_(@_)</c:formatCode>
                <c:ptCount val="4"/>
                <c:pt idx="0">
                  <c:v>14816</c:v>
                </c:pt>
                <c:pt idx="1">
                  <c:v>6913</c:v>
                </c:pt>
                <c:pt idx="2">
                  <c:v>0</c:v>
                </c:pt>
                <c:pt idx="3">
                  <c:v>0</c:v>
                </c:pt>
              </c:numCache>
            </c:numRef>
          </c:val>
          <c:smooth val="0"/>
          <c:extLst xmlns:c16r2="http://schemas.microsoft.com/office/drawing/2015/06/chart">
            <c:ext xmlns:c16="http://schemas.microsoft.com/office/drawing/2014/chart" uri="{C3380CC4-5D6E-409C-BE32-E72D297353CC}">
              <c16:uniqueId val="{00000000-A05F-B34D-8A1F-06B1B81B5E78}"/>
            </c:ext>
          </c:extLst>
        </c:ser>
        <c:ser>
          <c:idx val="1"/>
          <c:order val="1"/>
          <c:tx>
            <c:strRef>
              <c:f>Summary!$B$554</c:f>
              <c:strCache>
                <c:ptCount val="1"/>
                <c:pt idx="0">
                  <c:v>100 m  100G CFP2/CFP4</c:v>
                </c:pt>
              </c:strCache>
            </c:strRef>
          </c:tx>
          <c:cat>
            <c:numRef>
              <c:f>Summary!$C$552:$M$552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Summary!$C$554:$F$554</c:f>
              <c:numCache>
                <c:formatCode>_(* #,##0_);_(* \(#,##0\);_(* "-"??_);_(@_)</c:formatCode>
                <c:ptCount val="4"/>
                <c:pt idx="0">
                  <c:v>4367</c:v>
                </c:pt>
                <c:pt idx="1">
                  <c:v>2269</c:v>
                </c:pt>
                <c:pt idx="2">
                  <c:v>0</c:v>
                </c:pt>
                <c:pt idx="3">
                  <c:v>0</c:v>
                </c:pt>
              </c:numCache>
            </c:numRef>
          </c:val>
          <c:smooth val="0"/>
          <c:extLst xmlns:c16r2="http://schemas.microsoft.com/office/drawing/2015/06/chart">
            <c:ext xmlns:c16="http://schemas.microsoft.com/office/drawing/2014/chart" uri="{C3380CC4-5D6E-409C-BE32-E72D297353CC}">
              <c16:uniqueId val="{00000001-A05F-B34D-8A1F-06B1B81B5E78}"/>
            </c:ext>
          </c:extLst>
        </c:ser>
        <c:ser>
          <c:idx val="2"/>
          <c:order val="2"/>
          <c:tx>
            <c:strRef>
              <c:f>Summary!$B$555</c:f>
              <c:strCache>
                <c:ptCount val="1"/>
                <c:pt idx="0">
                  <c:v>100 m  100G SR2, SR4  QSFP28</c:v>
                </c:pt>
              </c:strCache>
            </c:strRef>
          </c:tx>
          <c:cat>
            <c:numRef>
              <c:f>Summary!$C$552:$M$552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Summary!$C$555:$M$555</c:f>
              <c:numCache>
                <c:formatCode>_(* #,##0_);_(* \(#,##0\);_(* "-"??_);_(@_)</c:formatCode>
                <c:ptCount val="11"/>
                <c:pt idx="0">
                  <c:v>280058</c:v>
                </c:pt>
                <c:pt idx="1">
                  <c:v>622792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A05F-B34D-8A1F-06B1B81B5E78}"/>
            </c:ext>
          </c:extLst>
        </c:ser>
        <c:ser>
          <c:idx val="3"/>
          <c:order val="3"/>
          <c:tx>
            <c:strRef>
              <c:f>Summary!$B$556</c:f>
              <c:strCache>
                <c:ptCount val="1"/>
                <c:pt idx="0">
                  <c:v>100 m  100G QSFP28 MM Duplex</c:v>
                </c:pt>
              </c:strCache>
            </c:strRef>
          </c:tx>
          <c:cat>
            <c:numRef>
              <c:f>Summary!$C$552:$M$552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Summary!$C$556:$M$556</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A05F-B34D-8A1F-06B1B81B5E78}"/>
            </c:ext>
          </c:extLst>
        </c:ser>
        <c:ser>
          <c:idx val="4"/>
          <c:order val="4"/>
          <c:tx>
            <c:strRef>
              <c:f>Summary!$B$557</c:f>
              <c:strCache>
                <c:ptCount val="1"/>
                <c:pt idx="0">
                  <c:v>300 m  100G QSFP28  eSR4</c:v>
                </c:pt>
              </c:strCache>
            </c:strRef>
          </c:tx>
          <c:cat>
            <c:numRef>
              <c:f>Summary!$C$552:$M$552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Summary!$C$557:$M$557</c:f>
              <c:numCache>
                <c:formatCode>_(* #,##0_);_(* \(#,##0\);_(*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A05F-B34D-8A1F-06B1B81B5E78}"/>
            </c:ext>
          </c:extLst>
        </c:ser>
        <c:dLbls>
          <c:showLegendKey val="0"/>
          <c:showVal val="0"/>
          <c:showCatName val="0"/>
          <c:showSerName val="0"/>
          <c:showPercent val="0"/>
          <c:showBubbleSize val="0"/>
        </c:dLbls>
        <c:marker val="1"/>
        <c:smooth val="0"/>
        <c:axId val="229917056"/>
        <c:axId val="229918592"/>
      </c:lineChart>
      <c:catAx>
        <c:axId val="229917056"/>
        <c:scaling>
          <c:orientation val="minMax"/>
        </c:scaling>
        <c:delete val="0"/>
        <c:axPos val="b"/>
        <c:numFmt formatCode="General" sourceLinked="1"/>
        <c:majorTickMark val="out"/>
        <c:minorTickMark val="none"/>
        <c:tickLblPos val="nextTo"/>
        <c:txPr>
          <a:bodyPr/>
          <a:lstStyle/>
          <a:p>
            <a:pPr>
              <a:defRPr sz="1200"/>
            </a:pPr>
            <a:endParaRPr lang="en-US"/>
          </a:p>
        </c:txPr>
        <c:crossAx val="229918592"/>
        <c:crosses val="autoZero"/>
        <c:auto val="1"/>
        <c:lblAlgn val="ctr"/>
        <c:lblOffset val="100"/>
        <c:noMultiLvlLbl val="0"/>
      </c:catAx>
      <c:valAx>
        <c:axId val="229918592"/>
        <c:scaling>
          <c:orientation val="minMax"/>
          <c:min val="0"/>
        </c:scaling>
        <c:delete val="0"/>
        <c:axPos val="l"/>
        <c:majorGridlines/>
        <c:title>
          <c:tx>
            <c:rich>
              <a:bodyPr rot="-5400000" vert="horz"/>
              <a:lstStyle/>
              <a:p>
                <a:pPr>
                  <a:defRPr sz="1400"/>
                </a:pPr>
                <a:r>
                  <a:rPr lang="en-US" sz="1400"/>
                  <a:t>Annual shipments (Units)
</a:t>
                </a:r>
              </a:p>
            </c:rich>
          </c:tx>
          <c:overlay val="0"/>
        </c:title>
        <c:numFmt formatCode="#,##0" sourceLinked="0"/>
        <c:majorTickMark val="out"/>
        <c:minorTickMark val="none"/>
        <c:tickLblPos val="nextTo"/>
        <c:txPr>
          <a:bodyPr/>
          <a:lstStyle/>
          <a:p>
            <a:pPr>
              <a:defRPr sz="1000"/>
            </a:pPr>
            <a:endParaRPr lang="en-US"/>
          </a:p>
        </c:txPr>
        <c:crossAx val="229917056"/>
        <c:crosses val="autoZero"/>
        <c:crossBetween val="between"/>
        <c:minorUnit val="20000"/>
      </c:valAx>
    </c:plotArea>
    <c:legend>
      <c:legendPos val="t"/>
      <c:layout>
        <c:manualLayout>
          <c:xMode val="edge"/>
          <c:yMode val="edge"/>
          <c:x val="0.20155145092844701"/>
          <c:y val="5.7497847741906416E-2"/>
          <c:w val="0.46559728545610474"/>
          <c:h val="0.32595654438475175"/>
        </c:manualLayout>
      </c:layout>
      <c:overlay val="0"/>
      <c:spPr>
        <a:solidFill>
          <a:schemeClr val="bg1"/>
        </a:solidFill>
        <a:ln>
          <a:solidFill>
            <a:schemeClr val="tx1"/>
          </a:solidFill>
        </a:ln>
      </c:spPr>
      <c:txPr>
        <a:bodyPr/>
        <a:lstStyle/>
        <a:p>
          <a:pPr>
            <a:defRPr sz="1050"/>
          </a:pPr>
          <a:endParaRPr lang="en-US"/>
        </a:p>
      </c:txPr>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2950440018527"/>
          <c:y val="4.8133783277090364E-2"/>
          <c:w val="0.81251073027636256"/>
          <c:h val="0.86605654293213352"/>
        </c:manualLayout>
      </c:layout>
      <c:lineChart>
        <c:grouping val="standard"/>
        <c:varyColors val="0"/>
        <c:ser>
          <c:idx val="1"/>
          <c:order val="0"/>
          <c:tx>
            <c:strRef>
              <c:f>Summary!$B$718</c:f>
              <c:strCache>
                <c:ptCount val="1"/>
                <c:pt idx="0">
                  <c:v>100G SR4 </c:v>
                </c:pt>
              </c:strCache>
            </c:strRef>
          </c:tx>
          <c:cat>
            <c:numRef>
              <c:f>Summary!$C$717:$M$717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Summary!$C$718:$M$718</c:f>
              <c:numCache>
                <c:formatCode>_("$"* #,##0_);_("$"* \(#,##0\);_("$"* "-"??_);_(@_)</c:formatCode>
                <c:ptCount val="11"/>
                <c:pt idx="0">
                  <c:v>72.281363999999996</c:v>
                </c:pt>
                <c:pt idx="1">
                  <c:v>113.36232738072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74AF-4145-A2BA-302D07AC74A2}"/>
            </c:ext>
          </c:extLst>
        </c:ser>
        <c:ser>
          <c:idx val="2"/>
          <c:order val="1"/>
          <c:tx>
            <c:strRef>
              <c:f>Summary!$B$719</c:f>
              <c:strCache>
                <c:ptCount val="1"/>
                <c:pt idx="0">
                  <c:v>100G PSM4 </c:v>
                </c:pt>
              </c:strCache>
            </c:strRef>
          </c:tx>
          <c:cat>
            <c:numRef>
              <c:f>Summary!$C$717:$M$717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Summary!$C$719:$M$719</c:f>
              <c:numCache>
                <c:formatCode>_("$"* #,##0_);_("$"* \(#,##0\);_("$"* "-"??_);_(@_)</c:formatCode>
                <c:ptCount val="11"/>
                <c:pt idx="0">
                  <c:v>67.773890240000014</c:v>
                </c:pt>
                <c:pt idx="1">
                  <c:v>158.09400299999999</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74AF-4145-A2BA-302D07AC74A2}"/>
            </c:ext>
          </c:extLst>
        </c:ser>
        <c:ser>
          <c:idx val="3"/>
          <c:order val="2"/>
          <c:tx>
            <c:strRef>
              <c:f>Summary!$B$720</c:f>
              <c:strCache>
                <c:ptCount val="1"/>
                <c:pt idx="0">
                  <c:v>100G DR1 and FR1</c:v>
                </c:pt>
              </c:strCache>
            </c:strRef>
          </c:tx>
          <c:marker>
            <c:symbol val="square"/>
            <c:size val="5"/>
          </c:marker>
          <c:cat>
            <c:numRef>
              <c:f>Summary!$C$717:$M$717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Summary!$C$720:$M$720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74AF-4145-A2BA-302D07AC74A2}"/>
            </c:ext>
          </c:extLst>
        </c:ser>
        <c:ser>
          <c:idx val="9"/>
          <c:order val="3"/>
          <c:tx>
            <c:strRef>
              <c:f>Summary!$B$721</c:f>
              <c:strCache>
                <c:ptCount val="1"/>
                <c:pt idx="0">
                  <c:v>100G CWDM4 </c:v>
                </c:pt>
              </c:strCache>
            </c:strRef>
          </c:tx>
          <c:cat>
            <c:numRef>
              <c:f>Summary!$C$717:$M$717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Summary!$C$721:$M$721</c:f>
              <c:numCache>
                <c:formatCode>_("$"* #,##0_);_("$"* \(#,##0\);_("$"* "-"??_);_(@_)</c:formatCode>
                <c:ptCount val="11"/>
                <c:pt idx="0">
                  <c:v>80.691629999999989</c:v>
                </c:pt>
                <c:pt idx="1">
                  <c:v>497.91453000000001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74AF-4145-A2BA-302D07AC74A2}"/>
            </c:ext>
          </c:extLst>
        </c:ser>
        <c:ser>
          <c:idx val="6"/>
          <c:order val="4"/>
          <c:tx>
            <c:strRef>
              <c:f>Summary!$B$722</c:f>
              <c:strCache>
                <c:ptCount val="1"/>
                <c:pt idx="0">
                  <c:v>100G LR4 and LR1</c:v>
                </c:pt>
              </c:strCache>
            </c:strRef>
          </c:tx>
          <c:cat>
            <c:numRef>
              <c:f>Summary!$C$717:$M$717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Summary!$C$722:$M$722</c:f>
              <c:numCache>
                <c:formatCode>_("$"* #,##0_);_("$"* \(#,##0\);_("$"* "-"??_);_(@_)</c:formatCode>
                <c:ptCount val="11"/>
                <c:pt idx="0">
                  <c:v>175.29210971636297</c:v>
                </c:pt>
                <c:pt idx="1">
                  <c:v>434.82240000000002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74AF-4145-A2BA-302D07AC74A2}"/>
            </c:ext>
          </c:extLst>
        </c:ser>
        <c:dLbls>
          <c:showLegendKey val="0"/>
          <c:showVal val="0"/>
          <c:showCatName val="0"/>
          <c:showSerName val="0"/>
          <c:showPercent val="0"/>
          <c:showBubbleSize val="0"/>
        </c:dLbls>
        <c:marker val="1"/>
        <c:smooth val="0"/>
        <c:axId val="234191872"/>
        <c:axId val="234197760"/>
      </c:lineChart>
      <c:catAx>
        <c:axId val="234191872"/>
        <c:scaling>
          <c:orientation val="minMax"/>
        </c:scaling>
        <c:delete val="0"/>
        <c:axPos val="b"/>
        <c:numFmt formatCode="General" sourceLinked="1"/>
        <c:majorTickMark val="out"/>
        <c:minorTickMark val="none"/>
        <c:tickLblPos val="nextTo"/>
        <c:txPr>
          <a:bodyPr/>
          <a:lstStyle/>
          <a:p>
            <a:pPr>
              <a:defRPr sz="1200"/>
            </a:pPr>
            <a:endParaRPr lang="en-US"/>
          </a:p>
        </c:txPr>
        <c:crossAx val="234197760"/>
        <c:crosses val="autoZero"/>
        <c:auto val="1"/>
        <c:lblAlgn val="ctr"/>
        <c:lblOffset val="100"/>
        <c:noMultiLvlLbl val="0"/>
      </c:catAx>
      <c:valAx>
        <c:axId val="234197760"/>
        <c:scaling>
          <c:orientation val="minMax"/>
          <c:min val="0"/>
        </c:scaling>
        <c:delete val="0"/>
        <c:axPos val="l"/>
        <c:majorGridlines/>
        <c:title>
          <c:tx>
            <c:rich>
              <a:bodyPr rot="-5400000" vert="horz"/>
              <a:lstStyle/>
              <a:p>
                <a:pPr>
                  <a:defRPr sz="1400"/>
                </a:pPr>
                <a:r>
                  <a:rPr lang="en-US" sz="1400"/>
                  <a:t>Annual</a:t>
                </a:r>
                <a:r>
                  <a:rPr lang="en-US" sz="1400" baseline="0"/>
                  <a:t> s</a:t>
                </a:r>
                <a:r>
                  <a:rPr lang="en-US" sz="1400"/>
                  <a:t>ales ($</a:t>
                </a:r>
                <a:r>
                  <a:rPr lang="en-US" sz="1400" baseline="0"/>
                  <a:t> mn)</a:t>
                </a:r>
                <a:endParaRPr lang="en-US" sz="1400"/>
              </a:p>
            </c:rich>
          </c:tx>
          <c:layout>
            <c:manualLayout>
              <c:xMode val="edge"/>
              <c:yMode val="edge"/>
              <c:x val="1.0075156952235971E-2"/>
              <c:y val="0.26658162727267359"/>
            </c:manualLayout>
          </c:layout>
          <c:overlay val="0"/>
        </c:title>
        <c:numFmt formatCode="&quot;$&quot;#,##0" sourceLinked="0"/>
        <c:majorTickMark val="out"/>
        <c:minorTickMark val="none"/>
        <c:tickLblPos val="nextTo"/>
        <c:txPr>
          <a:bodyPr/>
          <a:lstStyle/>
          <a:p>
            <a:pPr>
              <a:defRPr sz="1200"/>
            </a:pPr>
            <a:endParaRPr lang="en-US"/>
          </a:p>
        </c:txPr>
        <c:crossAx val="234191872"/>
        <c:crosses val="autoZero"/>
        <c:crossBetween val="between"/>
      </c:valAx>
    </c:plotArea>
    <c:legend>
      <c:legendPos val="t"/>
      <c:layout>
        <c:manualLayout>
          <c:xMode val="edge"/>
          <c:yMode val="edge"/>
          <c:x val="0.71210960078701879"/>
          <c:y val="4.4779436723704359E-2"/>
          <c:w val="0.24438831874260736"/>
          <c:h val="0.38306845761926817"/>
        </c:manualLayout>
      </c:layout>
      <c:overlay val="0"/>
      <c:spPr>
        <a:solidFill>
          <a:schemeClr val="bg1"/>
        </a:solidFill>
        <a:ln>
          <a:solidFill>
            <a:sysClr val="windowText" lastClr="000000"/>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a:p>
            <a:pPr>
              <a:defRPr/>
            </a:pPr>
            <a:endParaRPr lang="en-US"/>
          </a:p>
        </c:rich>
      </c:tx>
      <c:layout/>
      <c:overlay val="0"/>
    </c:title>
    <c:autoTitleDeleted val="0"/>
    <c:plotArea>
      <c:layout>
        <c:manualLayout>
          <c:layoutTarget val="inner"/>
          <c:xMode val="edge"/>
          <c:yMode val="edge"/>
          <c:x val="0.116231710590494"/>
          <c:y val="0.18478262334525"/>
          <c:w val="0.812586609085302"/>
          <c:h val="0.71918548750340705"/>
        </c:manualLayout>
      </c:layout>
      <c:barChart>
        <c:barDir val="col"/>
        <c:grouping val="clustered"/>
        <c:varyColors val="0"/>
        <c:ser>
          <c:idx val="1"/>
          <c:order val="0"/>
          <c:tx>
            <c:strRef>
              <c:f>Dashboard!$D$31</c:f>
              <c:strCache>
                <c:ptCount val="1"/>
                <c:pt idx="0">
                  <c:v>Shipments (devices)</c:v>
                </c:pt>
              </c:strCache>
            </c:strRef>
          </c:tx>
          <c:spPr>
            <a:solidFill>
              <a:schemeClr val="accent1"/>
            </a:solidFill>
          </c:spPr>
          <c:invertIfNegative val="0"/>
          <c:cat>
            <c:numRef>
              <c:f>Dashboard!$E$30:$O$30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Dashboard!$E$31:$O$31</c:f>
              <c:numCache>
                <c:formatCode>_(* #,##0_);_(* \(#,##0\);_(* "-"??_);_(@_)</c:formatCode>
                <c:ptCount val="11"/>
                <c:pt idx="0">
                  <c:v>11231936.93</c:v>
                </c:pt>
                <c:pt idx="1">
                  <c:v>12500000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AB7B-5640-977F-64B4885FA3CE}"/>
            </c:ext>
          </c:extLst>
        </c:ser>
        <c:dLbls>
          <c:showLegendKey val="0"/>
          <c:showVal val="0"/>
          <c:showCatName val="0"/>
          <c:showSerName val="0"/>
          <c:showPercent val="0"/>
          <c:showBubbleSize val="0"/>
        </c:dLbls>
        <c:gapWidth val="150"/>
        <c:axId val="214935040"/>
        <c:axId val="214936576"/>
      </c:barChart>
      <c:catAx>
        <c:axId val="214935040"/>
        <c:scaling>
          <c:orientation val="minMax"/>
        </c:scaling>
        <c:delete val="0"/>
        <c:axPos val="b"/>
        <c:numFmt formatCode="General" sourceLinked="1"/>
        <c:majorTickMark val="out"/>
        <c:minorTickMark val="none"/>
        <c:tickLblPos val="nextTo"/>
        <c:txPr>
          <a:bodyPr/>
          <a:lstStyle/>
          <a:p>
            <a:pPr>
              <a:defRPr sz="1100"/>
            </a:pPr>
            <a:endParaRPr lang="en-US"/>
          </a:p>
        </c:txPr>
        <c:crossAx val="214936576"/>
        <c:crosses val="autoZero"/>
        <c:auto val="1"/>
        <c:lblAlgn val="ctr"/>
        <c:lblOffset val="100"/>
        <c:noMultiLvlLbl val="0"/>
      </c:catAx>
      <c:valAx>
        <c:axId val="214936576"/>
        <c:scaling>
          <c:orientation val="minMax"/>
        </c:scaling>
        <c:delete val="0"/>
        <c:axPos val="l"/>
        <c:majorGridlines/>
        <c:numFmt formatCode="_(* #,##0_);_(* \(#,##0\);_(* &quot;-&quot;??_);_(@_)" sourceLinked="1"/>
        <c:majorTickMark val="out"/>
        <c:minorTickMark val="none"/>
        <c:tickLblPos val="nextTo"/>
        <c:crossAx val="21493504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a:p>
            <a:pPr>
              <a:defRPr/>
            </a:pPr>
            <a:endParaRPr lang="en-US"/>
          </a:p>
        </c:rich>
      </c:tx>
      <c:layout/>
      <c:overlay val="0"/>
    </c:title>
    <c:autoTitleDeleted val="0"/>
    <c:plotArea>
      <c:layout>
        <c:manualLayout>
          <c:layoutTarget val="inner"/>
          <c:xMode val="edge"/>
          <c:yMode val="edge"/>
          <c:x val="0.121590669333536"/>
          <c:y val="0.192825713193919"/>
          <c:w val="0.81231907908617496"/>
          <c:h val="0.71908853436156694"/>
        </c:manualLayout>
      </c:layout>
      <c:barChart>
        <c:barDir val="col"/>
        <c:grouping val="clustered"/>
        <c:varyColors val="0"/>
        <c:ser>
          <c:idx val="1"/>
          <c:order val="0"/>
          <c:tx>
            <c:strRef>
              <c:f>Dashboard!$D$32</c:f>
              <c:strCache>
                <c:ptCount val="1"/>
                <c:pt idx="0">
                  <c:v>A.S.P. ($)</c:v>
                </c:pt>
              </c:strCache>
            </c:strRef>
          </c:tx>
          <c:invertIfNegative val="0"/>
          <c:cat>
            <c:numRef>
              <c:f>Dashboard!$E$30:$O$30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Dashboard!$E$32:$O$32</c:f>
              <c:numCache>
                <c:formatCode>_("$"* #,##0_);_("$"* \(#,##0\);_("$"* "-"??_);_(@_)</c:formatCode>
                <c:ptCount val="11"/>
                <c:pt idx="0">
                  <c:v>18.016278339273537</c:v>
                </c:pt>
                <c:pt idx="1">
                  <c:v>15.097691372748406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84A6-2F43-A902-FD1B1BED9433}"/>
            </c:ext>
          </c:extLst>
        </c:ser>
        <c:dLbls>
          <c:showLegendKey val="0"/>
          <c:showVal val="0"/>
          <c:showCatName val="0"/>
          <c:showSerName val="0"/>
          <c:showPercent val="0"/>
          <c:showBubbleSize val="0"/>
        </c:dLbls>
        <c:gapWidth val="150"/>
        <c:axId val="230203776"/>
        <c:axId val="230205312"/>
      </c:barChart>
      <c:catAx>
        <c:axId val="230203776"/>
        <c:scaling>
          <c:orientation val="minMax"/>
        </c:scaling>
        <c:delete val="0"/>
        <c:axPos val="b"/>
        <c:numFmt formatCode="General" sourceLinked="1"/>
        <c:majorTickMark val="out"/>
        <c:minorTickMark val="none"/>
        <c:tickLblPos val="nextTo"/>
        <c:txPr>
          <a:bodyPr/>
          <a:lstStyle/>
          <a:p>
            <a:pPr>
              <a:defRPr sz="1100"/>
            </a:pPr>
            <a:endParaRPr lang="en-US"/>
          </a:p>
        </c:txPr>
        <c:crossAx val="230205312"/>
        <c:crosses val="autoZero"/>
        <c:auto val="1"/>
        <c:lblAlgn val="ctr"/>
        <c:lblOffset val="100"/>
        <c:noMultiLvlLbl val="0"/>
      </c:catAx>
      <c:valAx>
        <c:axId val="230205312"/>
        <c:scaling>
          <c:orientation val="minMax"/>
        </c:scaling>
        <c:delete val="0"/>
        <c:axPos val="l"/>
        <c:majorGridlines/>
        <c:numFmt formatCode="_(&quot;$&quot;* #,##0_);_(&quot;$&quot;* \(#,##0\);_(&quot;$&quot;* &quot;-&quot;??_);_(@_)" sourceLinked="1"/>
        <c:majorTickMark val="out"/>
        <c:minorTickMark val="none"/>
        <c:tickLblPos val="nextTo"/>
        <c:txPr>
          <a:bodyPr/>
          <a:lstStyle/>
          <a:p>
            <a:pPr>
              <a:defRPr sz="1100"/>
            </a:pPr>
            <a:endParaRPr lang="en-US"/>
          </a:p>
        </c:txPr>
        <c:crossAx val="230203776"/>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a:p>
            <a:pPr>
              <a:defRPr/>
            </a:pPr>
            <a:endParaRPr lang="en-US"/>
          </a:p>
        </c:rich>
      </c:tx>
      <c:layout/>
      <c:overlay val="0"/>
    </c:title>
    <c:autoTitleDeleted val="0"/>
    <c:plotArea>
      <c:layout>
        <c:manualLayout>
          <c:layoutTarget val="inner"/>
          <c:xMode val="edge"/>
          <c:yMode val="edge"/>
          <c:x val="0.116231686635501"/>
          <c:y val="0.19959169376439101"/>
          <c:w val="0.81767818013574001"/>
          <c:h val="0.71232234350845103"/>
        </c:manualLayout>
      </c:layout>
      <c:barChart>
        <c:barDir val="col"/>
        <c:grouping val="clustered"/>
        <c:varyColors val="0"/>
        <c:ser>
          <c:idx val="1"/>
          <c:order val="0"/>
          <c:tx>
            <c:strRef>
              <c:f>Dashboard!$D$33</c:f>
              <c:strCache>
                <c:ptCount val="1"/>
                <c:pt idx="0">
                  <c:v>Revenues ($ million)</c:v>
                </c:pt>
              </c:strCache>
            </c:strRef>
          </c:tx>
          <c:invertIfNegative val="0"/>
          <c:cat>
            <c:numRef>
              <c:f>Dashboard!$E$30:$O$30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Dashboard!$E$33:$O$33</c:f>
              <c:numCache>
                <c:formatCode>_("$"* #,##0_);_("$"* \(#,##0\);_("$"* "-"??_);_(@_)</c:formatCode>
                <c:ptCount val="11"/>
                <c:pt idx="0">
                  <c:v>202.35770202004551</c:v>
                </c:pt>
                <c:pt idx="1">
                  <c:v>188.72114215935508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88EF-A746-9D94-DF4DD933684D}"/>
            </c:ext>
          </c:extLst>
        </c:ser>
        <c:dLbls>
          <c:showLegendKey val="0"/>
          <c:showVal val="0"/>
          <c:showCatName val="0"/>
          <c:showSerName val="0"/>
          <c:showPercent val="0"/>
          <c:showBubbleSize val="0"/>
        </c:dLbls>
        <c:gapWidth val="150"/>
        <c:axId val="230295808"/>
        <c:axId val="230313984"/>
      </c:barChart>
      <c:catAx>
        <c:axId val="230295808"/>
        <c:scaling>
          <c:orientation val="minMax"/>
        </c:scaling>
        <c:delete val="0"/>
        <c:axPos val="b"/>
        <c:numFmt formatCode="General" sourceLinked="1"/>
        <c:majorTickMark val="out"/>
        <c:minorTickMark val="none"/>
        <c:tickLblPos val="nextTo"/>
        <c:txPr>
          <a:bodyPr/>
          <a:lstStyle/>
          <a:p>
            <a:pPr>
              <a:defRPr sz="1100"/>
            </a:pPr>
            <a:endParaRPr lang="en-US"/>
          </a:p>
        </c:txPr>
        <c:crossAx val="230313984"/>
        <c:crosses val="autoZero"/>
        <c:auto val="1"/>
        <c:lblAlgn val="ctr"/>
        <c:lblOffset val="100"/>
        <c:noMultiLvlLbl val="0"/>
      </c:catAx>
      <c:valAx>
        <c:axId val="230313984"/>
        <c:scaling>
          <c:orientation val="minMax"/>
        </c:scaling>
        <c:delete val="0"/>
        <c:axPos val="l"/>
        <c:majorGridlines/>
        <c:numFmt formatCode="_(&quot;$&quot;* #,##0_);_(&quot;$&quot;* \(#,##0\);_(&quot;$&quot;* &quot;-&quot;??_);_(@_)" sourceLinked="1"/>
        <c:majorTickMark val="out"/>
        <c:minorTickMark val="none"/>
        <c:tickLblPos val="nextTo"/>
        <c:txPr>
          <a:bodyPr/>
          <a:lstStyle/>
          <a:p>
            <a:pPr>
              <a:defRPr sz="1100"/>
            </a:pPr>
            <a:endParaRPr lang="en-US"/>
          </a:p>
        </c:txPr>
        <c:crossAx val="230295808"/>
        <c:crosses val="autoZero"/>
        <c:crossBetween val="between"/>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segment'!$B$34</c:f>
              <c:strCache>
                <c:ptCount val="1"/>
                <c:pt idx="0">
                  <c:v>Enterprise</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segment'!$C$34:$M$34</c:f>
              <c:numCache>
                <c:formatCode>_(* #,##0_);_(* \(#,##0\);_(* "-"??_);_(@_)</c:formatCode>
                <c:ptCount val="11"/>
                <c:pt idx="0">
                  <c:v>21153423.44376694</c:v>
                </c:pt>
                <c:pt idx="1">
                  <c:v>20849659.016871281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FA5F-B64E-8BD7-4E809B7C3AC2}"/>
            </c:ext>
          </c:extLst>
        </c:ser>
        <c:ser>
          <c:idx val="1"/>
          <c:order val="1"/>
          <c:tx>
            <c:strRef>
              <c:f>'Products x segment'!$B$32</c:f>
              <c:strCache>
                <c:ptCount val="1"/>
                <c:pt idx="0">
                  <c:v>Telecom</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segment'!$C$32:$M$32</c:f>
              <c:numCache>
                <c:formatCode>_(* #,##0_);_(* \(#,##0\);_(* "-"??_);_(@_)</c:formatCode>
                <c:ptCount val="11"/>
                <c:pt idx="0">
                  <c:v>4365629.053513201</c:v>
                </c:pt>
                <c:pt idx="1">
                  <c:v>3892074.9984692554</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FA5F-B64E-8BD7-4E809B7C3AC2}"/>
            </c:ext>
          </c:extLst>
        </c:ser>
        <c:ser>
          <c:idx val="0"/>
          <c:order val="2"/>
          <c:tx>
            <c:strRef>
              <c:f>'Products x segment'!$B$33</c:f>
              <c:strCache>
                <c:ptCount val="1"/>
                <c:pt idx="0">
                  <c:v>Cloud</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segment'!$C$33:$M$33</c:f>
              <c:numCache>
                <c:formatCode>_(* #,##0_);_(* \(#,##0\);_(* "-"??_);_(@_)</c:formatCode>
                <c:ptCount val="11"/>
                <c:pt idx="0">
                  <c:v>10649308.537719864</c:v>
                </c:pt>
                <c:pt idx="1">
                  <c:v>13336049.134659462</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FA5F-B64E-8BD7-4E809B7C3AC2}"/>
            </c:ext>
          </c:extLst>
        </c:ser>
        <c:dLbls>
          <c:showLegendKey val="0"/>
          <c:showVal val="0"/>
          <c:showCatName val="0"/>
          <c:showSerName val="0"/>
          <c:showPercent val="0"/>
          <c:showBubbleSize val="0"/>
        </c:dLbls>
        <c:axId val="230347520"/>
        <c:axId val="230349056"/>
      </c:areaChart>
      <c:catAx>
        <c:axId val="230347520"/>
        <c:scaling>
          <c:orientation val="minMax"/>
        </c:scaling>
        <c:delete val="0"/>
        <c:axPos val="b"/>
        <c:numFmt formatCode="General" sourceLinked="1"/>
        <c:majorTickMark val="out"/>
        <c:minorTickMark val="none"/>
        <c:tickLblPos val="nextTo"/>
        <c:txPr>
          <a:bodyPr/>
          <a:lstStyle/>
          <a:p>
            <a:pPr>
              <a:defRPr sz="1200"/>
            </a:pPr>
            <a:endParaRPr lang="en-US"/>
          </a:p>
        </c:txPr>
        <c:crossAx val="230349056"/>
        <c:crosses val="autoZero"/>
        <c:auto val="1"/>
        <c:lblAlgn val="ctr"/>
        <c:lblOffset val="100"/>
        <c:noMultiLvlLbl val="0"/>
      </c:catAx>
      <c:valAx>
        <c:axId val="230349056"/>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230347520"/>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total</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segment'!$B$43</c:f>
              <c:strCache>
                <c:ptCount val="1"/>
                <c:pt idx="0">
                  <c:v>Enterprise</c:v>
                </c:pt>
              </c:strCache>
            </c:strRef>
          </c:tx>
          <c:cat>
            <c:numRef>
              <c:f>'Products x segment'!$C$40:$M$40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segment'!$C$43:$M$43</c:f>
              <c:numCache>
                <c:formatCode>_("$"* #,##0_);_("$"* \(#,##0\);_("$"* "-"??_);_(@_)</c:formatCode>
                <c:ptCount val="11"/>
                <c:pt idx="0">
                  <c:v>580.33948534727051</c:v>
                </c:pt>
                <c:pt idx="1">
                  <c:v>569.77721715707139</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6DCF-3D43-861A-8E9CEF0BEB57}"/>
            </c:ext>
          </c:extLst>
        </c:ser>
        <c:ser>
          <c:idx val="1"/>
          <c:order val="1"/>
          <c:tx>
            <c:strRef>
              <c:f>'Products x segment'!$B$41</c:f>
              <c:strCache>
                <c:ptCount val="1"/>
                <c:pt idx="0">
                  <c:v>Telecom</c:v>
                </c:pt>
              </c:strCache>
            </c:strRef>
          </c:tx>
          <c:cat>
            <c:numRef>
              <c:f>'Products x segment'!$C$40:$M$40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segment'!$C$41:$M$41</c:f>
              <c:numCache>
                <c:formatCode>_("$"* #,##0_);_("$"* \(#,##0\);_("$"* "-"??_);_(@_)</c:formatCode>
                <c:ptCount val="11"/>
                <c:pt idx="0">
                  <c:v>979.3450860199066</c:v>
                </c:pt>
                <c:pt idx="1">
                  <c:v>698.26493765037605</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6DCF-3D43-861A-8E9CEF0BEB57}"/>
            </c:ext>
          </c:extLst>
        </c:ser>
        <c:ser>
          <c:idx val="0"/>
          <c:order val="2"/>
          <c:tx>
            <c:strRef>
              <c:f>'Products x segment'!$B$42</c:f>
              <c:strCache>
                <c:ptCount val="1"/>
                <c:pt idx="0">
                  <c:v>Cloud</c:v>
                </c:pt>
              </c:strCache>
            </c:strRef>
          </c:tx>
          <c:cat>
            <c:numRef>
              <c:f>'Products x segment'!$C$40:$M$40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segment'!$C$42:$M$42</c:f>
              <c:numCache>
                <c:formatCode>_("$"* #,##0_);_("$"* \(#,##0\);_("$"* "-"??_);_(@_)</c:formatCode>
                <c:ptCount val="11"/>
                <c:pt idx="0">
                  <c:v>1117.8845272480094</c:v>
                </c:pt>
                <c:pt idx="1">
                  <c:v>1907.9773712813274</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6DCF-3D43-861A-8E9CEF0BEB57}"/>
            </c:ext>
          </c:extLst>
        </c:ser>
        <c:dLbls>
          <c:showLegendKey val="0"/>
          <c:showVal val="0"/>
          <c:showCatName val="0"/>
          <c:showSerName val="0"/>
          <c:showPercent val="0"/>
          <c:showBubbleSize val="0"/>
        </c:dLbls>
        <c:axId val="234607744"/>
        <c:axId val="234609280"/>
      </c:areaChart>
      <c:catAx>
        <c:axId val="234607744"/>
        <c:scaling>
          <c:orientation val="minMax"/>
        </c:scaling>
        <c:delete val="0"/>
        <c:axPos val="b"/>
        <c:numFmt formatCode="General" sourceLinked="1"/>
        <c:majorTickMark val="out"/>
        <c:minorTickMark val="none"/>
        <c:tickLblPos val="nextTo"/>
        <c:txPr>
          <a:bodyPr/>
          <a:lstStyle/>
          <a:p>
            <a:pPr>
              <a:defRPr sz="1200"/>
            </a:pPr>
            <a:endParaRPr lang="en-US"/>
          </a:p>
        </c:txPr>
        <c:crossAx val="234609280"/>
        <c:crosses val="autoZero"/>
        <c:auto val="1"/>
        <c:lblAlgn val="ctr"/>
        <c:lblOffset val="100"/>
        <c:noMultiLvlLbl val="0"/>
      </c:catAx>
      <c:valAx>
        <c:axId val="234609280"/>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234607744"/>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 installed bandwidth - Cloud</a:t>
            </a:r>
          </a:p>
        </c:rich>
      </c:tx>
      <c:overlay val="0"/>
    </c:title>
    <c:autoTitleDeleted val="0"/>
    <c:plotArea>
      <c:layout>
        <c:manualLayout>
          <c:layoutTarget val="inner"/>
          <c:xMode val="edge"/>
          <c:yMode val="edge"/>
          <c:x val="0.163486111069544"/>
          <c:y val="0.14964134924112099"/>
          <c:w val="0.80357138700423203"/>
          <c:h val="0.74123168710805598"/>
        </c:manualLayout>
      </c:layout>
      <c:lineChart>
        <c:grouping val="standard"/>
        <c:varyColors val="0"/>
        <c:ser>
          <c:idx val="0"/>
          <c:order val="0"/>
          <c:tx>
            <c:strRef>
              <c:f>'Products x segment'!$N$290</c:f>
              <c:strCache>
                <c:ptCount val="1"/>
                <c:pt idx="0">
                  <c:v>Cum installed OC bandwidth - Cloud</c:v>
                </c:pt>
              </c:strCache>
            </c:strRef>
          </c:tx>
          <c:cat>
            <c:numRef>
              <c:f>'Products x segment'!$C$281:$M$281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segment'!$C$290:$M$290</c:f>
              <c:numCache>
                <c:formatCode>0%</c:formatCode>
                <c:ptCount val="11"/>
                <c:pt idx="0">
                  <c:v>0.57976641246958427</c:v>
                </c:pt>
                <c:pt idx="1">
                  <c:v>0.70931567256474581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F798-BC4A-811A-15174CB1A314}"/>
            </c:ext>
          </c:extLst>
        </c:ser>
        <c:dLbls>
          <c:showLegendKey val="0"/>
          <c:showVal val="0"/>
          <c:showCatName val="0"/>
          <c:showSerName val="0"/>
          <c:showPercent val="0"/>
          <c:showBubbleSize val="0"/>
        </c:dLbls>
        <c:marker val="1"/>
        <c:smooth val="0"/>
        <c:axId val="391519616"/>
        <c:axId val="391537792"/>
      </c:lineChart>
      <c:catAx>
        <c:axId val="391519616"/>
        <c:scaling>
          <c:orientation val="minMax"/>
        </c:scaling>
        <c:delete val="0"/>
        <c:axPos val="b"/>
        <c:numFmt formatCode="General" sourceLinked="1"/>
        <c:majorTickMark val="out"/>
        <c:minorTickMark val="none"/>
        <c:tickLblPos val="nextTo"/>
        <c:txPr>
          <a:bodyPr/>
          <a:lstStyle/>
          <a:p>
            <a:pPr>
              <a:defRPr sz="1400"/>
            </a:pPr>
            <a:endParaRPr lang="en-US"/>
          </a:p>
        </c:txPr>
        <c:crossAx val="391537792"/>
        <c:crosses val="autoZero"/>
        <c:auto val="1"/>
        <c:lblAlgn val="ctr"/>
        <c:lblOffset val="100"/>
        <c:noMultiLvlLbl val="0"/>
      </c:catAx>
      <c:valAx>
        <c:axId val="391537792"/>
        <c:scaling>
          <c:orientation val="minMax"/>
        </c:scaling>
        <c:delete val="0"/>
        <c:axPos val="l"/>
        <c:majorGridlines/>
        <c:title>
          <c:tx>
            <c:rich>
              <a:bodyPr rot="-5400000" vert="horz"/>
              <a:lstStyle/>
              <a:p>
                <a:pPr>
                  <a:defRPr sz="1400" b="0"/>
                </a:pPr>
                <a:r>
                  <a:rPr lang="en-US" sz="1400" b="0"/>
                  <a:t>Annual growth rate</a:t>
                </a:r>
              </a:p>
            </c:rich>
          </c:tx>
          <c:layout>
            <c:manualLayout>
              <c:xMode val="edge"/>
              <c:yMode val="edge"/>
              <c:x val="1.43502478296848E-2"/>
              <c:y val="0.26861451696683702"/>
            </c:manualLayout>
          </c:layout>
          <c:overlay val="0"/>
        </c:title>
        <c:numFmt formatCode="0%" sourceLinked="0"/>
        <c:majorTickMark val="out"/>
        <c:minorTickMark val="none"/>
        <c:tickLblPos val="nextTo"/>
        <c:txPr>
          <a:bodyPr/>
          <a:lstStyle/>
          <a:p>
            <a:pPr>
              <a:defRPr sz="1400"/>
            </a:pPr>
            <a:endParaRPr lang="en-US"/>
          </a:p>
        </c:txPr>
        <c:crossAx val="391519616"/>
        <c:crosses val="autoZero"/>
        <c:crossBetween val="between"/>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Cum installed bandwidth - Enterprise</a:t>
            </a:r>
          </a:p>
        </c:rich>
      </c:tx>
      <c:overlay val="0"/>
    </c:title>
    <c:autoTitleDeleted val="0"/>
    <c:plotArea>
      <c:layout>
        <c:manualLayout>
          <c:layoutTarget val="inner"/>
          <c:xMode val="edge"/>
          <c:yMode val="edge"/>
          <c:x val="0.17320452394550001"/>
          <c:y val="0.13772645722100299"/>
          <c:w val="0.77538836079651197"/>
          <c:h val="0.75314657912817395"/>
        </c:manualLayout>
      </c:layout>
      <c:lineChart>
        <c:grouping val="standard"/>
        <c:varyColors val="0"/>
        <c:ser>
          <c:idx val="1"/>
          <c:order val="0"/>
          <c:tx>
            <c:strRef>
              <c:f>'Products x segment'!$N$291</c:f>
              <c:strCache>
                <c:ptCount val="1"/>
                <c:pt idx="0">
                  <c:v>Cum installed OC bandwidth - Enterprise</c:v>
                </c:pt>
              </c:strCache>
            </c:strRef>
          </c:tx>
          <c:cat>
            <c:numRef>
              <c:f>'Products x segment'!$C$281:$M$281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segment'!$C$291:$M$291</c:f>
              <c:numCache>
                <c:formatCode>0%</c:formatCode>
                <c:ptCount val="11"/>
                <c:pt idx="0">
                  <c:v>0.29766140339975111</c:v>
                </c:pt>
                <c:pt idx="1">
                  <c:v>0.26230998649061132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1E9E-EB41-B7E5-F1396C2A436F}"/>
            </c:ext>
          </c:extLst>
        </c:ser>
        <c:dLbls>
          <c:showLegendKey val="0"/>
          <c:showVal val="0"/>
          <c:showCatName val="0"/>
          <c:showSerName val="0"/>
          <c:showPercent val="0"/>
          <c:showBubbleSize val="0"/>
        </c:dLbls>
        <c:marker val="1"/>
        <c:smooth val="0"/>
        <c:axId val="391562752"/>
        <c:axId val="391564288"/>
      </c:lineChart>
      <c:catAx>
        <c:axId val="391562752"/>
        <c:scaling>
          <c:orientation val="minMax"/>
        </c:scaling>
        <c:delete val="0"/>
        <c:axPos val="b"/>
        <c:numFmt formatCode="General" sourceLinked="1"/>
        <c:majorTickMark val="out"/>
        <c:minorTickMark val="none"/>
        <c:tickLblPos val="nextTo"/>
        <c:txPr>
          <a:bodyPr/>
          <a:lstStyle/>
          <a:p>
            <a:pPr>
              <a:defRPr sz="1400"/>
            </a:pPr>
            <a:endParaRPr lang="en-US"/>
          </a:p>
        </c:txPr>
        <c:crossAx val="391564288"/>
        <c:crosses val="autoZero"/>
        <c:auto val="1"/>
        <c:lblAlgn val="ctr"/>
        <c:lblOffset val="100"/>
        <c:noMultiLvlLbl val="0"/>
      </c:catAx>
      <c:valAx>
        <c:axId val="391564288"/>
        <c:scaling>
          <c:orientation val="minMax"/>
          <c:max val="1"/>
        </c:scaling>
        <c:delete val="0"/>
        <c:axPos val="l"/>
        <c:majorGridlines/>
        <c:title>
          <c:tx>
            <c:rich>
              <a:bodyPr rot="-5400000" vert="horz"/>
              <a:lstStyle/>
              <a:p>
                <a:pPr>
                  <a:defRPr sz="1400" b="0"/>
                </a:pPr>
                <a:r>
                  <a:rPr lang="en-US" sz="1400" b="0"/>
                  <a:t>Annual growth rate</a:t>
                </a:r>
              </a:p>
            </c:rich>
          </c:tx>
          <c:layout>
            <c:manualLayout>
              <c:xMode val="edge"/>
              <c:yMode val="edge"/>
              <c:x val="1.43502478296848E-2"/>
              <c:y val="0.26861451696683702"/>
            </c:manualLayout>
          </c:layout>
          <c:overlay val="0"/>
        </c:title>
        <c:numFmt formatCode="0%" sourceLinked="0"/>
        <c:majorTickMark val="out"/>
        <c:minorTickMark val="none"/>
        <c:tickLblPos val="nextTo"/>
        <c:txPr>
          <a:bodyPr/>
          <a:lstStyle/>
          <a:p>
            <a:pPr>
              <a:defRPr sz="1400"/>
            </a:pPr>
            <a:endParaRPr lang="en-US"/>
          </a:p>
        </c:txPr>
        <c:crossAx val="391562752"/>
        <c:crosses val="autoZero"/>
        <c:crossBetween val="between"/>
        <c:majorUnit val="0.2"/>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Revenues - total</a:t>
            </a:r>
          </a:p>
        </c:rich>
      </c:tx>
      <c:layout>
        <c:manualLayout>
          <c:xMode val="edge"/>
          <c:yMode val="edge"/>
          <c:x val="0.43364923457452498"/>
          <c:y val="5.9239851635028897E-4"/>
        </c:manualLayout>
      </c:layout>
      <c:overlay val="0"/>
    </c:title>
    <c:autoTitleDeleted val="0"/>
    <c:plotArea>
      <c:layout>
        <c:manualLayout>
          <c:layoutTarget val="inner"/>
          <c:xMode val="edge"/>
          <c:yMode val="edge"/>
          <c:x val="0.175267046734948"/>
          <c:y val="0.18755123376963601"/>
          <c:w val="0.78963970811218598"/>
          <c:h val="0.71383275877335595"/>
        </c:manualLayout>
      </c:layout>
      <c:areaChart>
        <c:grouping val="stacked"/>
        <c:varyColors val="0"/>
        <c:ser>
          <c:idx val="0"/>
          <c:order val="0"/>
          <c:tx>
            <c:strRef>
              <c:f>'Products x segment'!$B$254</c:f>
              <c:strCache>
                <c:ptCount val="1"/>
                <c:pt idx="0">
                  <c:v>SMF</c:v>
                </c:pt>
              </c:strCache>
            </c:strRef>
          </c:tx>
          <c:cat>
            <c:numRef>
              <c:f>'Products x segment'!$C$252:$M$252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segment'!$C$254:$M$254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62F7-5043-90CA-F0703CCB6AAC}"/>
            </c:ext>
          </c:extLst>
        </c:ser>
        <c:ser>
          <c:idx val="1"/>
          <c:order val="1"/>
          <c:tx>
            <c:strRef>
              <c:f>'Products x segment'!$B$253</c:f>
              <c:strCache>
                <c:ptCount val="1"/>
                <c:pt idx="0">
                  <c:v>MMF</c:v>
                </c:pt>
              </c:strCache>
            </c:strRef>
          </c:tx>
          <c:cat>
            <c:numRef>
              <c:f>'Products x segment'!$C$252:$M$252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segment'!$C$253:$M$253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62F7-5043-90CA-F0703CCB6AAC}"/>
            </c:ext>
          </c:extLst>
        </c:ser>
        <c:dLbls>
          <c:showLegendKey val="0"/>
          <c:showVal val="0"/>
          <c:showCatName val="0"/>
          <c:showSerName val="0"/>
          <c:showPercent val="0"/>
          <c:showBubbleSize val="0"/>
        </c:dLbls>
        <c:axId val="391652096"/>
        <c:axId val="391653632"/>
      </c:areaChart>
      <c:catAx>
        <c:axId val="391652096"/>
        <c:scaling>
          <c:orientation val="minMax"/>
        </c:scaling>
        <c:delete val="0"/>
        <c:axPos val="b"/>
        <c:numFmt formatCode="General" sourceLinked="1"/>
        <c:majorTickMark val="out"/>
        <c:minorTickMark val="none"/>
        <c:tickLblPos val="nextTo"/>
        <c:crossAx val="391653632"/>
        <c:crosses val="autoZero"/>
        <c:auto val="1"/>
        <c:lblAlgn val="ctr"/>
        <c:lblOffset val="100"/>
        <c:noMultiLvlLbl val="0"/>
      </c:catAx>
      <c:valAx>
        <c:axId val="391653632"/>
        <c:scaling>
          <c:orientation val="minMax"/>
        </c:scaling>
        <c:delete val="0"/>
        <c:axPos val="l"/>
        <c:majorGridlines/>
        <c:title>
          <c:tx>
            <c:rich>
              <a:bodyPr rot="-5400000" vert="horz"/>
              <a:lstStyle/>
              <a:p>
                <a:pPr>
                  <a:defRPr sz="1400"/>
                </a:pPr>
                <a:r>
                  <a:rPr lang="en-US" sz="1400"/>
                  <a:t>$ million</a:t>
                </a:r>
              </a:p>
            </c:rich>
          </c:tx>
          <c:layout>
            <c:manualLayout>
              <c:xMode val="edge"/>
              <c:yMode val="edge"/>
              <c:x val="2.90224691900169E-2"/>
              <c:y val="0.43991703441873098"/>
            </c:manualLayout>
          </c:layout>
          <c:overlay val="0"/>
        </c:title>
        <c:numFmt formatCode="&quot;$&quot;#,##0" sourceLinked="0"/>
        <c:majorTickMark val="out"/>
        <c:minorTickMark val="none"/>
        <c:tickLblPos val="nextTo"/>
        <c:crossAx val="391652096"/>
        <c:crosses val="autoZero"/>
        <c:crossBetween val="midCat"/>
      </c:valAx>
    </c:plotArea>
    <c:legend>
      <c:legendPos val="t"/>
      <c:layout>
        <c:manualLayout>
          <c:xMode val="edge"/>
          <c:yMode val="edge"/>
          <c:x val="0.214784778040503"/>
          <c:y val="0.114562777397984"/>
          <c:w val="0.59748064172442805"/>
          <c:h val="6.8468090828078906E-2"/>
        </c:manualLayout>
      </c:layout>
      <c:overlay val="0"/>
      <c:txPr>
        <a:bodyPr/>
        <a:lstStyle/>
        <a:p>
          <a:pPr>
            <a:defRPr sz="16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6-year volume distribution</a:t>
            </a:r>
          </a:p>
        </c:rich>
      </c:tx>
      <c:overlay val="1"/>
    </c:title>
    <c:autoTitleDeleted val="0"/>
    <c:plotArea>
      <c:layout>
        <c:manualLayout>
          <c:layoutTarget val="inner"/>
          <c:xMode val="edge"/>
          <c:yMode val="edge"/>
          <c:x val="0.25972222222222202"/>
          <c:y val="0.15972222222222199"/>
          <c:w val="0.40966763188491001"/>
          <c:h val="0.76098996656372198"/>
        </c:manualLayout>
      </c:layout>
      <c:pieChart>
        <c:varyColors val="1"/>
        <c:ser>
          <c:idx val="0"/>
          <c:order val="0"/>
          <c:dLbls>
            <c:dLbl>
              <c:idx val="0"/>
              <c:layout>
                <c:manualLayout>
                  <c:x val="2.7777777777777801E-2"/>
                  <c:y val="9.7222222222222196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2A61-BD4B-86E9-A14E8273DE3B}"/>
                </c:ext>
              </c:extLst>
            </c:dLbl>
            <c:dLbl>
              <c:idx val="1"/>
              <c:layout>
                <c:manualLayout>
                  <c:x val="2.2222222222222199E-2"/>
                  <c:y val="-9.2592592592592601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2A61-BD4B-86E9-A14E8273DE3B}"/>
                </c:ext>
              </c:extLst>
            </c:dLbl>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segment'!$N$32:$N$34</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2A61-BD4B-86E9-A14E8273DE3B}"/>
            </c:ext>
          </c:extLst>
        </c:ser>
        <c:dLbls>
          <c:dLblPos val="outEnd"/>
          <c:showLegendKey val="0"/>
          <c:showVal val="1"/>
          <c:showCatName val="0"/>
          <c:showSerName val="0"/>
          <c:showPercent val="0"/>
          <c:showBubbleSize val="0"/>
          <c:showLeaderLines val="0"/>
        </c:dLbls>
        <c:firstSliceAng val="0"/>
      </c:pieChart>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66115212177465"/>
          <c:y val="5.9278041872113545E-2"/>
          <c:w val="0.84443625584947379"/>
          <c:h val="0.84387870259969489"/>
        </c:manualLayout>
      </c:layout>
      <c:lineChart>
        <c:grouping val="standard"/>
        <c:varyColors val="0"/>
        <c:ser>
          <c:idx val="0"/>
          <c:order val="0"/>
          <c:tx>
            <c:strRef>
              <c:f>Summary!$B$406</c:f>
              <c:strCache>
                <c:ptCount val="1"/>
                <c:pt idx="0">
                  <c:v>100 m  40G QSFP+</c:v>
                </c:pt>
              </c:strCache>
            </c:strRef>
          </c:tx>
          <c:cat>
            <c:numRef>
              <c:f>Summary!$C$405:$M$405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Summary!$C$406:$M$406</c:f>
              <c:numCache>
                <c:formatCode>_("$"* #,##0.0_);_("$"* \(#,##0.0\);_("$"* "-"??_);_(@_)</c:formatCode>
                <c:ptCount val="11"/>
                <c:pt idx="0">
                  <c:v>61.814562208888887</c:v>
                </c:pt>
                <c:pt idx="1">
                  <c:v>63.806447873340716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2A1F-7040-96D1-DBBB2C2273F7}"/>
            </c:ext>
          </c:extLst>
        </c:ser>
        <c:ser>
          <c:idx val="2"/>
          <c:order val="1"/>
          <c:tx>
            <c:strRef>
              <c:f>Summary!$B$407</c:f>
              <c:strCache>
                <c:ptCount val="1"/>
                <c:pt idx="0">
                  <c:v>100 m  40G MM duplex</c:v>
                </c:pt>
              </c:strCache>
            </c:strRef>
          </c:tx>
          <c:cat>
            <c:numRef>
              <c:f>Summary!$C$405:$M$405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Summary!$C$407:$M$407</c:f>
              <c:numCache>
                <c:formatCode>_("$"* #,##0.0_);_("$"* \(#,##0.0\);_("$"* "-"??_);_(@_)</c:formatCode>
                <c:ptCount val="11"/>
                <c:pt idx="0">
                  <c:v>153.5735</c:v>
                </c:pt>
                <c:pt idx="1">
                  <c:v>180.12456</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2A1F-7040-96D1-DBBB2C2273F7}"/>
            </c:ext>
          </c:extLst>
        </c:ser>
        <c:ser>
          <c:idx val="1"/>
          <c:order val="2"/>
          <c:tx>
            <c:strRef>
              <c:f>Summary!$B$398</c:f>
              <c:strCache>
                <c:ptCount val="1"/>
                <c:pt idx="0">
                  <c:v>300 m  40 G eSR QSFP+</c:v>
                </c:pt>
              </c:strCache>
            </c:strRef>
          </c:tx>
          <c:cat>
            <c:numRef>
              <c:f>Summary!$C$405:$M$405</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Summary!$C$408:$M$408</c:f>
              <c:numCache>
                <c:formatCode>_("$"* #,##0.0_);_("$"* \(#,##0.0\);_("$"* "-"??_);_(@_)</c:formatCode>
                <c:ptCount val="11"/>
                <c:pt idx="0">
                  <c:v>29.361883310000003</c:v>
                </c:pt>
                <c:pt idx="1">
                  <c:v>37.789000000000001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2A1F-7040-96D1-DBBB2C2273F7}"/>
            </c:ext>
          </c:extLst>
        </c:ser>
        <c:dLbls>
          <c:showLegendKey val="0"/>
          <c:showVal val="0"/>
          <c:showCatName val="0"/>
          <c:showSerName val="0"/>
          <c:showPercent val="0"/>
          <c:showBubbleSize val="0"/>
        </c:dLbls>
        <c:marker val="1"/>
        <c:smooth val="0"/>
        <c:axId val="229962496"/>
        <c:axId val="229964032"/>
      </c:lineChart>
      <c:catAx>
        <c:axId val="229962496"/>
        <c:scaling>
          <c:orientation val="minMax"/>
        </c:scaling>
        <c:delete val="0"/>
        <c:axPos val="b"/>
        <c:numFmt formatCode="General" sourceLinked="1"/>
        <c:majorTickMark val="out"/>
        <c:minorTickMark val="none"/>
        <c:tickLblPos val="nextTo"/>
        <c:txPr>
          <a:bodyPr/>
          <a:lstStyle/>
          <a:p>
            <a:pPr>
              <a:defRPr sz="1000"/>
            </a:pPr>
            <a:endParaRPr lang="en-US"/>
          </a:p>
        </c:txPr>
        <c:crossAx val="229964032"/>
        <c:crosses val="autoZero"/>
        <c:auto val="1"/>
        <c:lblAlgn val="ctr"/>
        <c:lblOffset val="100"/>
        <c:noMultiLvlLbl val="0"/>
      </c:catAx>
      <c:valAx>
        <c:axId val="229964032"/>
        <c:scaling>
          <c:orientation val="minMax"/>
          <c:min val="0"/>
        </c:scaling>
        <c:delete val="0"/>
        <c:axPos val="l"/>
        <c:majorGridlines/>
        <c:title>
          <c:tx>
            <c:rich>
              <a:bodyPr rot="-5400000" vert="horz"/>
              <a:lstStyle/>
              <a:p>
                <a:pPr>
                  <a:defRPr sz="1400"/>
                </a:pPr>
                <a:r>
                  <a:rPr lang="en-US" sz="1400"/>
                  <a:t>Annual sales ($ mn)</a:t>
                </a:r>
              </a:p>
            </c:rich>
          </c:tx>
          <c:layout>
            <c:manualLayout>
              <c:xMode val="edge"/>
              <c:yMode val="edge"/>
              <c:x val="7.9851818019081346E-3"/>
              <c:y val="0.22182210339423408"/>
            </c:manualLayout>
          </c:layout>
          <c:overlay val="0"/>
        </c:title>
        <c:numFmt formatCode="&quot;$&quot;#,##0" sourceLinked="0"/>
        <c:majorTickMark val="out"/>
        <c:minorTickMark val="none"/>
        <c:tickLblPos val="nextTo"/>
        <c:txPr>
          <a:bodyPr/>
          <a:lstStyle/>
          <a:p>
            <a:pPr>
              <a:defRPr sz="1200"/>
            </a:pPr>
            <a:endParaRPr lang="en-US"/>
          </a:p>
        </c:txPr>
        <c:crossAx val="229962496"/>
        <c:crosses val="autoZero"/>
        <c:crossBetween val="between"/>
      </c:valAx>
    </c:plotArea>
    <c:legend>
      <c:legendPos val="t"/>
      <c:layout>
        <c:manualLayout>
          <c:xMode val="edge"/>
          <c:yMode val="edge"/>
          <c:x val="0.61988535203373774"/>
          <c:y val="8.9101899917213789E-2"/>
          <c:w val="0.33111871584780544"/>
          <c:h val="0.33917251550288713"/>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6-year revenue distribution</a:t>
            </a:r>
          </a:p>
        </c:rich>
      </c:tx>
      <c:overlay val="1"/>
    </c:title>
    <c:autoTitleDeleted val="0"/>
    <c:plotArea>
      <c:layout>
        <c:manualLayout>
          <c:layoutTarget val="inner"/>
          <c:xMode val="edge"/>
          <c:yMode val="edge"/>
          <c:x val="0.25972222222222202"/>
          <c:y val="0.15972222222222199"/>
          <c:w val="0.41466955395919203"/>
          <c:h val="0.73887249549106204"/>
        </c:manualLayout>
      </c:layout>
      <c:pieChart>
        <c:varyColors val="1"/>
        <c:ser>
          <c:idx val="0"/>
          <c:order val="0"/>
          <c:dLbls>
            <c:dLbl>
              <c:idx val="0"/>
              <c:layout>
                <c:manualLayout>
                  <c:x val="2.7777777777777801E-2"/>
                  <c:y val="9.7222222222222196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42BF-C043-96FC-22512E109565}"/>
                </c:ext>
              </c:extLst>
            </c:dLbl>
            <c:dLbl>
              <c:idx val="1"/>
              <c:layout>
                <c:manualLayout>
                  <c:x val="2.2222222222222199E-2"/>
                  <c:y val="-9.2592592592592601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42BF-C043-96FC-22512E109565}"/>
                </c:ext>
              </c:extLst>
            </c:dLbl>
            <c:spPr>
              <a:noFill/>
              <a:ln>
                <a:noFill/>
              </a:ln>
              <a:effectLst/>
            </c:spPr>
            <c:txPr>
              <a:bodyPr/>
              <a:lstStyle/>
              <a:p>
                <a:pPr>
                  <a:defRPr sz="1400"/>
                </a:pPr>
                <a:endParaRPr lang="en-US"/>
              </a:p>
            </c:txPr>
            <c:dLblPos val="outEnd"/>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segment'!$N$41:$N$43</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2-42BF-C043-96FC-22512E109565}"/>
            </c:ext>
          </c:extLst>
        </c:ser>
        <c:dLbls>
          <c:dLblPos val="outEnd"/>
          <c:showLegendKey val="0"/>
          <c:showVal val="1"/>
          <c:showCatName val="0"/>
          <c:showSerName val="0"/>
          <c:showPercent val="0"/>
          <c:showBubbleSize val="0"/>
          <c:showLeaderLines val="0"/>
        </c:dLbls>
        <c:firstSliceAng val="82"/>
      </c:pieChart>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lang="en-US" sz="1800" b="1" i="0" u="none" strike="noStrike" kern="1200" baseline="0">
                <a:solidFill>
                  <a:sysClr val="windowText" lastClr="000000"/>
                </a:solidFill>
                <a:latin typeface="+mn-lt"/>
                <a:ea typeface="+mn-ea"/>
                <a:cs typeface="+mn-cs"/>
              </a:defRPr>
            </a:pPr>
            <a:r>
              <a:rPr lang="en-US" sz="1800" b="1" i="0" u="none" strike="noStrike" kern="1200" baseline="0">
                <a:solidFill>
                  <a:sysClr val="windowText" lastClr="000000"/>
                </a:solidFill>
                <a:latin typeface="+mn-lt"/>
                <a:ea typeface="+mn-ea"/>
                <a:cs typeface="+mn-cs"/>
              </a:rPr>
              <a:t>Shipments - total</a:t>
            </a:r>
          </a:p>
        </c:rich>
      </c:tx>
      <c:layout>
        <c:manualLayout>
          <c:xMode val="edge"/>
          <c:yMode val="edge"/>
          <c:x val="0.43364923457452498"/>
          <c:y val="5.9239851635028897E-4"/>
        </c:manualLayout>
      </c:layout>
      <c:overlay val="0"/>
    </c:title>
    <c:autoTitleDeleted val="0"/>
    <c:plotArea>
      <c:layout>
        <c:manualLayout>
          <c:layoutTarget val="inner"/>
          <c:xMode val="edge"/>
          <c:yMode val="edge"/>
          <c:x val="0.15769722241206299"/>
          <c:y val="0.18755123376963601"/>
          <c:w val="0.81089664617587098"/>
          <c:h val="0.70247373337177299"/>
        </c:manualLayout>
      </c:layout>
      <c:areaChart>
        <c:grouping val="percentStacked"/>
        <c:varyColors val="0"/>
        <c:ser>
          <c:idx val="0"/>
          <c:order val="0"/>
          <c:tx>
            <c:strRef>
              <c:f>'Products x segment'!$B$246</c:f>
              <c:strCache>
                <c:ptCount val="1"/>
                <c:pt idx="0">
                  <c:v>SMF</c:v>
                </c:pt>
              </c:strCache>
            </c:strRef>
          </c:tx>
          <c:cat>
            <c:numRef>
              <c:f>'Products x segment'!$C$244:$M$244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segment'!$C$246:$M$246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9DE2-374C-9E2C-CB5845B72539}"/>
            </c:ext>
          </c:extLst>
        </c:ser>
        <c:ser>
          <c:idx val="1"/>
          <c:order val="1"/>
          <c:tx>
            <c:strRef>
              <c:f>'Products x segment'!$B$245</c:f>
              <c:strCache>
                <c:ptCount val="1"/>
                <c:pt idx="0">
                  <c:v>MMF</c:v>
                </c:pt>
              </c:strCache>
            </c:strRef>
          </c:tx>
          <c:cat>
            <c:numRef>
              <c:f>'Products x segment'!$C$244:$M$244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segment'!$C$245:$M$245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9DE2-374C-9E2C-CB5845B72539}"/>
            </c:ext>
          </c:extLst>
        </c:ser>
        <c:dLbls>
          <c:showLegendKey val="0"/>
          <c:showVal val="0"/>
          <c:showCatName val="0"/>
          <c:showSerName val="0"/>
          <c:showPercent val="0"/>
          <c:showBubbleSize val="0"/>
        </c:dLbls>
        <c:axId val="391797376"/>
        <c:axId val="391819648"/>
      </c:areaChart>
      <c:catAx>
        <c:axId val="391797376"/>
        <c:scaling>
          <c:orientation val="minMax"/>
        </c:scaling>
        <c:delete val="0"/>
        <c:axPos val="b"/>
        <c:numFmt formatCode="General" sourceLinked="1"/>
        <c:majorTickMark val="out"/>
        <c:minorTickMark val="none"/>
        <c:tickLblPos val="nextTo"/>
        <c:crossAx val="391819648"/>
        <c:crosses val="autoZero"/>
        <c:auto val="1"/>
        <c:lblAlgn val="ctr"/>
        <c:lblOffset val="100"/>
        <c:noMultiLvlLbl val="0"/>
      </c:catAx>
      <c:valAx>
        <c:axId val="391819648"/>
        <c:scaling>
          <c:orientation val="minMax"/>
        </c:scaling>
        <c:delete val="0"/>
        <c:axPos val="l"/>
        <c:majorGridlines/>
        <c:numFmt formatCode="0%" sourceLinked="0"/>
        <c:majorTickMark val="out"/>
        <c:minorTickMark val="none"/>
        <c:tickLblPos val="nextTo"/>
        <c:crossAx val="391797376"/>
        <c:crosses val="autoZero"/>
        <c:crossBetween val="midCat"/>
      </c:valAx>
    </c:plotArea>
    <c:legend>
      <c:legendPos val="t"/>
      <c:layout>
        <c:manualLayout>
          <c:xMode val="edge"/>
          <c:yMode val="edge"/>
          <c:x val="0.40251936855162301"/>
          <c:y val="8.0485701193234296E-2"/>
          <c:w val="0.24716568149023299"/>
          <c:h val="9.5925627899197397E-2"/>
        </c:manualLayout>
      </c:layout>
      <c:overlay val="0"/>
      <c:txPr>
        <a:bodyPr/>
        <a:lstStyle/>
        <a:p>
          <a:pPr>
            <a:defRPr sz="1600"/>
          </a:pPr>
          <a:endParaRPr lang="en-US"/>
        </a:p>
      </c:txPr>
    </c:legend>
    <c:plotVisOnly val="1"/>
    <c:dispBlanksAs val="gap"/>
    <c:showDLblsOverMax val="0"/>
  </c:chart>
  <c:spPr>
    <a:ln>
      <a:noFill/>
    </a:ln>
  </c:spPr>
  <c:txPr>
    <a:bodyPr/>
    <a:lstStyle/>
    <a:p>
      <a:pPr>
        <a:defRPr sz="1200"/>
      </a:pPr>
      <a:endParaRPr lang="en-US"/>
    </a:p>
  </c:txPr>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2016 revenue by segment </a:t>
            </a:r>
          </a:p>
          <a:p>
            <a:pPr>
              <a:defRPr sz="1400"/>
            </a:pPr>
            <a:r>
              <a:rPr lang="en-US" sz="1400"/>
              <a:t>$2.7 billion</a:t>
            </a:r>
          </a:p>
        </c:rich>
      </c:tx>
      <c:overlay val="1"/>
    </c:title>
    <c:autoTitleDeleted val="0"/>
    <c:plotArea>
      <c:layout>
        <c:manualLayout>
          <c:layoutTarget val="inner"/>
          <c:xMode val="edge"/>
          <c:yMode val="edge"/>
          <c:x val="0.28569021513398801"/>
          <c:y val="0.33288616100206703"/>
          <c:w val="0.30339026397563301"/>
          <c:h val="0.39498240725789802"/>
        </c:manualLayout>
      </c:layout>
      <c:pieChart>
        <c:varyColors val="1"/>
        <c:ser>
          <c:idx val="0"/>
          <c:order val="0"/>
          <c:dLbls>
            <c:dLbl>
              <c:idx val="0"/>
              <c:layout>
                <c:manualLayout>
                  <c:x val="-4.0410877308961701E-2"/>
                  <c:y val="-0.12979866196231701"/>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A187-0244-9128-2412F648C03D}"/>
                </c:ext>
              </c:extLst>
            </c:dLbl>
            <c:dLbl>
              <c:idx val="1"/>
              <c:layout>
                <c:manualLayout>
                  <c:x val="-1.8264811835038301E-2"/>
                  <c:y val="3.7205968822131397E-2"/>
                </c:manualLayout>
              </c:layout>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A187-0244-9128-2412F648C03D}"/>
                </c:ext>
              </c:extLst>
            </c:dLbl>
            <c:spPr>
              <a:noFill/>
              <a:ln>
                <a:noFill/>
              </a:ln>
              <a:effectLst/>
            </c:spPr>
            <c:txPr>
              <a:bodyPr/>
              <a:lstStyle/>
              <a:p>
                <a:pPr>
                  <a:defRPr sz="1400"/>
                </a:pPr>
                <a:endParaRPr lang="en-US"/>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segment'!$C$41:$C$43</c:f>
              <c:numCache>
                <c:formatCode>_("$"* #,##0_);_("$"* \(#,##0\);_("$"* "-"??_);_(@_)</c:formatCode>
                <c:ptCount val="3"/>
                <c:pt idx="0">
                  <c:v>979.3450860199066</c:v>
                </c:pt>
                <c:pt idx="1">
                  <c:v>1117.8845272480094</c:v>
                </c:pt>
                <c:pt idx="2">
                  <c:v>580.33948534727051</c:v>
                </c:pt>
              </c:numCache>
            </c:numRef>
          </c:val>
          <c:extLst xmlns:c16r2="http://schemas.microsoft.com/office/drawing/2015/06/chart">
            <c:ext xmlns:c16="http://schemas.microsoft.com/office/drawing/2014/chart" uri="{C3380CC4-5D6E-409C-BE32-E72D297353CC}">
              <c16:uniqueId val="{00000002-A187-0244-9128-2412F648C03D}"/>
            </c:ext>
          </c:extLst>
        </c:ser>
        <c:dLbls>
          <c:dLblPos val="outEnd"/>
          <c:showLegendKey val="0"/>
          <c:showVal val="1"/>
          <c:showCatName val="0"/>
          <c:showSerName val="0"/>
          <c:showPercent val="0"/>
          <c:showBubbleSize val="0"/>
          <c:showLeaderLines val="0"/>
        </c:dLbls>
        <c:firstSliceAng val="182"/>
      </c:pieChart>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2025 revenue by segment </a:t>
            </a:r>
          </a:p>
          <a:p>
            <a:pPr>
              <a:defRPr sz="1400"/>
            </a:pPr>
            <a:r>
              <a:rPr lang="en-US" sz="1400"/>
              <a:t>$6.8 billion total</a:t>
            </a:r>
          </a:p>
        </c:rich>
      </c:tx>
      <c:layout>
        <c:manualLayout>
          <c:xMode val="edge"/>
          <c:yMode val="edge"/>
          <c:x val="0.28480586181381301"/>
          <c:y val="8.1124163726447995E-3"/>
        </c:manualLayout>
      </c:layout>
      <c:overlay val="1"/>
    </c:title>
    <c:autoTitleDeleted val="0"/>
    <c:plotArea>
      <c:layout>
        <c:manualLayout>
          <c:layoutTarget val="inner"/>
          <c:xMode val="edge"/>
          <c:yMode val="edge"/>
          <c:x val="0.23967876276268299"/>
          <c:y val="0.178298154107664"/>
          <c:w val="0.51212062176078299"/>
          <c:h val="0.68357284747073799"/>
        </c:manualLayout>
      </c:layout>
      <c:pieChart>
        <c:varyColors val="1"/>
        <c:ser>
          <c:idx val="0"/>
          <c:order val="0"/>
          <c:dLbls>
            <c:dLbl>
              <c:idx val="0"/>
              <c:layout>
                <c:manualLayout>
                  <c:x val="3.7818618097391343E-2"/>
                  <c:y val="-2.2742264763571246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0-644A-8C4A-8886-539827147C51}"/>
                </c:ext>
              </c:extLst>
            </c:dLbl>
            <c:dLbl>
              <c:idx val="1"/>
              <c:layout>
                <c:manualLayout>
                  <c:x val="-1.4003016813955899E-2"/>
                  <c:y val="3.7205968822131397E-2"/>
                </c:manualLayout>
              </c:layout>
              <c:dLblPos val="bestFit"/>
              <c:showLegendKey val="0"/>
              <c:showVal val="1"/>
              <c:showCatName val="1"/>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644A-8C4A-8886-539827147C51}"/>
                </c:ext>
              </c:extLst>
            </c:dLbl>
            <c:dLbl>
              <c:idx val="2"/>
              <c:layout>
                <c:manualLayout>
                  <c:x val="8.6102354511917393E-3"/>
                  <c:y val="2.55676804241785E-2"/>
                </c:manualLayout>
              </c:layout>
              <c:dLblPos val="bestFit"/>
              <c:showLegendKey val="0"/>
              <c:showVal val="1"/>
              <c:showCatName val="1"/>
              <c:showSerName val="0"/>
              <c:showPercent val="0"/>
              <c:showBubbleSize val="0"/>
              <c:separator>
</c:separator>
              <c:extLst xmlns:c16r2="http://schemas.microsoft.com/office/drawing/2015/06/chart">
                <c:ext xmlns:c15="http://schemas.microsoft.com/office/drawing/2012/chart" uri="{CE6537A1-D6FC-4f65-9D91-7224C49458BB}"/>
                <c:ext xmlns:c16="http://schemas.microsoft.com/office/drawing/2014/chart" uri="{C3380CC4-5D6E-409C-BE32-E72D297353CC}">
                  <c16:uniqueId val="{00000002-644A-8C4A-8886-539827147C51}"/>
                </c:ext>
              </c:extLst>
            </c:dLbl>
            <c:spPr>
              <a:noFill/>
              <a:ln>
                <a:noFill/>
              </a:ln>
              <a:effectLst/>
            </c:spPr>
            <c:txPr>
              <a:bodyPr/>
              <a:lstStyle/>
              <a:p>
                <a:pPr>
                  <a:defRPr sz="1400"/>
                </a:pPr>
                <a:endParaRPr lang="en-US"/>
              </a:p>
            </c:txPr>
            <c:dLblPos val="outEnd"/>
            <c:showLegendKey val="0"/>
            <c:showVal val="1"/>
            <c:showCatName val="1"/>
            <c:showSerName val="0"/>
            <c:showPercent val="0"/>
            <c:showBubbleSize val="0"/>
            <c:showLeaderLines val="0"/>
            <c:extLst xmlns:c16r2="http://schemas.microsoft.com/office/drawing/2015/06/chart">
              <c:ext xmlns:c15="http://schemas.microsoft.com/office/drawing/2012/chart" uri="{CE6537A1-D6FC-4f65-9D91-7224C49458BB}"/>
            </c:extLst>
          </c:dLbls>
          <c:cat>
            <c:strRef>
              <c:f>'Products x segment'!$B$41:$B$43</c:f>
              <c:strCache>
                <c:ptCount val="3"/>
                <c:pt idx="0">
                  <c:v>Telecom</c:v>
                </c:pt>
                <c:pt idx="1">
                  <c:v>Cloud</c:v>
                </c:pt>
                <c:pt idx="2">
                  <c:v>Enterprise</c:v>
                </c:pt>
              </c:strCache>
            </c:strRef>
          </c:cat>
          <c:val>
            <c:numRef>
              <c:f>'Products x segment'!$M$41:$M$43</c:f>
              <c:numCache>
                <c:formatCode>_("$"* #,##0_);_("$"* \(#,##0\);_("$"* "-"??_);_(@_)</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644A-8C4A-8886-539827147C51}"/>
            </c:ext>
          </c:extLst>
        </c:ser>
        <c:dLbls>
          <c:dLblPos val="outEnd"/>
          <c:showLegendKey val="0"/>
          <c:showVal val="1"/>
          <c:showCatName val="0"/>
          <c:showSerName val="0"/>
          <c:showPercent val="0"/>
          <c:showBubbleSize val="0"/>
          <c:showLeaderLines val="0"/>
        </c:dLbls>
        <c:firstSliceAng val="92"/>
      </c:pieChart>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segment'!$B$120</c:f>
              <c:strCache>
                <c:ptCount val="1"/>
                <c:pt idx="0">
                  <c:v>Enterprise</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segment'!$C$120:$M$120</c:f>
              <c:numCache>
                <c:formatCode>_(* #,##0_);_(* \(#,##0\);_(* "-"??_);_(@_)</c:formatCode>
                <c:ptCount val="11"/>
                <c:pt idx="0">
                  <c:v>0</c:v>
                </c:pt>
                <c:pt idx="1">
                  <c:v>4499.9999999999991</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254E-9645-AC16-E32CEA52E2AE}"/>
            </c:ext>
          </c:extLst>
        </c:ser>
        <c:ser>
          <c:idx val="1"/>
          <c:order val="1"/>
          <c:tx>
            <c:strRef>
              <c:f>'Products x segment'!$B$118</c:f>
              <c:strCache>
                <c:ptCount val="1"/>
                <c:pt idx="0">
                  <c:v>Telecom</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segment'!$C$118:$M$118</c:f>
              <c:numCache>
                <c:formatCode>_(* #,##0_);_(* \(#,##0\);_(* "-"??_);_(@_)</c:formatCode>
                <c:ptCount val="11"/>
                <c:pt idx="0">
                  <c:v>246906.6</c:v>
                </c:pt>
                <c:pt idx="1">
                  <c:v>273710.59999999998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254E-9645-AC16-E32CEA52E2AE}"/>
            </c:ext>
          </c:extLst>
        </c:ser>
        <c:ser>
          <c:idx val="0"/>
          <c:order val="2"/>
          <c:tx>
            <c:strRef>
              <c:f>'Products x segment'!$B$119</c:f>
              <c:strCache>
                <c:ptCount val="1"/>
                <c:pt idx="0">
                  <c:v>Cloud</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segment'!$C$119:$M$119</c:f>
              <c:numCache>
                <c:formatCode>_(* #,##0_);_(* \(#,##0\);_(* "-"??_);_(@_)</c:formatCode>
                <c:ptCount val="11"/>
                <c:pt idx="0">
                  <c:v>672463.4</c:v>
                </c:pt>
                <c:pt idx="1">
                  <c:v>2603279.4</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254E-9645-AC16-E32CEA52E2AE}"/>
            </c:ext>
          </c:extLst>
        </c:ser>
        <c:dLbls>
          <c:showLegendKey val="0"/>
          <c:showVal val="0"/>
          <c:showCatName val="0"/>
          <c:showSerName val="0"/>
          <c:showPercent val="0"/>
          <c:showBubbleSize val="0"/>
        </c:dLbls>
        <c:axId val="391976832"/>
        <c:axId val="391978368"/>
      </c:areaChart>
      <c:catAx>
        <c:axId val="391976832"/>
        <c:scaling>
          <c:orientation val="minMax"/>
        </c:scaling>
        <c:delete val="0"/>
        <c:axPos val="b"/>
        <c:numFmt formatCode="General" sourceLinked="1"/>
        <c:majorTickMark val="out"/>
        <c:minorTickMark val="none"/>
        <c:tickLblPos val="nextTo"/>
        <c:txPr>
          <a:bodyPr/>
          <a:lstStyle/>
          <a:p>
            <a:pPr>
              <a:defRPr sz="1200"/>
            </a:pPr>
            <a:endParaRPr lang="en-US"/>
          </a:p>
        </c:txPr>
        <c:crossAx val="391978368"/>
        <c:crosses val="autoZero"/>
        <c:auto val="1"/>
        <c:lblAlgn val="ctr"/>
        <c:lblOffset val="100"/>
        <c:noMultiLvlLbl val="0"/>
      </c:catAx>
      <c:valAx>
        <c:axId val="391978368"/>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391976832"/>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100GbE</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segment'!$B$129</c:f>
              <c:strCache>
                <c:ptCount val="1"/>
                <c:pt idx="0">
                  <c:v>Enterprise</c:v>
                </c:pt>
              </c:strCache>
            </c:strRef>
          </c:tx>
          <c:cat>
            <c:numRef>
              <c:f>'Products x segment'!$C$126:$M$126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segment'!$C$129:$M$129</c:f>
              <c:numCache>
                <c:formatCode>_(* #,##0_);_(* \(#,##0\);_(* "-"??_);_(@_)</c:formatCode>
                <c:ptCount val="11"/>
                <c:pt idx="0">
                  <c:v>0</c:v>
                </c:pt>
                <c:pt idx="1">
                  <c:v>2.2499999999999996</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A0E8-C346-8D4C-53714AAD4247}"/>
            </c:ext>
          </c:extLst>
        </c:ser>
        <c:ser>
          <c:idx val="1"/>
          <c:order val="1"/>
          <c:tx>
            <c:strRef>
              <c:f>'Products x segment'!$B$127</c:f>
              <c:strCache>
                <c:ptCount val="1"/>
                <c:pt idx="0">
                  <c:v>Telecom</c:v>
                </c:pt>
              </c:strCache>
            </c:strRef>
          </c:tx>
          <c:cat>
            <c:numRef>
              <c:f>'Products x segment'!$C$126:$M$126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segment'!$C$127:$M$127</c:f>
              <c:numCache>
                <c:formatCode>_(* #,##0_);_(* \(#,##0\);_(* "-"??_);_(@_)</c:formatCode>
                <c:ptCount val="11"/>
                <c:pt idx="0">
                  <c:v>782.17839145655785</c:v>
                </c:pt>
                <c:pt idx="1">
                  <c:v>557.7278515934338</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A0E8-C346-8D4C-53714AAD4247}"/>
            </c:ext>
          </c:extLst>
        </c:ser>
        <c:ser>
          <c:idx val="0"/>
          <c:order val="2"/>
          <c:tx>
            <c:strRef>
              <c:f>'Products x segment'!$B$128</c:f>
              <c:strCache>
                <c:ptCount val="1"/>
                <c:pt idx="0">
                  <c:v>Cloud</c:v>
                </c:pt>
              </c:strCache>
            </c:strRef>
          </c:tx>
          <c:cat>
            <c:numRef>
              <c:f>'Products x segment'!$C$126:$M$126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segment'!$C$128:$M$128</c:f>
              <c:numCache>
                <c:formatCode>_(* #,##0_);_(* \(#,##0\);_(* "-"??_);_(@_)</c:formatCode>
                <c:ptCount val="11"/>
                <c:pt idx="0">
                  <c:v>360.98057201309041</c:v>
                </c:pt>
                <c:pt idx="1">
                  <c:v>1093.99654038072</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A0E8-C346-8D4C-53714AAD4247}"/>
            </c:ext>
          </c:extLst>
        </c:ser>
        <c:dLbls>
          <c:showLegendKey val="0"/>
          <c:showVal val="0"/>
          <c:showCatName val="0"/>
          <c:showSerName val="0"/>
          <c:showPercent val="0"/>
          <c:showBubbleSize val="0"/>
        </c:dLbls>
        <c:axId val="392034560"/>
        <c:axId val="392101888"/>
      </c:areaChart>
      <c:catAx>
        <c:axId val="392034560"/>
        <c:scaling>
          <c:orientation val="minMax"/>
        </c:scaling>
        <c:delete val="0"/>
        <c:axPos val="b"/>
        <c:numFmt formatCode="General" sourceLinked="1"/>
        <c:majorTickMark val="out"/>
        <c:minorTickMark val="none"/>
        <c:tickLblPos val="nextTo"/>
        <c:txPr>
          <a:bodyPr/>
          <a:lstStyle/>
          <a:p>
            <a:pPr>
              <a:defRPr sz="1200"/>
            </a:pPr>
            <a:endParaRPr lang="en-US"/>
          </a:p>
        </c:txPr>
        <c:crossAx val="392101888"/>
        <c:crosses val="autoZero"/>
        <c:auto val="1"/>
        <c:lblAlgn val="ctr"/>
        <c:lblOffset val="100"/>
        <c:noMultiLvlLbl val="0"/>
      </c:catAx>
      <c:valAx>
        <c:axId val="392101888"/>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392034560"/>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200GbE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segment'!$B$162</c:f>
              <c:strCache>
                <c:ptCount val="1"/>
                <c:pt idx="0">
                  <c:v>Enterprise</c:v>
                </c:pt>
              </c:strCache>
            </c:strRef>
          </c:tx>
          <c:cat>
            <c:numRef>
              <c:f>'Products x segment'!$C$159:$M$159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segment'!$C$162:$M$162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0DD4-C84F-835D-E7B8BACF774B}"/>
            </c:ext>
          </c:extLst>
        </c:ser>
        <c:ser>
          <c:idx val="1"/>
          <c:order val="1"/>
          <c:tx>
            <c:strRef>
              <c:f>'Products x segment'!$B$160</c:f>
              <c:strCache>
                <c:ptCount val="1"/>
                <c:pt idx="0">
                  <c:v>Telecom</c:v>
                </c:pt>
              </c:strCache>
            </c:strRef>
          </c:tx>
          <c:cat>
            <c:numRef>
              <c:f>'Products x segment'!$C$159:$M$159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segment'!$C$160:$I$160</c:f>
              <c:numCache>
                <c:formatCode>_(* #,##0_);_(* \(#,##0\);_(* "-"??_);_(@_)</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0DD4-C84F-835D-E7B8BACF774B}"/>
            </c:ext>
          </c:extLst>
        </c:ser>
        <c:ser>
          <c:idx val="0"/>
          <c:order val="2"/>
          <c:tx>
            <c:strRef>
              <c:f>'Products x segment'!$B$161</c:f>
              <c:strCache>
                <c:ptCount val="1"/>
                <c:pt idx="0">
                  <c:v>Cloud</c:v>
                </c:pt>
              </c:strCache>
            </c:strRef>
          </c:tx>
          <c:cat>
            <c:numRef>
              <c:f>'Products x segment'!$C$159:$M$159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segment'!$C$161:$M$161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0DD4-C84F-835D-E7B8BACF774B}"/>
            </c:ext>
          </c:extLst>
        </c:ser>
        <c:dLbls>
          <c:showLegendKey val="0"/>
          <c:showVal val="0"/>
          <c:showCatName val="0"/>
          <c:showSerName val="0"/>
          <c:showPercent val="0"/>
          <c:showBubbleSize val="0"/>
        </c:dLbls>
        <c:axId val="392141824"/>
        <c:axId val="392147712"/>
      </c:areaChart>
      <c:catAx>
        <c:axId val="392141824"/>
        <c:scaling>
          <c:orientation val="minMax"/>
        </c:scaling>
        <c:delete val="0"/>
        <c:axPos val="b"/>
        <c:numFmt formatCode="General" sourceLinked="1"/>
        <c:majorTickMark val="out"/>
        <c:minorTickMark val="none"/>
        <c:tickLblPos val="nextTo"/>
        <c:txPr>
          <a:bodyPr/>
          <a:lstStyle/>
          <a:p>
            <a:pPr>
              <a:defRPr sz="1200"/>
            </a:pPr>
            <a:endParaRPr lang="en-US"/>
          </a:p>
        </c:txPr>
        <c:crossAx val="392147712"/>
        <c:crosses val="autoZero"/>
        <c:auto val="1"/>
        <c:lblAlgn val="ctr"/>
        <c:lblOffset val="100"/>
        <c:noMultiLvlLbl val="0"/>
      </c:catAx>
      <c:valAx>
        <c:axId val="392147712"/>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392141824"/>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200GbE</a:t>
            </a:r>
            <a:endParaRPr lang="en-US" sz="1800"/>
          </a:p>
        </c:rich>
      </c:tx>
      <c:layout>
        <c:manualLayout>
          <c:xMode val="edge"/>
          <c:yMode val="edge"/>
          <c:x val="0.430195005818168"/>
          <c:y val="6.2295639455710696E-4"/>
        </c:manualLayout>
      </c:layout>
      <c:overlay val="0"/>
    </c:title>
    <c:autoTitleDeleted val="0"/>
    <c:plotArea>
      <c:layout>
        <c:manualLayout>
          <c:layoutTarget val="inner"/>
          <c:xMode val="edge"/>
          <c:yMode val="edge"/>
          <c:x val="0.17638747001140001"/>
          <c:y val="0.179907098242029"/>
          <c:w val="0.785514458713932"/>
          <c:h val="0.71429654830996703"/>
        </c:manualLayout>
      </c:layout>
      <c:areaChart>
        <c:grouping val="stacked"/>
        <c:varyColors val="0"/>
        <c:ser>
          <c:idx val="2"/>
          <c:order val="0"/>
          <c:tx>
            <c:strRef>
              <c:f>'Products x segment'!$B$171</c:f>
              <c:strCache>
                <c:ptCount val="1"/>
                <c:pt idx="0">
                  <c:v>Enterprise</c:v>
                </c:pt>
              </c:strCache>
            </c:strRef>
          </c:tx>
          <c:cat>
            <c:numRef>
              <c:f>'Products x segment'!$C$168:$M$168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segment'!$C$171:$M$171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2C70-5C4A-AAFB-3D37FC713A7C}"/>
            </c:ext>
          </c:extLst>
        </c:ser>
        <c:ser>
          <c:idx val="1"/>
          <c:order val="1"/>
          <c:tx>
            <c:strRef>
              <c:f>'Products x segment'!$B$169</c:f>
              <c:strCache>
                <c:ptCount val="1"/>
                <c:pt idx="0">
                  <c:v>Telecom</c:v>
                </c:pt>
              </c:strCache>
            </c:strRef>
          </c:tx>
          <c:cat>
            <c:numRef>
              <c:f>'Products x segment'!$C$168:$M$168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segment'!$C$169:$I$169</c:f>
              <c:numCache>
                <c:formatCode>_("$"* #,##0_);_("$"* \(#,##0\);_("$"* "-"??_);_(@_)</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1-2C70-5C4A-AAFB-3D37FC713A7C}"/>
            </c:ext>
          </c:extLst>
        </c:ser>
        <c:ser>
          <c:idx val="0"/>
          <c:order val="2"/>
          <c:tx>
            <c:strRef>
              <c:f>'Products x segment'!$B$170</c:f>
              <c:strCache>
                <c:ptCount val="1"/>
                <c:pt idx="0">
                  <c:v>Cloud</c:v>
                </c:pt>
              </c:strCache>
            </c:strRef>
          </c:tx>
          <c:cat>
            <c:numRef>
              <c:f>'Products x segment'!$C$168:$M$168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segment'!$C$170:$M$170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2C70-5C4A-AAFB-3D37FC713A7C}"/>
            </c:ext>
          </c:extLst>
        </c:ser>
        <c:dLbls>
          <c:showLegendKey val="0"/>
          <c:showVal val="0"/>
          <c:showCatName val="0"/>
          <c:showSerName val="0"/>
          <c:showPercent val="0"/>
          <c:showBubbleSize val="0"/>
        </c:dLbls>
        <c:axId val="392174976"/>
        <c:axId val="392193152"/>
      </c:areaChart>
      <c:catAx>
        <c:axId val="392174976"/>
        <c:scaling>
          <c:orientation val="minMax"/>
        </c:scaling>
        <c:delete val="0"/>
        <c:axPos val="b"/>
        <c:numFmt formatCode="General" sourceLinked="1"/>
        <c:majorTickMark val="out"/>
        <c:minorTickMark val="none"/>
        <c:tickLblPos val="nextTo"/>
        <c:txPr>
          <a:bodyPr/>
          <a:lstStyle/>
          <a:p>
            <a:pPr>
              <a:defRPr sz="1200"/>
            </a:pPr>
            <a:endParaRPr lang="en-US"/>
          </a:p>
        </c:txPr>
        <c:crossAx val="392193152"/>
        <c:crosses val="autoZero"/>
        <c:auto val="1"/>
        <c:lblAlgn val="ctr"/>
        <c:lblOffset val="100"/>
        <c:noMultiLvlLbl val="0"/>
      </c:catAx>
      <c:valAx>
        <c:axId val="392193152"/>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392174976"/>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400GbE</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areaChart>
        <c:grouping val="stacked"/>
        <c:varyColors val="0"/>
        <c:ser>
          <c:idx val="2"/>
          <c:order val="0"/>
          <c:tx>
            <c:strRef>
              <c:f>'Products x segment'!$B$204</c:f>
              <c:strCache>
                <c:ptCount val="1"/>
                <c:pt idx="0">
                  <c:v>Enterprise</c:v>
                </c:pt>
              </c:strCache>
            </c:strRef>
          </c:tx>
          <c:cat>
            <c:numRef>
              <c:f>'Products x segment'!$C$201:$M$201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segment'!$C$204:$M$204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3599-EF42-A465-80F0215902DE}"/>
            </c:ext>
          </c:extLst>
        </c:ser>
        <c:ser>
          <c:idx val="1"/>
          <c:order val="1"/>
          <c:tx>
            <c:strRef>
              <c:f>'Products x segment'!$B$202</c:f>
              <c:strCache>
                <c:ptCount val="1"/>
                <c:pt idx="0">
                  <c:v>Telecom</c:v>
                </c:pt>
              </c:strCache>
            </c:strRef>
          </c:tx>
          <c:cat>
            <c:numRef>
              <c:f>'Products x segment'!$C$201:$M$201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segment'!$C$202:$M$202</c:f>
              <c:numCache>
                <c:formatCode>_(* #,##0_);_(* \(#,##0\);_(* "-"??_);_(@_)</c:formatCode>
                <c:ptCount val="11"/>
                <c:pt idx="0">
                  <c:v>0</c:v>
                </c:pt>
                <c:pt idx="1">
                  <c:v>82</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3599-EF42-A465-80F0215902DE}"/>
            </c:ext>
          </c:extLst>
        </c:ser>
        <c:ser>
          <c:idx val="0"/>
          <c:order val="2"/>
          <c:tx>
            <c:strRef>
              <c:f>'Products x segment'!$B$203</c:f>
              <c:strCache>
                <c:ptCount val="1"/>
                <c:pt idx="0">
                  <c:v>Cloud</c:v>
                </c:pt>
              </c:strCache>
            </c:strRef>
          </c:tx>
          <c:cat>
            <c:numRef>
              <c:f>'Products x segment'!$C$201:$M$201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segment'!$C$203:$M$203</c:f>
              <c:numCache>
                <c:formatCode>_(* #,##0_);_(* \(#,##0\);_(* "-"??_);_(@_)</c:formatCode>
                <c:ptCount val="11"/>
                <c:pt idx="0">
                  <c:v>0</c:v>
                </c:pt>
                <c:pt idx="1">
                  <c:v>7</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3599-EF42-A465-80F0215902DE}"/>
            </c:ext>
          </c:extLst>
        </c:ser>
        <c:dLbls>
          <c:showLegendKey val="0"/>
          <c:showVal val="0"/>
          <c:showCatName val="0"/>
          <c:showSerName val="0"/>
          <c:showPercent val="0"/>
          <c:showBubbleSize val="0"/>
        </c:dLbls>
        <c:axId val="392216960"/>
        <c:axId val="392218496"/>
      </c:areaChart>
      <c:catAx>
        <c:axId val="392216960"/>
        <c:scaling>
          <c:orientation val="minMax"/>
        </c:scaling>
        <c:delete val="0"/>
        <c:axPos val="b"/>
        <c:numFmt formatCode="General" sourceLinked="1"/>
        <c:majorTickMark val="out"/>
        <c:minorTickMark val="none"/>
        <c:tickLblPos val="nextTo"/>
        <c:txPr>
          <a:bodyPr/>
          <a:lstStyle/>
          <a:p>
            <a:pPr>
              <a:defRPr sz="1200"/>
            </a:pPr>
            <a:endParaRPr lang="en-US"/>
          </a:p>
        </c:txPr>
        <c:crossAx val="392218496"/>
        <c:crosses val="autoZero"/>
        <c:auto val="1"/>
        <c:lblAlgn val="ctr"/>
        <c:lblOffset val="100"/>
        <c:noMultiLvlLbl val="0"/>
      </c:catAx>
      <c:valAx>
        <c:axId val="392218496"/>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392216960"/>
        <c:crosses val="autoZero"/>
        <c:crossBetween val="midCat"/>
      </c:valAx>
    </c:plotArea>
    <c:legend>
      <c:legendPos val="t"/>
      <c:layout>
        <c:manualLayout>
          <c:xMode val="edge"/>
          <c:yMode val="edge"/>
          <c:x val="0.27686376963660198"/>
          <c:y val="8.7706769225870604E-2"/>
          <c:w val="0.56338016078567998"/>
          <c:h val="8.2750619198919198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Revenues -</a:t>
            </a:r>
            <a:r>
              <a:rPr lang="en-US" sz="1800" baseline="0"/>
              <a:t> 400GbE</a:t>
            </a:r>
            <a:endParaRPr lang="en-US" sz="1800"/>
          </a:p>
        </c:rich>
      </c:tx>
      <c:layout>
        <c:manualLayout>
          <c:xMode val="edge"/>
          <c:yMode val="edge"/>
          <c:x val="0.43019495956945963"/>
          <c:y val="1.9654892952795648E-2"/>
        </c:manualLayout>
      </c:layout>
      <c:overlay val="0"/>
    </c:title>
    <c:autoTitleDeleted val="0"/>
    <c:plotArea>
      <c:layout>
        <c:manualLayout>
          <c:layoutTarget val="inner"/>
          <c:xMode val="edge"/>
          <c:yMode val="edge"/>
          <c:x val="0.20444279026480644"/>
          <c:y val="0.179907098242029"/>
          <c:w val="0.75171705620569551"/>
          <c:h val="0.71429654830996703"/>
        </c:manualLayout>
      </c:layout>
      <c:areaChart>
        <c:grouping val="stacked"/>
        <c:varyColors val="0"/>
        <c:ser>
          <c:idx val="2"/>
          <c:order val="0"/>
          <c:tx>
            <c:strRef>
              <c:f>'Products x segment'!$B$213</c:f>
              <c:strCache>
                <c:ptCount val="1"/>
                <c:pt idx="0">
                  <c:v>Enterprise</c:v>
                </c:pt>
              </c:strCache>
            </c:strRef>
          </c:tx>
          <c:cat>
            <c:numRef>
              <c:f>'Products x segment'!$C$210:$M$210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segment'!$C$213:$M$213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0BB5-E243-8099-DE6C6B4C6B71}"/>
            </c:ext>
          </c:extLst>
        </c:ser>
        <c:ser>
          <c:idx val="1"/>
          <c:order val="1"/>
          <c:tx>
            <c:strRef>
              <c:f>'Products x segment'!$B$211</c:f>
              <c:strCache>
                <c:ptCount val="1"/>
                <c:pt idx="0">
                  <c:v>Telecom</c:v>
                </c:pt>
              </c:strCache>
            </c:strRef>
          </c:tx>
          <c:cat>
            <c:numRef>
              <c:f>'Products x segment'!$C$210:$M$210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segment'!$C$211:$M$211</c:f>
              <c:numCache>
                <c:formatCode>_(* #,##0_);_(* \(#,##0\);_(* "-"??_);_(@_)</c:formatCode>
                <c:ptCount val="11"/>
                <c:pt idx="0">
                  <c:v>0</c:v>
                </c:pt>
                <c:pt idx="1">
                  <c:v>1.2669999999999999</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0BB5-E243-8099-DE6C6B4C6B71}"/>
            </c:ext>
          </c:extLst>
        </c:ser>
        <c:ser>
          <c:idx val="0"/>
          <c:order val="2"/>
          <c:tx>
            <c:strRef>
              <c:f>'Products x segment'!$B$212</c:f>
              <c:strCache>
                <c:ptCount val="1"/>
                <c:pt idx="0">
                  <c:v>Cloud</c:v>
                </c:pt>
              </c:strCache>
            </c:strRef>
          </c:tx>
          <c:cat>
            <c:numRef>
              <c:f>'Products x segment'!$C$210:$M$210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segment'!$C$212:$M$212</c:f>
              <c:numCache>
                <c:formatCode>_(* #,##0_);_(* \(#,##0\);_(* "-"??_);_(@_)</c:formatCode>
                <c:ptCount val="11"/>
                <c:pt idx="0">
                  <c:v>0</c:v>
                </c:pt>
                <c:pt idx="1">
                  <c:v>8.1299999999999997E-2</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0BB5-E243-8099-DE6C6B4C6B71}"/>
            </c:ext>
          </c:extLst>
        </c:ser>
        <c:dLbls>
          <c:showLegendKey val="0"/>
          <c:showVal val="0"/>
          <c:showCatName val="0"/>
          <c:showSerName val="0"/>
          <c:showPercent val="0"/>
          <c:showBubbleSize val="0"/>
        </c:dLbls>
        <c:axId val="392332032"/>
        <c:axId val="392333568"/>
      </c:areaChart>
      <c:catAx>
        <c:axId val="392332032"/>
        <c:scaling>
          <c:orientation val="minMax"/>
        </c:scaling>
        <c:delete val="0"/>
        <c:axPos val="b"/>
        <c:numFmt formatCode="General" sourceLinked="1"/>
        <c:majorTickMark val="out"/>
        <c:minorTickMark val="none"/>
        <c:tickLblPos val="nextTo"/>
        <c:txPr>
          <a:bodyPr/>
          <a:lstStyle/>
          <a:p>
            <a:pPr>
              <a:defRPr sz="1200"/>
            </a:pPr>
            <a:endParaRPr lang="en-US"/>
          </a:p>
        </c:txPr>
        <c:crossAx val="392333568"/>
        <c:crosses val="autoZero"/>
        <c:auto val="1"/>
        <c:lblAlgn val="ctr"/>
        <c:lblOffset val="100"/>
        <c:noMultiLvlLbl val="0"/>
      </c:catAx>
      <c:valAx>
        <c:axId val="392333568"/>
        <c:scaling>
          <c:orientation val="minMax"/>
        </c:scaling>
        <c:delete val="0"/>
        <c:axPos val="l"/>
        <c:majorGridlines/>
        <c:title>
          <c:tx>
            <c:rich>
              <a:bodyPr rot="-5400000" vert="horz"/>
              <a:lstStyle/>
              <a:p>
                <a:pPr>
                  <a:defRPr sz="1100"/>
                </a:pPr>
                <a:r>
                  <a:rPr lang="en-US" sz="1100"/>
                  <a:t>$ millions</a:t>
                </a:r>
              </a:p>
            </c:rich>
          </c:tx>
          <c:layout>
            <c:manualLayout>
              <c:xMode val="edge"/>
              <c:yMode val="edge"/>
              <c:x val="3.4913994885122798E-2"/>
              <c:y val="0.40368964126378498"/>
            </c:manualLayout>
          </c:layout>
          <c:overlay val="0"/>
        </c:title>
        <c:numFmt formatCode="&quot;$&quot;#,##0" sourceLinked="0"/>
        <c:majorTickMark val="out"/>
        <c:minorTickMark val="none"/>
        <c:tickLblPos val="nextTo"/>
        <c:txPr>
          <a:bodyPr/>
          <a:lstStyle/>
          <a:p>
            <a:pPr>
              <a:defRPr sz="1200"/>
            </a:pPr>
            <a:endParaRPr lang="en-US"/>
          </a:p>
        </c:txPr>
        <c:crossAx val="392332032"/>
        <c:crosses val="autoZero"/>
        <c:crossBetween val="midCat"/>
      </c:valAx>
    </c:plotArea>
    <c:legend>
      <c:legendPos val="t"/>
      <c:layout>
        <c:manualLayout>
          <c:xMode val="edge"/>
          <c:yMode val="edge"/>
          <c:x val="6.2104924770141498E-2"/>
          <c:y val="9.1844710472447702E-2"/>
          <c:w val="0.92800101729948903"/>
          <c:h val="6.7917025494946395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48080523836655"/>
          <c:y val="7.2643385614557826E-2"/>
          <c:w val="0.83578328402007152"/>
          <c:h val="0.82725857833003746"/>
        </c:manualLayout>
      </c:layout>
      <c:lineChart>
        <c:grouping val="standard"/>
        <c:varyColors val="0"/>
        <c:ser>
          <c:idx val="0"/>
          <c:order val="0"/>
          <c:tx>
            <c:strRef>
              <c:f>Summary!$B$569</c:f>
              <c:strCache>
                <c:ptCount val="1"/>
                <c:pt idx="0">
                  <c:v>100 m  100G CFP</c:v>
                </c:pt>
              </c:strCache>
            </c:strRef>
          </c:tx>
          <c:cat>
            <c:numRef>
              <c:f>Summary!$C$568:$M$568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Summary!$C$569:$M$569</c:f>
              <c:numCache>
                <c:formatCode>_("$"* #,##0.0_);_("$"* \(#,##0.0\);_("$"* "-"??_);_(@_)</c:formatCode>
                <c:ptCount val="11"/>
                <c:pt idx="0">
                  <c:v>21.078782</c:v>
                </c:pt>
                <c:pt idx="1">
                  <c:v>8.8030050000000024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BC0D-A946-A03E-62CF997F9E3D}"/>
            </c:ext>
          </c:extLst>
        </c:ser>
        <c:ser>
          <c:idx val="1"/>
          <c:order val="1"/>
          <c:tx>
            <c:strRef>
              <c:f>Summary!$B$570</c:f>
              <c:strCache>
                <c:ptCount val="1"/>
                <c:pt idx="0">
                  <c:v>100 m  100G CFP2/CFP4</c:v>
                </c:pt>
              </c:strCache>
            </c:strRef>
          </c:tx>
          <c:cat>
            <c:numRef>
              <c:f>Summary!$C$568:$M$568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Summary!$C$570:$M$570</c:f>
              <c:numCache>
                <c:formatCode>_("$"* #,##0.0_);_("$"* \(#,##0.0\);_("$"* "-"??_);_(@_)</c:formatCode>
                <c:ptCount val="11"/>
                <c:pt idx="0">
                  <c:v>5.2611999999999997</c:v>
                </c:pt>
                <c:pt idx="1">
                  <c:v>2.4791280000000007</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BC0D-A946-A03E-62CF997F9E3D}"/>
            </c:ext>
          </c:extLst>
        </c:ser>
        <c:ser>
          <c:idx val="2"/>
          <c:order val="2"/>
          <c:tx>
            <c:strRef>
              <c:f>Summary!$B$571</c:f>
              <c:strCache>
                <c:ptCount val="1"/>
                <c:pt idx="0">
                  <c:v>100 m  100G SR2, SR4  QSFP28</c:v>
                </c:pt>
              </c:strCache>
            </c:strRef>
          </c:tx>
          <c:cat>
            <c:numRef>
              <c:f>Summary!$C$568:$M$568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Summary!$C$571:$M$571</c:f>
              <c:numCache>
                <c:formatCode>_("$"* #,##0.0_);_("$"* \(#,##0.0\);_("$"* "-"??_);_(@_)</c:formatCode>
                <c:ptCount val="11"/>
                <c:pt idx="0">
                  <c:v>72.281363999999996</c:v>
                </c:pt>
                <c:pt idx="1">
                  <c:v>113.36232738072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BC0D-A946-A03E-62CF997F9E3D}"/>
            </c:ext>
          </c:extLst>
        </c:ser>
        <c:ser>
          <c:idx val="3"/>
          <c:order val="3"/>
          <c:tx>
            <c:strRef>
              <c:f>Summary!$B$572</c:f>
              <c:strCache>
                <c:ptCount val="1"/>
                <c:pt idx="0">
                  <c:v>100 m  100G QSFP28 MM Duplex</c:v>
                </c:pt>
              </c:strCache>
            </c:strRef>
          </c:tx>
          <c:cat>
            <c:numRef>
              <c:f>Summary!$C$568:$M$568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Summary!$C$572:$M$572</c:f>
              <c:numCache>
                <c:formatCode>_("$"* #,##0.0_);_("$"* \(#,##0.0\);_("$"*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BC0D-A946-A03E-62CF997F9E3D}"/>
            </c:ext>
          </c:extLst>
        </c:ser>
        <c:ser>
          <c:idx val="4"/>
          <c:order val="4"/>
          <c:tx>
            <c:strRef>
              <c:f>Summary!$B$573</c:f>
              <c:strCache>
                <c:ptCount val="1"/>
                <c:pt idx="0">
                  <c:v>300 m  100G QSFP28  eSR4</c:v>
                </c:pt>
              </c:strCache>
            </c:strRef>
          </c:tx>
          <c:cat>
            <c:numRef>
              <c:f>Summary!$C$568:$M$568</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Summary!$C$573:$M$573</c:f>
              <c:numCache>
                <c:formatCode>_("$"* #,##0.0_);_("$"* \(#,##0.0\);_("$"* "-"??_);_(@_)</c:formatCode>
                <c:ptCount val="11"/>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BC0D-A946-A03E-62CF997F9E3D}"/>
            </c:ext>
          </c:extLst>
        </c:ser>
        <c:dLbls>
          <c:showLegendKey val="0"/>
          <c:showVal val="0"/>
          <c:showCatName val="0"/>
          <c:showSerName val="0"/>
          <c:showPercent val="0"/>
          <c:showBubbleSize val="0"/>
        </c:dLbls>
        <c:marker val="1"/>
        <c:smooth val="0"/>
        <c:axId val="230407552"/>
        <c:axId val="230413440"/>
      </c:lineChart>
      <c:catAx>
        <c:axId val="230407552"/>
        <c:scaling>
          <c:orientation val="minMax"/>
        </c:scaling>
        <c:delete val="0"/>
        <c:axPos val="b"/>
        <c:numFmt formatCode="General" sourceLinked="1"/>
        <c:majorTickMark val="out"/>
        <c:minorTickMark val="none"/>
        <c:tickLblPos val="nextTo"/>
        <c:txPr>
          <a:bodyPr/>
          <a:lstStyle/>
          <a:p>
            <a:pPr>
              <a:defRPr sz="1000"/>
            </a:pPr>
            <a:endParaRPr lang="en-US"/>
          </a:p>
        </c:txPr>
        <c:crossAx val="230413440"/>
        <c:crosses val="autoZero"/>
        <c:auto val="1"/>
        <c:lblAlgn val="ctr"/>
        <c:lblOffset val="100"/>
        <c:noMultiLvlLbl val="0"/>
      </c:catAx>
      <c:valAx>
        <c:axId val="230413440"/>
        <c:scaling>
          <c:orientation val="minMax"/>
        </c:scaling>
        <c:delete val="0"/>
        <c:axPos val="l"/>
        <c:majorGridlines/>
        <c:title>
          <c:tx>
            <c:rich>
              <a:bodyPr rot="-5400000" vert="horz"/>
              <a:lstStyle/>
              <a:p>
                <a:pPr>
                  <a:defRPr sz="1400"/>
                </a:pPr>
                <a:r>
                  <a:rPr lang="en-US" sz="1400"/>
                  <a:t>Annual sales ($ mn)</a:t>
                </a:r>
              </a:p>
            </c:rich>
          </c:tx>
          <c:layout>
            <c:manualLayout>
              <c:xMode val="edge"/>
              <c:yMode val="edge"/>
              <c:x val="7.7523889404114482E-3"/>
              <c:y val="0.22120318607869369"/>
            </c:manualLayout>
          </c:layout>
          <c:overlay val="0"/>
        </c:title>
        <c:numFmt formatCode="&quot;$&quot;#,##0" sourceLinked="0"/>
        <c:majorTickMark val="out"/>
        <c:minorTickMark val="none"/>
        <c:tickLblPos val="nextTo"/>
        <c:txPr>
          <a:bodyPr/>
          <a:lstStyle/>
          <a:p>
            <a:pPr>
              <a:defRPr sz="1200"/>
            </a:pPr>
            <a:endParaRPr lang="en-US"/>
          </a:p>
        </c:txPr>
        <c:crossAx val="230407552"/>
        <c:crosses val="autoZero"/>
        <c:crossBetween val="between"/>
      </c:valAx>
    </c:plotArea>
    <c:legend>
      <c:legendPos val="t"/>
      <c:layout>
        <c:manualLayout>
          <c:xMode val="edge"/>
          <c:yMode val="edge"/>
          <c:x val="0.15730957905859053"/>
          <c:y val="4.1787605831989046E-2"/>
          <c:w val="0.39366770542199675"/>
          <c:h val="0.37926919341343468"/>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100/200/400 GbE</a:t>
            </a:r>
            <a:endParaRPr lang="en-US" sz="1800"/>
          </a:p>
        </c:rich>
      </c:tx>
      <c:layout>
        <c:manualLayout>
          <c:xMode val="edge"/>
          <c:yMode val="edge"/>
          <c:x val="0.30886906564090927"/>
          <c:y val="8.0947126735432945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segment'!$C$121:$M$121</c:f>
              <c:numCache>
                <c:formatCode>_(* #,##0_);_(* \(#,##0\);_(* "-"??_);_(@_)</c:formatCode>
                <c:ptCount val="11"/>
                <c:pt idx="0">
                  <c:v>919370</c:v>
                </c:pt>
                <c:pt idx="1">
                  <c:v>2881490</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0-A243-E347-BD98-F9AAD7913BAA}"/>
            </c:ext>
          </c:extLst>
        </c:ser>
        <c:ser>
          <c:idx val="1"/>
          <c:order val="1"/>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segment'!$C$163:$M$163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1-A243-E347-BD98-F9AAD7913BAA}"/>
            </c:ext>
          </c:extLst>
        </c:ser>
        <c:ser>
          <c:idx val="2"/>
          <c:order val="2"/>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segment'!$C$205:$M$205</c:f>
              <c:numCache>
                <c:formatCode>_(* #,##0_);_(* \(#,##0\);_(* "-"??_);_(@_)</c:formatCode>
                <c:ptCount val="11"/>
                <c:pt idx="0">
                  <c:v>0</c:v>
                </c:pt>
                <c:pt idx="1">
                  <c:v>89</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2-A243-E347-BD98-F9AAD7913BAA}"/>
            </c:ext>
          </c:extLst>
        </c:ser>
        <c:dLbls>
          <c:showLegendKey val="0"/>
          <c:showVal val="0"/>
          <c:showCatName val="0"/>
          <c:showSerName val="0"/>
          <c:showPercent val="0"/>
          <c:showBubbleSize val="0"/>
        </c:dLbls>
        <c:marker val="1"/>
        <c:smooth val="0"/>
        <c:axId val="392369664"/>
        <c:axId val="392371200"/>
      </c:lineChart>
      <c:catAx>
        <c:axId val="392369664"/>
        <c:scaling>
          <c:orientation val="minMax"/>
        </c:scaling>
        <c:delete val="0"/>
        <c:axPos val="b"/>
        <c:numFmt formatCode="General" sourceLinked="1"/>
        <c:majorTickMark val="out"/>
        <c:minorTickMark val="none"/>
        <c:tickLblPos val="nextTo"/>
        <c:txPr>
          <a:bodyPr/>
          <a:lstStyle/>
          <a:p>
            <a:pPr>
              <a:defRPr sz="1200"/>
            </a:pPr>
            <a:endParaRPr lang="en-US"/>
          </a:p>
        </c:txPr>
        <c:crossAx val="392371200"/>
        <c:crosses val="autoZero"/>
        <c:auto val="1"/>
        <c:lblAlgn val="ctr"/>
        <c:lblOffset val="100"/>
        <c:noMultiLvlLbl val="0"/>
      </c:catAx>
      <c:valAx>
        <c:axId val="392371200"/>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392369664"/>
        <c:crosses val="autoZero"/>
        <c:crossBetween val="between"/>
      </c:valAx>
    </c:plotArea>
    <c:legend>
      <c:legendPos val="t"/>
      <c:layout>
        <c:manualLayout>
          <c:xMode val="edge"/>
          <c:yMode val="edge"/>
          <c:x val="0.27686376963660198"/>
          <c:y val="8.7706769225870604E-2"/>
          <c:w val="0.45966243087392611"/>
          <c:h val="7.9966471726109933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Cloud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segment'!$C$119:$M$119</c:f>
              <c:numCache>
                <c:formatCode>_(* #,##0_);_(* \(#,##0\);_(* "-"??_);_(@_)</c:formatCode>
                <c:ptCount val="11"/>
                <c:pt idx="0">
                  <c:v>672463.4</c:v>
                </c:pt>
                <c:pt idx="1">
                  <c:v>2603279.4</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0-2FEF-4D4A-BEAD-A3B5A18C22F7}"/>
            </c:ext>
          </c:extLst>
        </c:ser>
        <c:ser>
          <c:idx val="1"/>
          <c:order val="1"/>
          <c:tx>
            <c:strRef>
              <c:f>'Products x segment'!$B$135</c:f>
              <c:strCache>
                <c:ptCount val="1"/>
                <c:pt idx="0">
                  <c:v>200G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segment'!$C$161:$M$161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1-2FEF-4D4A-BEAD-A3B5A18C22F7}"/>
            </c:ext>
          </c:extLst>
        </c:ser>
        <c:ser>
          <c:idx val="2"/>
          <c:order val="2"/>
          <c:tx>
            <c:strRef>
              <c:f>'Products x segment'!$B$177</c:f>
              <c:strCache>
                <c:ptCount val="1"/>
                <c:pt idx="0">
                  <c:v>400G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segment'!$C$203:$M$203</c:f>
              <c:numCache>
                <c:formatCode>_(* #,##0_);_(* \(#,##0\);_(* "-"??_);_(@_)</c:formatCode>
                <c:ptCount val="11"/>
                <c:pt idx="0">
                  <c:v>0</c:v>
                </c:pt>
                <c:pt idx="1">
                  <c:v>7</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2-2FEF-4D4A-BEAD-A3B5A18C22F7}"/>
            </c:ext>
          </c:extLst>
        </c:ser>
        <c:dLbls>
          <c:showLegendKey val="0"/>
          <c:showVal val="0"/>
          <c:showCatName val="0"/>
          <c:showSerName val="0"/>
          <c:showPercent val="0"/>
          <c:showBubbleSize val="0"/>
        </c:dLbls>
        <c:marker val="1"/>
        <c:smooth val="0"/>
        <c:axId val="392419200"/>
        <c:axId val="392420736"/>
      </c:lineChart>
      <c:catAx>
        <c:axId val="392419200"/>
        <c:scaling>
          <c:orientation val="minMax"/>
        </c:scaling>
        <c:delete val="0"/>
        <c:axPos val="b"/>
        <c:numFmt formatCode="General" sourceLinked="1"/>
        <c:majorTickMark val="out"/>
        <c:minorTickMark val="none"/>
        <c:tickLblPos val="nextTo"/>
        <c:txPr>
          <a:bodyPr/>
          <a:lstStyle/>
          <a:p>
            <a:pPr>
              <a:defRPr sz="1200"/>
            </a:pPr>
            <a:endParaRPr lang="en-US"/>
          </a:p>
        </c:txPr>
        <c:crossAx val="392420736"/>
        <c:crosses val="autoZero"/>
        <c:auto val="1"/>
        <c:lblAlgn val="ctr"/>
        <c:lblOffset val="100"/>
        <c:noMultiLvlLbl val="0"/>
      </c:catAx>
      <c:valAx>
        <c:axId val="392420736"/>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392419200"/>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Telecom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segment'!$C$118:$M$118</c:f>
              <c:numCache>
                <c:formatCode>_(* #,##0_);_(* \(#,##0\);_(* "-"??_);_(@_)</c:formatCode>
                <c:ptCount val="11"/>
                <c:pt idx="0">
                  <c:v>246906.6</c:v>
                </c:pt>
                <c:pt idx="1">
                  <c:v>273710.59999999998</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0-E6B6-DB48-91B4-25B39E001A43}"/>
            </c:ext>
          </c:extLst>
        </c:ser>
        <c:ser>
          <c:idx val="1"/>
          <c:order val="1"/>
          <c:tx>
            <c:strRef>
              <c:f>'Products x segment'!$B$135</c:f>
              <c:strCache>
                <c:ptCount val="1"/>
                <c:pt idx="0">
                  <c:v>200G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segment'!$C$160:$M$160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1-E6B6-DB48-91B4-25B39E001A43}"/>
            </c:ext>
          </c:extLst>
        </c:ser>
        <c:ser>
          <c:idx val="2"/>
          <c:order val="2"/>
          <c:tx>
            <c:strRef>
              <c:f>'Products x segment'!$B$177</c:f>
              <c:strCache>
                <c:ptCount val="1"/>
                <c:pt idx="0">
                  <c:v>400G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segment'!$C$202:$M$202</c:f>
              <c:numCache>
                <c:formatCode>_(* #,##0_);_(* \(#,##0\);_(* "-"??_);_(@_)</c:formatCode>
                <c:ptCount val="11"/>
                <c:pt idx="0">
                  <c:v>0</c:v>
                </c:pt>
                <c:pt idx="1">
                  <c:v>82</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2-E6B6-DB48-91B4-25B39E001A43}"/>
            </c:ext>
          </c:extLst>
        </c:ser>
        <c:dLbls>
          <c:showLegendKey val="0"/>
          <c:showVal val="0"/>
          <c:showCatName val="0"/>
          <c:showSerName val="0"/>
          <c:showPercent val="0"/>
          <c:showBubbleSize val="0"/>
        </c:dLbls>
        <c:marker val="1"/>
        <c:smooth val="0"/>
        <c:axId val="392444160"/>
        <c:axId val="392466432"/>
      </c:lineChart>
      <c:catAx>
        <c:axId val="392444160"/>
        <c:scaling>
          <c:orientation val="minMax"/>
        </c:scaling>
        <c:delete val="0"/>
        <c:axPos val="b"/>
        <c:numFmt formatCode="General" sourceLinked="1"/>
        <c:majorTickMark val="out"/>
        <c:minorTickMark val="none"/>
        <c:tickLblPos val="nextTo"/>
        <c:txPr>
          <a:bodyPr/>
          <a:lstStyle/>
          <a:p>
            <a:pPr>
              <a:defRPr sz="1200"/>
            </a:pPr>
            <a:endParaRPr lang="en-US"/>
          </a:p>
        </c:txPr>
        <c:crossAx val="392466432"/>
        <c:crosses val="autoZero"/>
        <c:auto val="1"/>
        <c:lblAlgn val="ctr"/>
        <c:lblOffset val="100"/>
        <c:noMultiLvlLbl val="0"/>
      </c:catAx>
      <c:valAx>
        <c:axId val="392466432"/>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392444160"/>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Shipments -</a:t>
            </a:r>
            <a:r>
              <a:rPr lang="en-US" sz="1800" baseline="0"/>
              <a:t> total</a:t>
            </a:r>
            <a:endParaRPr lang="en-US" sz="1800"/>
          </a:p>
        </c:rich>
      </c:tx>
      <c:layout>
        <c:manualLayout>
          <c:xMode val="edge"/>
          <c:yMode val="edge"/>
          <c:x val="0.42572580790272901"/>
          <c:y val="4.3787403168780497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2"/>
          <c:order val="0"/>
          <c:tx>
            <c:strRef>
              <c:f>'Products x segment'!$B$34</c:f>
              <c:strCache>
                <c:ptCount val="1"/>
                <c:pt idx="0">
                  <c:v>Enterprise</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segment'!$C$34:$M$34</c:f>
              <c:numCache>
                <c:formatCode>_(* #,##0_);_(* \(#,##0\);_(* "-"??_);_(@_)</c:formatCode>
                <c:ptCount val="11"/>
                <c:pt idx="0">
                  <c:v>21153423.44376694</c:v>
                </c:pt>
                <c:pt idx="1">
                  <c:v>20849659.016871281</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0-6E67-A548-ADC5-7FEFD2D05852}"/>
            </c:ext>
          </c:extLst>
        </c:ser>
        <c:ser>
          <c:idx val="1"/>
          <c:order val="1"/>
          <c:tx>
            <c:strRef>
              <c:f>'Products x segment'!$B$32</c:f>
              <c:strCache>
                <c:ptCount val="1"/>
                <c:pt idx="0">
                  <c:v>Telecom</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segment'!$C$32:$M$32</c:f>
              <c:numCache>
                <c:formatCode>_(* #,##0_);_(* \(#,##0\);_(* "-"??_);_(@_)</c:formatCode>
                <c:ptCount val="11"/>
                <c:pt idx="0">
                  <c:v>4365629.053513201</c:v>
                </c:pt>
                <c:pt idx="1">
                  <c:v>3892074.9984692554</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1-6E67-A548-ADC5-7FEFD2D05852}"/>
            </c:ext>
          </c:extLst>
        </c:ser>
        <c:ser>
          <c:idx val="0"/>
          <c:order val="2"/>
          <c:tx>
            <c:strRef>
              <c:f>'Products x segment'!$B$33</c:f>
              <c:strCache>
                <c:ptCount val="1"/>
                <c:pt idx="0">
                  <c:v>Cloud</c:v>
                </c:pt>
              </c:strCache>
            </c:strRef>
          </c:tx>
          <c:cat>
            <c:numRef>
              <c:f>'Products x segment'!$C$31:$M$31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segment'!$C$33:$M$33</c:f>
              <c:numCache>
                <c:formatCode>_(* #,##0_);_(* \(#,##0\);_(* "-"??_);_(@_)</c:formatCode>
                <c:ptCount val="11"/>
                <c:pt idx="0">
                  <c:v>10649308.537719864</c:v>
                </c:pt>
                <c:pt idx="1">
                  <c:v>13336049.134659462</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2-6E67-A548-ADC5-7FEFD2D05852}"/>
            </c:ext>
          </c:extLst>
        </c:ser>
        <c:dLbls>
          <c:showLegendKey val="0"/>
          <c:showVal val="0"/>
          <c:showCatName val="0"/>
          <c:showSerName val="0"/>
          <c:showPercent val="0"/>
          <c:showBubbleSize val="0"/>
        </c:dLbls>
        <c:marker val="1"/>
        <c:smooth val="0"/>
        <c:axId val="392567808"/>
        <c:axId val="392569600"/>
      </c:lineChart>
      <c:catAx>
        <c:axId val="392567808"/>
        <c:scaling>
          <c:orientation val="minMax"/>
        </c:scaling>
        <c:delete val="0"/>
        <c:axPos val="b"/>
        <c:numFmt formatCode="General" sourceLinked="1"/>
        <c:majorTickMark val="out"/>
        <c:minorTickMark val="none"/>
        <c:tickLblPos val="nextTo"/>
        <c:txPr>
          <a:bodyPr/>
          <a:lstStyle/>
          <a:p>
            <a:pPr>
              <a:defRPr sz="1200"/>
            </a:pPr>
            <a:endParaRPr lang="en-US"/>
          </a:p>
        </c:txPr>
        <c:crossAx val="392569600"/>
        <c:crosses val="autoZero"/>
        <c:auto val="1"/>
        <c:lblAlgn val="ctr"/>
        <c:lblOffset val="100"/>
        <c:noMultiLvlLbl val="0"/>
      </c:catAx>
      <c:valAx>
        <c:axId val="392569600"/>
        <c:scaling>
          <c:orientation val="minMax"/>
        </c:scaling>
        <c:delete val="0"/>
        <c:axPos val="l"/>
        <c:majorGridlines/>
        <c:numFmt formatCode="_(* #,##0_);_(* \(#,##0\);_(* &quot;-&quot;_);_(@_)" sourceLinked="0"/>
        <c:majorTickMark val="out"/>
        <c:minorTickMark val="none"/>
        <c:tickLblPos val="nextTo"/>
        <c:txPr>
          <a:bodyPr/>
          <a:lstStyle/>
          <a:p>
            <a:pPr>
              <a:defRPr sz="1200"/>
            </a:pPr>
            <a:endParaRPr lang="en-US"/>
          </a:p>
        </c:txPr>
        <c:crossAx val="392567808"/>
        <c:crosses val="autoZero"/>
        <c:crossBetween val="between"/>
      </c:valAx>
    </c:plotArea>
    <c:legend>
      <c:legendPos val="t"/>
      <c:layout>
        <c:manualLayout>
          <c:xMode val="edge"/>
          <c:yMode val="edge"/>
          <c:x val="0.27686376963660198"/>
          <c:y val="8.7706769225870604E-2"/>
          <c:w val="0.47483813579738138"/>
          <c:h val="7.9734622436342231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Enterprise  Shipments -</a:t>
            </a:r>
            <a:r>
              <a:rPr lang="en-US" sz="1800" baseline="0"/>
              <a:t> 100/200/400 GbE</a:t>
            </a:r>
            <a:endParaRPr lang="en-US" sz="1800"/>
          </a:p>
        </c:rich>
      </c:tx>
      <c:layout>
        <c:manualLayout>
          <c:xMode val="edge"/>
          <c:yMode val="edge"/>
          <c:x val="0.24209376496583904"/>
          <c:y val="8.0947126735432962E-3"/>
        </c:manualLayout>
      </c:layout>
      <c:overlay val="0"/>
    </c:title>
    <c:autoTitleDeleted val="0"/>
    <c:plotArea>
      <c:layout>
        <c:manualLayout>
          <c:layoutTarget val="inner"/>
          <c:xMode val="edge"/>
          <c:yMode val="edge"/>
          <c:x val="0.15769722241206299"/>
          <c:y val="0.18755123376963601"/>
          <c:w val="0.81089664617587098"/>
          <c:h val="0.70626007517230105"/>
        </c:manualLayout>
      </c:layout>
      <c:lineChart>
        <c:grouping val="standard"/>
        <c:varyColors val="0"/>
        <c:ser>
          <c:idx val="0"/>
          <c:order val="0"/>
          <c:tx>
            <c:strRef>
              <c:f>'Products x segment'!$B$93</c:f>
              <c:strCache>
                <c:ptCount val="1"/>
                <c:pt idx="0">
                  <c:v>100G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segment'!$C$120:$M$120</c:f>
              <c:numCache>
                <c:formatCode>_(* #,##0_);_(* \(#,##0\);_(* "-"??_);_(@_)</c:formatCode>
                <c:ptCount val="11"/>
                <c:pt idx="0">
                  <c:v>0</c:v>
                </c:pt>
                <c:pt idx="1">
                  <c:v>4499.9999999999991</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0-3E9E-2A41-A048-1BB4A3C2CCD0}"/>
            </c:ext>
          </c:extLst>
        </c:ser>
        <c:ser>
          <c:idx val="1"/>
          <c:order val="1"/>
          <c:tx>
            <c:strRef>
              <c:f>'Products x segment'!$B$135</c:f>
              <c:strCache>
                <c:ptCount val="1"/>
                <c:pt idx="0">
                  <c:v>200G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segment'!$C$162:$M$162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1-3E9E-2A41-A048-1BB4A3C2CCD0}"/>
            </c:ext>
          </c:extLst>
        </c:ser>
        <c:ser>
          <c:idx val="2"/>
          <c:order val="2"/>
          <c:tx>
            <c:strRef>
              <c:f>'Products x segment'!$B$177</c:f>
              <c:strCache>
                <c:ptCount val="1"/>
                <c:pt idx="0">
                  <c:v>400G</c:v>
                </c:pt>
              </c:strCache>
            </c:strRef>
          </c:tx>
          <c:cat>
            <c:numRef>
              <c:f>'Products x segment'!$C$117:$M$117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'Products x segment'!$C$204:$M$204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1"/>
          <c:extLst xmlns:c16r2="http://schemas.microsoft.com/office/drawing/2015/06/chart">
            <c:ext xmlns:c16="http://schemas.microsoft.com/office/drawing/2014/chart" uri="{C3380CC4-5D6E-409C-BE32-E72D297353CC}">
              <c16:uniqueId val="{00000002-3E9E-2A41-A048-1BB4A3C2CCD0}"/>
            </c:ext>
          </c:extLst>
        </c:ser>
        <c:dLbls>
          <c:showLegendKey val="0"/>
          <c:showVal val="0"/>
          <c:showCatName val="0"/>
          <c:showSerName val="0"/>
          <c:showPercent val="0"/>
          <c:showBubbleSize val="0"/>
        </c:dLbls>
        <c:marker val="1"/>
        <c:smooth val="0"/>
        <c:axId val="392609152"/>
        <c:axId val="392619136"/>
      </c:lineChart>
      <c:catAx>
        <c:axId val="392609152"/>
        <c:scaling>
          <c:orientation val="minMax"/>
        </c:scaling>
        <c:delete val="0"/>
        <c:axPos val="b"/>
        <c:numFmt formatCode="General" sourceLinked="1"/>
        <c:majorTickMark val="out"/>
        <c:minorTickMark val="none"/>
        <c:tickLblPos val="nextTo"/>
        <c:txPr>
          <a:bodyPr/>
          <a:lstStyle/>
          <a:p>
            <a:pPr>
              <a:defRPr sz="1200"/>
            </a:pPr>
            <a:endParaRPr lang="en-US"/>
          </a:p>
        </c:txPr>
        <c:crossAx val="392619136"/>
        <c:crosses val="autoZero"/>
        <c:auto val="1"/>
        <c:lblAlgn val="ctr"/>
        <c:lblOffset val="100"/>
        <c:noMultiLvlLbl val="0"/>
      </c:catAx>
      <c:valAx>
        <c:axId val="392619136"/>
        <c:scaling>
          <c:orientation val="minMax"/>
          <c:min val="0"/>
        </c:scaling>
        <c:delete val="0"/>
        <c:axPos val="l"/>
        <c:majorGridlines/>
        <c:numFmt formatCode="_(* #,##0_);_(* \(#,##0\);_(* &quot;-&quot;_);_(@_)" sourceLinked="0"/>
        <c:majorTickMark val="out"/>
        <c:minorTickMark val="none"/>
        <c:tickLblPos val="nextTo"/>
        <c:txPr>
          <a:bodyPr/>
          <a:lstStyle/>
          <a:p>
            <a:pPr>
              <a:defRPr sz="1200"/>
            </a:pPr>
            <a:endParaRPr lang="en-US"/>
          </a:p>
        </c:txPr>
        <c:crossAx val="392609152"/>
        <c:crosses val="autoZero"/>
        <c:crossBetween val="between"/>
      </c:valAx>
    </c:plotArea>
    <c:legend>
      <c:legendPos val="t"/>
      <c:layout>
        <c:manualLayout>
          <c:xMode val="edge"/>
          <c:yMode val="edge"/>
          <c:x val="0.27686376963660198"/>
          <c:y val="8.7706769225870604E-2"/>
          <c:w val="0.45610991810386187"/>
          <c:h val="8.5166676761283949E-2"/>
        </c:manualLayout>
      </c:layout>
      <c:overlay val="0"/>
      <c:txPr>
        <a:bodyPr/>
        <a:lstStyle/>
        <a:p>
          <a:pPr>
            <a:defRPr sz="1400"/>
          </a:pPr>
          <a:endParaRPr lang="en-US"/>
        </a:p>
      </c:txPr>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Shipments</a:t>
            </a:r>
          </a:p>
        </c:rich>
      </c:tx>
      <c:layout>
        <c:manualLayout>
          <c:xMode val="edge"/>
          <c:yMode val="edge"/>
          <c:x val="0.14590627930384811"/>
          <c:y val="0"/>
        </c:manualLayout>
      </c:layout>
      <c:overlay val="0"/>
    </c:title>
    <c:autoTitleDeleted val="0"/>
    <c:plotArea>
      <c:layout>
        <c:manualLayout>
          <c:layoutTarget val="inner"/>
          <c:xMode val="edge"/>
          <c:yMode val="edge"/>
          <c:x val="0.14557943247035801"/>
          <c:y val="0.20151665780560599"/>
          <c:w val="0.79045393169763201"/>
          <c:h val="0.70245151616369494"/>
        </c:manualLayout>
      </c:layout>
      <c:barChart>
        <c:barDir val="col"/>
        <c:grouping val="stacked"/>
        <c:varyColors val="0"/>
        <c:ser>
          <c:idx val="0"/>
          <c:order val="0"/>
          <c:tx>
            <c:strRef>
              <c:f>'Segment dashbd'!$D$28</c:f>
              <c:strCache>
                <c:ptCount val="1"/>
                <c:pt idx="0">
                  <c:v>Telecom</c:v>
                </c:pt>
              </c:strCache>
            </c:strRef>
          </c:tx>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dashbd'!$E$28:$O$28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DDE4-8746-9382-336A4B323254}"/>
            </c:ext>
          </c:extLst>
        </c:ser>
        <c:ser>
          <c:idx val="1"/>
          <c:order val="1"/>
          <c:tx>
            <c:strRef>
              <c:f>'Segment dashbd'!$D$29</c:f>
              <c:strCache>
                <c:ptCount val="1"/>
                <c:pt idx="0">
                  <c:v>Cloud</c:v>
                </c:pt>
              </c:strCache>
            </c:strRef>
          </c:tx>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dashbd'!$E$29:$O$29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DDE4-8746-9382-336A4B323254}"/>
            </c:ext>
          </c:extLst>
        </c:ser>
        <c:ser>
          <c:idx val="2"/>
          <c:order val="2"/>
          <c:tx>
            <c:strRef>
              <c:f>'Segment dashbd'!$D$30</c:f>
              <c:strCache>
                <c:ptCount val="1"/>
                <c:pt idx="0">
                  <c:v>Enterprise</c:v>
                </c:pt>
              </c:strCache>
            </c:strRef>
          </c:tx>
          <c:spPr>
            <a:ln>
              <a:prstDash val="solid"/>
            </a:ln>
          </c:spPr>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dashbd'!$E$30:$O$30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DDE4-8746-9382-336A4B323254}"/>
            </c:ext>
          </c:extLst>
        </c:ser>
        <c:dLbls>
          <c:showLegendKey val="0"/>
          <c:showVal val="0"/>
          <c:showCatName val="0"/>
          <c:showSerName val="0"/>
          <c:showPercent val="0"/>
          <c:showBubbleSize val="0"/>
        </c:dLbls>
        <c:gapWidth val="150"/>
        <c:overlap val="100"/>
        <c:axId val="229729024"/>
        <c:axId val="229730560"/>
      </c:barChart>
      <c:catAx>
        <c:axId val="229729024"/>
        <c:scaling>
          <c:orientation val="minMax"/>
        </c:scaling>
        <c:delete val="0"/>
        <c:axPos val="b"/>
        <c:numFmt formatCode="General" sourceLinked="1"/>
        <c:majorTickMark val="out"/>
        <c:minorTickMark val="none"/>
        <c:tickLblPos val="nextTo"/>
        <c:crossAx val="229730560"/>
        <c:crosses val="autoZero"/>
        <c:auto val="1"/>
        <c:lblAlgn val="ctr"/>
        <c:lblOffset val="100"/>
        <c:noMultiLvlLbl val="0"/>
      </c:catAx>
      <c:valAx>
        <c:axId val="229730560"/>
        <c:scaling>
          <c:orientation val="minMax"/>
        </c:scaling>
        <c:delete val="0"/>
        <c:axPos val="l"/>
        <c:majorGridlines/>
        <c:numFmt formatCode="_(* #,##0_);_(* \(#,##0\);_(* &quot;-&quot;??_);_(@_)" sourceLinked="1"/>
        <c:majorTickMark val="out"/>
        <c:minorTickMark val="none"/>
        <c:tickLblPos val="nextTo"/>
        <c:crossAx val="229729024"/>
        <c:crosses val="autoZero"/>
        <c:crossBetween val="between"/>
      </c:valAx>
    </c:plotArea>
    <c:legend>
      <c:legendPos val="t"/>
      <c:layout>
        <c:manualLayout>
          <c:xMode val="edge"/>
          <c:yMode val="edge"/>
          <c:x val="0.22768382410258001"/>
          <c:y val="0.12438275103306"/>
          <c:w val="0.51474038760639196"/>
          <c:h val="8.57760543179716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8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A.S.P.</a:t>
            </a:r>
          </a:p>
        </c:rich>
      </c:tx>
      <c:layout>
        <c:manualLayout>
          <c:xMode val="edge"/>
          <c:yMode val="edge"/>
          <c:x val="0.18270684135407197"/>
          <c:y val="1.6733909752838835E-2"/>
        </c:manualLayout>
      </c:layout>
      <c:overlay val="0"/>
    </c:title>
    <c:autoTitleDeleted val="0"/>
    <c:plotArea>
      <c:layout>
        <c:manualLayout>
          <c:layoutTarget val="inner"/>
          <c:xMode val="edge"/>
          <c:yMode val="edge"/>
          <c:x val="0.12412000232621299"/>
          <c:y val="0.200644653076478"/>
          <c:w val="0.81231907908617496"/>
          <c:h val="0.71908853436156694"/>
        </c:manualLayout>
      </c:layout>
      <c:lineChart>
        <c:grouping val="standard"/>
        <c:varyColors val="0"/>
        <c:ser>
          <c:idx val="0"/>
          <c:order val="0"/>
          <c:tx>
            <c:strRef>
              <c:f>'Segment dashbd'!$D$31</c:f>
              <c:strCache>
                <c:ptCount val="1"/>
                <c:pt idx="0">
                  <c:v>Telecom</c:v>
                </c:pt>
              </c:strCache>
            </c:strRef>
          </c:tx>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dashbd'!$E$31:$O$31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2154-0448-A77A-0A2A783CF554}"/>
            </c:ext>
          </c:extLst>
        </c:ser>
        <c:ser>
          <c:idx val="3"/>
          <c:order val="1"/>
          <c:tx>
            <c:strRef>
              <c:f>'Segment dashbd'!$D$32</c:f>
              <c:strCache>
                <c:ptCount val="1"/>
                <c:pt idx="0">
                  <c:v>Cloud</c:v>
                </c:pt>
              </c:strCache>
            </c:strRef>
          </c:tx>
          <c:spPr>
            <a:ln>
              <a:solidFill>
                <a:schemeClr val="accent2"/>
              </a:solidFill>
              <a:prstDash val="solid"/>
            </a:ln>
          </c:spPr>
          <c:marker>
            <c:symbol val="circle"/>
            <c:size val="7"/>
            <c:spPr>
              <a:noFill/>
            </c:spPr>
          </c:marker>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dashbd'!$E$32:$O$32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2154-0448-A77A-0A2A783CF554}"/>
            </c:ext>
          </c:extLst>
        </c:ser>
        <c:ser>
          <c:idx val="1"/>
          <c:order val="2"/>
          <c:tx>
            <c:strRef>
              <c:f>'Segment dashbd'!$D$33</c:f>
              <c:strCache>
                <c:ptCount val="1"/>
                <c:pt idx="0">
                  <c:v>Enterprise</c:v>
                </c:pt>
              </c:strCache>
            </c:strRef>
          </c:tx>
          <c:spPr>
            <a:ln>
              <a:solidFill>
                <a:schemeClr val="accent3">
                  <a:shade val="95000"/>
                  <a:satMod val="105000"/>
                </a:schemeClr>
              </a:solidFill>
            </a:ln>
          </c:spPr>
          <c:marker>
            <c:symbol val="none"/>
          </c:marker>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dashbd'!$E$33:$O$33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2154-0448-A77A-0A2A783CF554}"/>
            </c:ext>
          </c:extLst>
        </c:ser>
        <c:dLbls>
          <c:showLegendKey val="0"/>
          <c:showVal val="0"/>
          <c:showCatName val="0"/>
          <c:showSerName val="0"/>
          <c:showPercent val="0"/>
          <c:showBubbleSize val="0"/>
        </c:dLbls>
        <c:marker val="1"/>
        <c:smooth val="0"/>
        <c:axId val="391702400"/>
        <c:axId val="391703936"/>
      </c:lineChart>
      <c:catAx>
        <c:axId val="391702400"/>
        <c:scaling>
          <c:orientation val="minMax"/>
        </c:scaling>
        <c:delete val="0"/>
        <c:axPos val="b"/>
        <c:numFmt formatCode="General" sourceLinked="1"/>
        <c:majorTickMark val="out"/>
        <c:minorTickMark val="none"/>
        <c:tickLblPos val="nextTo"/>
        <c:crossAx val="391703936"/>
        <c:crosses val="autoZero"/>
        <c:auto val="1"/>
        <c:lblAlgn val="ctr"/>
        <c:lblOffset val="100"/>
        <c:noMultiLvlLbl val="0"/>
      </c:catAx>
      <c:valAx>
        <c:axId val="391703936"/>
        <c:scaling>
          <c:orientation val="minMax"/>
          <c:min val="0"/>
        </c:scaling>
        <c:delete val="0"/>
        <c:axPos val="l"/>
        <c:majorGridlines/>
        <c:numFmt formatCode="_(&quot;$&quot;* #,##0_);_(&quot;$&quot;* \(#,##0\);_(&quot;$&quot;* &quot;-&quot;??_);_(@_)" sourceLinked="1"/>
        <c:majorTickMark val="out"/>
        <c:minorTickMark val="none"/>
        <c:tickLblPos val="nextTo"/>
        <c:crossAx val="391702400"/>
        <c:crosses val="autoZero"/>
        <c:crossBetween val="between"/>
      </c:valAx>
    </c:plotArea>
    <c:legend>
      <c:legendPos val="t"/>
      <c:layout>
        <c:manualLayout>
          <c:xMode val="edge"/>
          <c:yMode val="edge"/>
          <c:x val="0.13352181165149901"/>
          <c:y val="0.12072227220067"/>
          <c:w val="0.74399625893939003"/>
          <c:h val="7.0693588469261395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a:pPr>
            <a:r>
              <a:rPr lang="en-US"/>
              <a:t>Revenues ($ million)</a:t>
            </a:r>
          </a:p>
        </c:rich>
      </c:tx>
      <c:layout>
        <c:manualLayout>
          <c:xMode val="edge"/>
          <c:yMode val="edge"/>
          <c:x val="9.7962290511595607E-2"/>
          <c:y val="1.2556049082617499E-2"/>
        </c:manualLayout>
      </c:layout>
      <c:overlay val="0"/>
    </c:title>
    <c:autoTitleDeleted val="0"/>
    <c:plotArea>
      <c:layout>
        <c:manualLayout>
          <c:layoutTarget val="inner"/>
          <c:xMode val="edge"/>
          <c:yMode val="edge"/>
          <c:x val="0.117818876028108"/>
          <c:y val="0.20350334990008201"/>
          <c:w val="0.82498461219682695"/>
          <c:h val="0.696675418213896"/>
        </c:manualLayout>
      </c:layout>
      <c:barChart>
        <c:barDir val="col"/>
        <c:grouping val="stacked"/>
        <c:varyColors val="0"/>
        <c:ser>
          <c:idx val="0"/>
          <c:order val="0"/>
          <c:tx>
            <c:strRef>
              <c:f>'Segment dashbd'!$D$34</c:f>
              <c:strCache>
                <c:ptCount val="1"/>
                <c:pt idx="0">
                  <c:v>Telecom</c:v>
                </c:pt>
              </c:strCache>
            </c:strRef>
          </c:tx>
          <c:spPr>
            <a:solidFill>
              <a:schemeClr val="accent1"/>
            </a:solidFill>
            <a:ln>
              <a:solidFill>
                <a:schemeClr val="accent1"/>
              </a:solidFill>
            </a:ln>
          </c:spPr>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dashbd'!$E$34:$O$34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0-4C9D-6441-9F1E-7323C098D936}"/>
            </c:ext>
          </c:extLst>
        </c:ser>
        <c:ser>
          <c:idx val="3"/>
          <c:order val="1"/>
          <c:tx>
            <c:strRef>
              <c:f>'Segment dashbd'!$D$35</c:f>
              <c:strCache>
                <c:ptCount val="1"/>
                <c:pt idx="0">
                  <c:v>Cloud</c:v>
                </c:pt>
              </c:strCache>
            </c:strRef>
          </c:tx>
          <c:spPr>
            <a:solidFill>
              <a:schemeClr val="accent2"/>
            </a:solidFill>
            <a:ln>
              <a:solidFill>
                <a:schemeClr val="accent2"/>
              </a:solidFill>
              <a:prstDash val="solid"/>
            </a:ln>
          </c:spPr>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dashbd'!$E$35:$O$35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4C9D-6441-9F1E-7323C098D936}"/>
            </c:ext>
          </c:extLst>
        </c:ser>
        <c:ser>
          <c:idx val="1"/>
          <c:order val="2"/>
          <c:tx>
            <c:strRef>
              <c:f>'Segment dashbd'!$D$36</c:f>
              <c:strCache>
                <c:ptCount val="1"/>
                <c:pt idx="0">
                  <c:v>Enterprise</c:v>
                </c:pt>
              </c:strCache>
            </c:strRef>
          </c:tx>
          <c:spPr>
            <a:solidFill>
              <a:schemeClr val="accent3"/>
            </a:solidFill>
            <a:ln>
              <a:solidFill>
                <a:schemeClr val="accent3"/>
              </a:solidFill>
            </a:ln>
          </c:spPr>
          <c:invertIfNegative val="0"/>
          <c:cat>
            <c:numRef>
              <c:f>'Segment dashbd'!$E$27:$O$27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'Segment dashbd'!$E$36:$O$36</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2-4C9D-6441-9F1E-7323C098D936}"/>
            </c:ext>
          </c:extLst>
        </c:ser>
        <c:dLbls>
          <c:showLegendKey val="0"/>
          <c:showVal val="0"/>
          <c:showCatName val="0"/>
          <c:showSerName val="0"/>
          <c:showPercent val="0"/>
          <c:showBubbleSize val="0"/>
        </c:dLbls>
        <c:gapWidth val="150"/>
        <c:overlap val="100"/>
        <c:axId val="336616064"/>
        <c:axId val="336638336"/>
      </c:barChart>
      <c:catAx>
        <c:axId val="336616064"/>
        <c:scaling>
          <c:orientation val="minMax"/>
        </c:scaling>
        <c:delete val="0"/>
        <c:axPos val="b"/>
        <c:numFmt formatCode="General" sourceLinked="1"/>
        <c:majorTickMark val="out"/>
        <c:minorTickMark val="none"/>
        <c:tickLblPos val="nextTo"/>
        <c:crossAx val="336638336"/>
        <c:crosses val="autoZero"/>
        <c:auto val="1"/>
        <c:lblAlgn val="ctr"/>
        <c:lblOffset val="100"/>
        <c:noMultiLvlLbl val="0"/>
      </c:catAx>
      <c:valAx>
        <c:axId val="336638336"/>
        <c:scaling>
          <c:orientation val="minMax"/>
        </c:scaling>
        <c:delete val="0"/>
        <c:axPos val="l"/>
        <c:majorGridlines/>
        <c:numFmt formatCode="&quot;$&quot;#,##0" sourceLinked="0"/>
        <c:majorTickMark val="out"/>
        <c:minorTickMark val="none"/>
        <c:tickLblPos val="nextTo"/>
        <c:crossAx val="336616064"/>
        <c:crosses val="autoZero"/>
        <c:crossBetween val="between"/>
      </c:valAx>
    </c:plotArea>
    <c:legend>
      <c:legendPos val="t"/>
      <c:layout>
        <c:manualLayout>
          <c:xMode val="edge"/>
          <c:yMode val="edge"/>
          <c:x val="0.25419338900863514"/>
          <c:y val="0.12415827481806081"/>
          <c:w val="0.58828691260930199"/>
          <c:h val="8.5814498710450896E-2"/>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66909917581493"/>
          <c:y val="8.2581983937649331E-2"/>
          <c:w val="0.80056916459295702"/>
          <c:h val="0.83145695333175107"/>
        </c:manualLayout>
      </c:layout>
      <c:barChart>
        <c:barDir val="col"/>
        <c:grouping val="stacked"/>
        <c:varyColors val="0"/>
        <c:ser>
          <c:idx val="0"/>
          <c:order val="0"/>
          <c:tx>
            <c:strRef>
              <c:f>'112 Adoption'!$B$30</c:f>
              <c:strCache>
                <c:ptCount val="1"/>
                <c:pt idx="0">
                  <c:v>100G QSFP28</c:v>
                </c:pt>
              </c:strCache>
            </c:strRef>
          </c:tx>
          <c:spPr>
            <a:solidFill>
              <a:schemeClr val="accent1"/>
            </a:solidFill>
            <a:ln>
              <a:noFill/>
            </a:ln>
            <a:effectLst/>
          </c:spPr>
          <c:invertIfNegative val="0"/>
          <c:cat>
            <c:numRef>
              <c:f>'112 Adoption'!$C$29:$L$29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'112 Adoption'!$C$30:$L$30</c:f>
              <c:numCache>
                <c:formatCode>_(* #,##0_);_(* \(#,##0\);_(* "-"??_);_(@_)</c:formatCode>
                <c:ptCount val="10"/>
                <c:pt idx="0">
                  <c:v>370501</c:v>
                </c:pt>
                <c:pt idx="1">
                  <c:v>985144</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B57-9941-B42E-300DD673EA5D}"/>
            </c:ext>
          </c:extLst>
        </c:ser>
        <c:ser>
          <c:idx val="1"/>
          <c:order val="1"/>
          <c:tx>
            <c:strRef>
              <c:f>'112 Adoption'!$B$31</c:f>
              <c:strCache>
                <c:ptCount val="1"/>
                <c:pt idx="0">
                  <c:v>100G SFP112</c:v>
                </c:pt>
              </c:strCache>
            </c:strRef>
          </c:tx>
          <c:spPr>
            <a:solidFill>
              <a:schemeClr val="accent2"/>
            </a:solidFill>
            <a:ln>
              <a:noFill/>
            </a:ln>
            <a:effectLst/>
          </c:spPr>
          <c:invertIfNegative val="0"/>
          <c:cat>
            <c:numRef>
              <c:f>'112 Adoption'!$C$29:$L$29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'112 Adoption'!$C$31:$L$31</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57-9941-B42E-300DD673EA5D}"/>
            </c:ext>
          </c:extLst>
        </c:ser>
        <c:dLbls>
          <c:showLegendKey val="0"/>
          <c:showVal val="0"/>
          <c:showCatName val="0"/>
          <c:showSerName val="0"/>
          <c:showPercent val="0"/>
          <c:showBubbleSize val="0"/>
        </c:dLbls>
        <c:gapWidth val="150"/>
        <c:overlap val="100"/>
        <c:axId val="336694272"/>
        <c:axId val="336700160"/>
      </c:barChart>
      <c:catAx>
        <c:axId val="336694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n-US"/>
          </a:p>
        </c:txPr>
        <c:crossAx val="336700160"/>
        <c:crosses val="autoZero"/>
        <c:auto val="1"/>
        <c:lblAlgn val="ctr"/>
        <c:lblOffset val="100"/>
        <c:noMultiLvlLbl val="0"/>
      </c:catAx>
      <c:valAx>
        <c:axId val="336700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4763473006121557E-2"/>
              <c:y val="0.29415371837820481"/>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336694272"/>
        <c:crosses val="autoZero"/>
        <c:crossBetween val="between"/>
        <c:majorUnit val="5000000"/>
      </c:valAx>
      <c:spPr>
        <a:noFill/>
        <a:ln>
          <a:noFill/>
        </a:ln>
        <a:effectLst/>
      </c:spPr>
    </c:plotArea>
    <c:legend>
      <c:legendPos val="b"/>
      <c:layout>
        <c:manualLayout>
          <c:xMode val="edge"/>
          <c:yMode val="edge"/>
          <c:x val="0.18984843551388503"/>
          <c:y val="0.12775113019022094"/>
          <c:w val="0.46237687010590256"/>
          <c:h val="9.5845008916752891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99455050571854"/>
          <c:y val="7.8421321916405162E-2"/>
          <c:w val="0.80524360070074441"/>
          <c:h val="0.83561762868904732"/>
        </c:manualLayout>
      </c:layout>
      <c:barChart>
        <c:barDir val="col"/>
        <c:grouping val="stacked"/>
        <c:varyColors val="0"/>
        <c:ser>
          <c:idx val="0"/>
          <c:order val="0"/>
          <c:tx>
            <c:strRef>
              <c:f>'112 Adoption'!$O$30</c:f>
              <c:strCache>
                <c:ptCount val="1"/>
                <c:pt idx="0">
                  <c:v>400G QSFP-DD/OSFP</c:v>
                </c:pt>
              </c:strCache>
            </c:strRef>
          </c:tx>
          <c:spPr>
            <a:solidFill>
              <a:schemeClr val="accent1"/>
            </a:solidFill>
            <a:ln>
              <a:noFill/>
            </a:ln>
            <a:effectLst/>
          </c:spPr>
          <c:invertIfNegative val="0"/>
          <c:cat>
            <c:numRef>
              <c:f>'112 Adoption'!$P$29:$Y$29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'112 Adoption'!$P$30:$Y$30</c:f>
              <c:numCache>
                <c:formatCode>_(* #,##0_);_(* \(#,##0\);_(* "-"??_);_(@_)</c:formatCode>
                <c:ptCount val="10"/>
                <c:pt idx="0">
                  <c:v>0</c:v>
                </c:pt>
                <c:pt idx="1">
                  <c:v>89</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4441-D04E-AC2F-F514AB5AB329}"/>
            </c:ext>
          </c:extLst>
        </c:ser>
        <c:ser>
          <c:idx val="1"/>
          <c:order val="1"/>
          <c:tx>
            <c:strRef>
              <c:f>'112 Adoption'!$O$31</c:f>
              <c:strCache>
                <c:ptCount val="1"/>
                <c:pt idx="0">
                  <c:v>400G QSFP112</c:v>
                </c:pt>
              </c:strCache>
            </c:strRef>
          </c:tx>
          <c:spPr>
            <a:solidFill>
              <a:schemeClr val="accent2"/>
            </a:solidFill>
            <a:ln>
              <a:noFill/>
            </a:ln>
            <a:effectLst/>
          </c:spPr>
          <c:invertIfNegative val="0"/>
          <c:cat>
            <c:numRef>
              <c:f>'112 Adoption'!$P$29:$Y$29</c:f>
              <c:numCache>
                <c:formatCode>General</c:formatCode>
                <c:ptCount val="10"/>
                <c:pt idx="0">
                  <c:v>2016</c:v>
                </c:pt>
                <c:pt idx="1">
                  <c:v>2017</c:v>
                </c:pt>
                <c:pt idx="2">
                  <c:v>2018</c:v>
                </c:pt>
                <c:pt idx="3">
                  <c:v>2019</c:v>
                </c:pt>
                <c:pt idx="4">
                  <c:v>2020</c:v>
                </c:pt>
                <c:pt idx="5">
                  <c:v>2021</c:v>
                </c:pt>
                <c:pt idx="6">
                  <c:v>2022</c:v>
                </c:pt>
                <c:pt idx="7">
                  <c:v>2023</c:v>
                </c:pt>
                <c:pt idx="8">
                  <c:v>2024</c:v>
                </c:pt>
                <c:pt idx="9">
                  <c:v>2025</c:v>
                </c:pt>
              </c:numCache>
            </c:numRef>
          </c:cat>
          <c:val>
            <c:numRef>
              <c:f>'112 Adoption'!$P$31:$Y$31</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441-D04E-AC2F-F514AB5AB329}"/>
            </c:ext>
          </c:extLst>
        </c:ser>
        <c:dLbls>
          <c:showLegendKey val="0"/>
          <c:showVal val="0"/>
          <c:showCatName val="0"/>
          <c:showSerName val="0"/>
          <c:showPercent val="0"/>
          <c:showBubbleSize val="0"/>
        </c:dLbls>
        <c:gapWidth val="150"/>
        <c:overlap val="100"/>
        <c:axId val="336734848"/>
        <c:axId val="391721344"/>
      </c:barChart>
      <c:catAx>
        <c:axId val="33673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391721344"/>
        <c:crosses val="autoZero"/>
        <c:auto val="1"/>
        <c:lblAlgn val="ctr"/>
        <c:lblOffset val="100"/>
        <c:noMultiLvlLbl val="0"/>
      </c:catAx>
      <c:valAx>
        <c:axId val="391721344"/>
        <c:scaling>
          <c:orientation val="minMax"/>
          <c:max val="100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sz="1200">
                    <a:solidFill>
                      <a:schemeClr val="tx1"/>
                    </a:solidFill>
                  </a:rPr>
                  <a:t>Shipments (Units)</a:t>
                </a:r>
              </a:p>
            </c:rich>
          </c:tx>
          <c:layout>
            <c:manualLayout>
              <c:xMode val="edge"/>
              <c:yMode val="edge"/>
              <c:x val="1.8733305876996963E-2"/>
              <c:y val="0.28345673683355288"/>
            </c:manualLayout>
          </c:layout>
          <c:overlay val="0"/>
          <c:spPr>
            <a:noFill/>
            <a:ln>
              <a:noFill/>
            </a:ln>
            <a:effectLst/>
          </c:sp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336734848"/>
        <c:crosses val="autoZero"/>
        <c:crossBetween val="between"/>
        <c:majorUnit val="2000000"/>
      </c:valAx>
      <c:spPr>
        <a:noFill/>
        <a:ln>
          <a:noFill/>
        </a:ln>
        <a:effectLst/>
      </c:spPr>
    </c:plotArea>
    <c:legend>
      <c:legendPos val="b"/>
      <c:layout>
        <c:manualLayout>
          <c:xMode val="edge"/>
          <c:yMode val="edge"/>
          <c:x val="0.17626273340659526"/>
          <c:y val="0.12413337051698345"/>
          <c:w val="0.5493001622789454"/>
          <c:h val="8.1496837829758792E-2"/>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20444220965404"/>
          <c:y val="4.2576823283780083E-2"/>
          <c:w val="0.82990573043615401"/>
          <c:h val="0.86369945362657075"/>
        </c:manualLayout>
      </c:layout>
      <c:lineChart>
        <c:grouping val="standard"/>
        <c:varyColors val="0"/>
        <c:ser>
          <c:idx val="0"/>
          <c:order val="0"/>
          <c:tx>
            <c:strRef>
              <c:f>Summary!$B$514</c:f>
              <c:strCache>
                <c:ptCount val="1"/>
                <c:pt idx="0">
                  <c:v>100-300 m</c:v>
                </c:pt>
              </c:strCache>
            </c:strRef>
          </c:tx>
          <c:cat>
            <c:numRef>
              <c:f>Summary!$C$513:$M$513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Summary!$C$514:$M$514</c:f>
              <c:numCache>
                <c:formatCode>_(* #,##0_);_(* \(#,##0\);_(* "-"??_);_(@_)</c:formatCode>
                <c:ptCount val="11"/>
                <c:pt idx="0">
                  <c:v>299241</c:v>
                </c:pt>
                <c:pt idx="1">
                  <c:v>631974</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0-9E04-0644-8AC4-A7C4A005F587}"/>
            </c:ext>
          </c:extLst>
        </c:ser>
        <c:ser>
          <c:idx val="1"/>
          <c:order val="1"/>
          <c:tx>
            <c:strRef>
              <c:f>Summary!$B$515</c:f>
              <c:strCache>
                <c:ptCount val="1"/>
                <c:pt idx="0">
                  <c:v>500 m</c:v>
                </c:pt>
              </c:strCache>
            </c:strRef>
          </c:tx>
          <c:spPr>
            <a:ln>
              <a:solidFill>
                <a:schemeClr val="accent4"/>
              </a:solidFill>
            </a:ln>
          </c:spPr>
          <c:marker>
            <c:symbol val="square"/>
            <c:size val="5"/>
            <c:spPr>
              <a:solidFill>
                <a:schemeClr val="accent4"/>
              </a:solidFill>
              <a:ln>
                <a:solidFill>
                  <a:schemeClr val="accent4"/>
                </a:solidFill>
              </a:ln>
            </c:spPr>
          </c:marker>
          <c:cat>
            <c:numRef>
              <c:f>Summary!$C$513:$M$513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Summary!$C$515:$M$515</c:f>
              <c:numCache>
                <c:formatCode>_(* #,##0_);_(* \(#,##0\);_(* "-"??_);_(@_)</c:formatCode>
                <c:ptCount val="11"/>
                <c:pt idx="0">
                  <c:v>289061.59999999998</c:v>
                </c:pt>
                <c:pt idx="1">
                  <c:v>1393450.1</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1-9E04-0644-8AC4-A7C4A005F587}"/>
            </c:ext>
          </c:extLst>
        </c:ser>
        <c:ser>
          <c:idx val="4"/>
          <c:order val="2"/>
          <c:tx>
            <c:strRef>
              <c:f>Summary!$B$516</c:f>
              <c:strCache>
                <c:ptCount val="1"/>
                <c:pt idx="0">
                  <c:v>2 km</c:v>
                </c:pt>
              </c:strCache>
            </c:strRef>
          </c:tx>
          <c:cat>
            <c:numRef>
              <c:f>Summary!$C$513:$M$513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Summary!$C$516:$M$516</c:f>
              <c:numCache>
                <c:formatCode>_(* #,##0_);_(* \(#,##0\);_(* "-"??_);_(@_)</c:formatCode>
                <c:ptCount val="11"/>
                <c:pt idx="0">
                  <c:v>30989.399999999994</c:v>
                </c:pt>
                <c:pt idx="1">
                  <c:v>292890.90000000002</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2-9E04-0644-8AC4-A7C4A005F587}"/>
            </c:ext>
          </c:extLst>
        </c:ser>
        <c:ser>
          <c:idx val="2"/>
          <c:order val="3"/>
          <c:tx>
            <c:strRef>
              <c:f>Summary!$B$517</c:f>
              <c:strCache>
                <c:ptCount val="1"/>
                <c:pt idx="0">
                  <c:v>10-20 km</c:v>
                </c:pt>
              </c:strCache>
            </c:strRef>
          </c:tx>
          <c:spPr>
            <a:ln>
              <a:solidFill>
                <a:schemeClr val="accent2"/>
              </a:solidFill>
            </a:ln>
          </c:spPr>
          <c:marker>
            <c:spPr>
              <a:solidFill>
                <a:schemeClr val="accent2"/>
              </a:solidFill>
              <a:ln>
                <a:solidFill>
                  <a:schemeClr val="accent2"/>
                </a:solidFill>
              </a:ln>
            </c:spPr>
          </c:marker>
          <c:cat>
            <c:numRef>
              <c:f>Summary!$C$513:$M$513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Summary!$C$517:$M$517</c:f>
              <c:numCache>
                <c:formatCode>_(* #,##0_);_(* \(#,##0\);_(* "-"??_);_(@_)</c:formatCode>
                <c:ptCount val="11"/>
                <c:pt idx="0">
                  <c:v>292622</c:v>
                </c:pt>
                <c:pt idx="1">
                  <c:v>552903</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3-9E04-0644-8AC4-A7C4A005F587}"/>
            </c:ext>
          </c:extLst>
        </c:ser>
        <c:ser>
          <c:idx val="3"/>
          <c:order val="4"/>
          <c:tx>
            <c:strRef>
              <c:f>Summary!$B$518</c:f>
              <c:strCache>
                <c:ptCount val="1"/>
                <c:pt idx="0">
                  <c:v>40 km</c:v>
                </c:pt>
              </c:strCache>
            </c:strRef>
          </c:tx>
          <c:spPr>
            <a:ln>
              <a:solidFill>
                <a:schemeClr val="accent3"/>
              </a:solidFill>
            </a:ln>
          </c:spPr>
          <c:marker>
            <c:spPr>
              <a:solidFill>
                <a:schemeClr val="accent3"/>
              </a:solidFill>
              <a:ln>
                <a:solidFill>
                  <a:schemeClr val="accent3"/>
                </a:solidFill>
              </a:ln>
            </c:spPr>
          </c:marker>
          <c:cat>
            <c:numRef>
              <c:f>Summary!$C$513:$M$513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Summary!$C$518:$M$518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xmlns:c16r2="http://schemas.microsoft.com/office/drawing/2015/06/chart">
            <c:ext xmlns:c16="http://schemas.microsoft.com/office/drawing/2014/chart" uri="{C3380CC4-5D6E-409C-BE32-E72D297353CC}">
              <c16:uniqueId val="{00000004-9E04-0644-8AC4-A7C4A005F587}"/>
            </c:ext>
          </c:extLst>
        </c:ser>
        <c:dLbls>
          <c:showLegendKey val="0"/>
          <c:showVal val="0"/>
          <c:showCatName val="0"/>
          <c:showSerName val="0"/>
          <c:showPercent val="0"/>
          <c:showBubbleSize val="0"/>
        </c:dLbls>
        <c:marker val="1"/>
        <c:smooth val="0"/>
        <c:axId val="230455168"/>
        <c:axId val="230469632"/>
      </c:lineChart>
      <c:catAx>
        <c:axId val="230455168"/>
        <c:scaling>
          <c:orientation val="minMax"/>
        </c:scaling>
        <c:delete val="0"/>
        <c:axPos val="b"/>
        <c:numFmt formatCode="General" sourceLinked="1"/>
        <c:majorTickMark val="out"/>
        <c:minorTickMark val="none"/>
        <c:tickLblPos val="nextTo"/>
        <c:txPr>
          <a:bodyPr/>
          <a:lstStyle/>
          <a:p>
            <a:pPr>
              <a:defRPr sz="1200"/>
            </a:pPr>
            <a:endParaRPr lang="en-US"/>
          </a:p>
        </c:txPr>
        <c:crossAx val="230469632"/>
        <c:crosses val="autoZero"/>
        <c:auto val="1"/>
        <c:lblAlgn val="ctr"/>
        <c:lblOffset val="100"/>
        <c:noMultiLvlLbl val="0"/>
      </c:catAx>
      <c:valAx>
        <c:axId val="230469632"/>
        <c:scaling>
          <c:orientation val="minMax"/>
          <c:min val="0"/>
        </c:scaling>
        <c:delete val="0"/>
        <c:axPos val="l"/>
        <c:majorGridlines/>
        <c:title>
          <c:tx>
            <c:rich>
              <a:bodyPr rot="-5400000" vert="horz"/>
              <a:lstStyle/>
              <a:p>
                <a:pPr>
                  <a:defRPr sz="1400"/>
                </a:pPr>
                <a:r>
                  <a:rPr lang="en-US" sz="1400"/>
                  <a:t>Annual shipments</a:t>
                </a:r>
              </a:p>
            </c:rich>
          </c:tx>
          <c:layout>
            <c:manualLayout>
              <c:xMode val="edge"/>
              <c:yMode val="edge"/>
              <c:x val="5.5104941984517476E-3"/>
              <c:y val="0.25582951509513407"/>
            </c:manualLayout>
          </c:layout>
          <c:overlay val="0"/>
        </c:title>
        <c:numFmt formatCode="_(* #,##0_);_(* \(#,##0\);_(* &quot;-&quot;??_);_(@_)" sourceLinked="1"/>
        <c:majorTickMark val="out"/>
        <c:minorTickMark val="none"/>
        <c:tickLblPos val="nextTo"/>
        <c:txPr>
          <a:bodyPr/>
          <a:lstStyle/>
          <a:p>
            <a:pPr>
              <a:defRPr sz="1100"/>
            </a:pPr>
            <a:endParaRPr lang="en-US"/>
          </a:p>
        </c:txPr>
        <c:crossAx val="230455168"/>
        <c:crosses val="autoZero"/>
        <c:crossBetween val="between"/>
        <c:minorUnit val="40000"/>
      </c:valAx>
    </c:plotArea>
    <c:legend>
      <c:legendPos val="t"/>
      <c:layout>
        <c:manualLayout>
          <c:xMode val="edge"/>
          <c:yMode val="edge"/>
          <c:x val="0.17928129305815713"/>
          <c:y val="7.9943114359348505E-2"/>
          <c:w val="0.22142727421019531"/>
          <c:h val="0.39017012222916386"/>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a:t>
            </a:r>
          </a:p>
          <a:p>
            <a:pPr>
              <a:defRPr/>
            </a:pPr>
            <a:r>
              <a:rPr lang="en-US" sz="1600" b="0"/>
              <a:t>(linear scale)</a:t>
            </a:r>
          </a:p>
        </c:rich>
      </c:tx>
      <c:layout/>
      <c:overlay val="0"/>
    </c:title>
    <c:autoTitleDeleted val="0"/>
    <c:plotArea>
      <c:layout/>
      <c:lineChart>
        <c:grouping val="standard"/>
        <c:varyColors val="0"/>
        <c:ser>
          <c:idx val="1"/>
          <c:order val="0"/>
          <c:tx>
            <c:strRef>
              <c:f>'Cost per Gbps'!$D$35</c:f>
              <c:strCache>
                <c:ptCount val="1"/>
                <c:pt idx="0">
                  <c:v>1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Gbps'!$E$35:$U$35</c:f>
              <c:numCache>
                <c:formatCode>_("$"* #,##0_);_("$"* \(#,##0\);_("$"* "-"??_);_(@_)</c:formatCode>
                <c:ptCount val="17"/>
                <c:pt idx="0">
                  <c:v>22.693702827821532</c:v>
                </c:pt>
                <c:pt idx="1">
                  <c:v>19.293096563473824</c:v>
                </c:pt>
                <c:pt idx="2">
                  <c:v>18.103114071743498</c:v>
                </c:pt>
                <c:pt idx="3">
                  <c:v>16.178886053917275</c:v>
                </c:pt>
                <c:pt idx="4">
                  <c:v>14.755270803079455</c:v>
                </c:pt>
                <c:pt idx="5">
                  <c:v>14.157915068774409</c:v>
                </c:pt>
                <c:pt idx="6">
                  <c:v>11.362900504713087</c:v>
                </c:pt>
                <c:pt idx="7">
                  <c:v>9.8128791971601554</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476F-BB45-9EB4-52EF862F6C10}"/>
            </c:ext>
          </c:extLst>
        </c:ser>
        <c:ser>
          <c:idx val="2"/>
          <c:order val="1"/>
          <c:tx>
            <c:strRef>
              <c:f>'Cost per Gbps'!$D$36</c:f>
              <c:strCache>
                <c:ptCount val="1"/>
                <c:pt idx="0">
                  <c:v>10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Gbps'!$E$36:$U$36</c:f>
              <c:numCache>
                <c:formatCode>_("$"* #,##0_);_("$"* \(#,##0\);_("$"* "-"??_);_(@_)</c:formatCode>
                <c:ptCount val="17"/>
                <c:pt idx="0">
                  <c:v>9.8825247570260242</c:v>
                </c:pt>
                <c:pt idx="1">
                  <c:v>7.5412691899358517</c:v>
                </c:pt>
                <c:pt idx="2">
                  <c:v>6.7189149239794101</c:v>
                </c:pt>
                <c:pt idx="3">
                  <c:v>5.2861169818853488</c:v>
                </c:pt>
                <c:pt idx="4">
                  <c:v>4.5280339113800467</c:v>
                </c:pt>
                <c:pt idx="5">
                  <c:v>3.897031950093071</c:v>
                </c:pt>
                <c:pt idx="6">
                  <c:v>3.1803504158563904</c:v>
                </c:pt>
                <c:pt idx="7">
                  <c:v>2.439730741307288</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1-476F-BB45-9EB4-52EF862F6C10}"/>
            </c:ext>
          </c:extLst>
        </c:ser>
        <c:ser>
          <c:idx val="5"/>
          <c:order val="2"/>
          <c:tx>
            <c:strRef>
              <c:f>'Cost per Gbps'!$D$37</c:f>
              <c:strCache>
                <c:ptCount val="1"/>
                <c:pt idx="0">
                  <c:v>25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Gbps'!$E$37:$U$37</c:f>
              <c:numCache>
                <c:formatCode>_("$"* #,##0_);_("$"* \(#,##0\);_("$"* "-"??_);_(@_)</c:formatCode>
                <c:ptCount val="17"/>
                <c:pt idx="6">
                  <c:v>11.671989054215837</c:v>
                </c:pt>
                <c:pt idx="7">
                  <c:v>6.7722873832058497</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2-476F-BB45-9EB4-52EF862F6C10}"/>
            </c:ext>
          </c:extLst>
        </c:ser>
        <c:ser>
          <c:idx val="3"/>
          <c:order val="3"/>
          <c:tx>
            <c:strRef>
              <c:f>'Cost per Gbps'!$D$38</c:f>
              <c:strCache>
                <c:ptCount val="1"/>
                <c:pt idx="0">
                  <c:v>40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Gbps'!$E$38:$S$38</c:f>
              <c:numCache>
                <c:formatCode>_("$"* #,##0_);_("$"* \(#,##0\);_("$"* "-"??_);_(@_)</c:formatCode>
                <c:ptCount val="15"/>
                <c:pt idx="0">
                  <c:v>46.557521763382681</c:v>
                </c:pt>
                <c:pt idx="1">
                  <c:v>11.176711108652357</c:v>
                </c:pt>
                <c:pt idx="2">
                  <c:v>12.879950952573868</c:v>
                </c:pt>
                <c:pt idx="3">
                  <c:v>11.167363674734627</c:v>
                </c:pt>
                <c:pt idx="4">
                  <c:v>7.3590573700709259</c:v>
                </c:pt>
                <c:pt idx="5">
                  <c:v>6.2327425657156015</c:v>
                </c:pt>
                <c:pt idx="6">
                  <c:v>6.2473515491273455</c:v>
                </c:pt>
                <c:pt idx="7">
                  <c:v>5.850414550912757</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3-476F-BB45-9EB4-52EF862F6C10}"/>
            </c:ext>
          </c:extLst>
        </c:ser>
        <c:ser>
          <c:idx val="7"/>
          <c:order val="4"/>
          <c:tx>
            <c:strRef>
              <c:f>'Cost per Gbps'!$D$39</c:f>
              <c:strCache>
                <c:ptCount val="1"/>
                <c:pt idx="0">
                  <c:v>50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Gbps'!$E$39:$S$39</c:f>
              <c:numCache>
                <c:formatCode>_("$"* #,##0_);_("$"* \(#,##0\);_("$"* "-"??_);_(@_)</c:formatCode>
                <c:ptCount val="15"/>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4-476F-BB45-9EB4-52EF862F6C10}"/>
            </c:ext>
          </c:extLst>
        </c:ser>
        <c:ser>
          <c:idx val="4"/>
          <c:order val="5"/>
          <c:tx>
            <c:strRef>
              <c:f>'Cost per Gbps'!$D$40</c:f>
              <c:strCache>
                <c:ptCount val="1"/>
                <c:pt idx="0">
                  <c:v>100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Gbps'!$E$40:$U$40</c:f>
              <c:numCache>
                <c:formatCode>_("$"* #,##0_);_("$"* \(#,##0\);_("$"* "-"??_);_(@_)</c:formatCode>
                <c:ptCount val="17"/>
                <c:pt idx="0">
                  <c:v>262.22519083969468</c:v>
                </c:pt>
                <c:pt idx="1">
                  <c:v>223.61202964182792</c:v>
                </c:pt>
                <c:pt idx="2">
                  <c:v>118.45667534287716</c:v>
                </c:pt>
                <c:pt idx="3">
                  <c:v>80.594856591909462</c:v>
                </c:pt>
                <c:pt idx="4">
                  <c:v>55.871254639091049</c:v>
                </c:pt>
                <c:pt idx="5">
                  <c:v>31.55152277583019</c:v>
                </c:pt>
                <c:pt idx="6">
                  <c:v>12.434155600788019</c:v>
                </c:pt>
                <c:pt idx="7">
                  <c:v>5.7399969875798753</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5-476F-BB45-9EB4-52EF862F6C10}"/>
            </c:ext>
          </c:extLst>
        </c:ser>
        <c:ser>
          <c:idx val="8"/>
          <c:order val="6"/>
          <c:tx>
            <c:strRef>
              <c:f>'Cost per Gbps'!$D$41</c:f>
              <c:strCache>
                <c:ptCount val="1"/>
                <c:pt idx="0">
                  <c:v>200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Gbps'!$E$41:$U$41</c:f>
              <c:numCache>
                <c:formatCode>_("$"* #,##0_);_("$"* \(#,##0\);_("$"* "-"??_);_(@_)</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6-476F-BB45-9EB4-52EF862F6C10}"/>
            </c:ext>
          </c:extLst>
        </c:ser>
        <c:ser>
          <c:idx val="0"/>
          <c:order val="7"/>
          <c:tx>
            <c:strRef>
              <c:f>'Cost per Gbps'!$D$42</c:f>
              <c:strCache>
                <c:ptCount val="1"/>
                <c:pt idx="0">
                  <c:v>400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Gbps'!$E$42:$U$42</c:f>
              <c:numCache>
                <c:formatCode>_("$"* #,##0_);_("$"* \(#,##0\);_("$"* "-"??_);_(@_)</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84A9-1B4A-9B5E-0BCCAF04E2DC}"/>
            </c:ext>
          </c:extLst>
        </c:ser>
        <c:ser>
          <c:idx val="6"/>
          <c:order val="8"/>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Gbps'!$E$43:$U$43</c:f>
              <c:numCache>
                <c:formatCode>_("$"* #,##0_);_("$"* \(#,##0\);_("$"* "-"??_);_(@_)</c:formatCode>
                <c:ptCount val="17"/>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D9F2-7E40-947D-B4389C7322BD}"/>
            </c:ext>
          </c:extLst>
        </c:ser>
        <c:dLbls>
          <c:showLegendKey val="0"/>
          <c:showVal val="0"/>
          <c:showCatName val="0"/>
          <c:showSerName val="0"/>
          <c:showPercent val="0"/>
          <c:showBubbleSize val="0"/>
        </c:dLbls>
        <c:marker val="1"/>
        <c:smooth val="0"/>
        <c:axId val="393591424"/>
        <c:axId val="393605504"/>
      </c:lineChart>
      <c:catAx>
        <c:axId val="393591424"/>
        <c:scaling>
          <c:orientation val="minMax"/>
        </c:scaling>
        <c:delete val="0"/>
        <c:axPos val="b"/>
        <c:numFmt formatCode="General" sourceLinked="1"/>
        <c:majorTickMark val="out"/>
        <c:minorTickMark val="none"/>
        <c:tickLblPos val="nextTo"/>
        <c:crossAx val="393605504"/>
        <c:crosses val="autoZero"/>
        <c:auto val="1"/>
        <c:lblAlgn val="ctr"/>
        <c:lblOffset val="100"/>
        <c:noMultiLvlLbl val="0"/>
      </c:catAx>
      <c:valAx>
        <c:axId val="393605504"/>
        <c:scaling>
          <c:orientation val="minMax"/>
          <c:max val="30"/>
        </c:scaling>
        <c:delete val="0"/>
        <c:axPos val="l"/>
        <c:majorGridlines/>
        <c:numFmt formatCode="_(&quot;$&quot;* #,##0_);_(&quot;$&quot;* \(#,##0\);_(&quot;$&quot;* &quot;-&quot;??_);_(@_)" sourceLinked="1"/>
        <c:majorTickMark val="out"/>
        <c:minorTickMark val="none"/>
        <c:tickLblPos val="nextTo"/>
        <c:crossAx val="39359142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 </a:t>
            </a:r>
          </a:p>
          <a:p>
            <a:pPr>
              <a:defRPr/>
            </a:pPr>
            <a:r>
              <a:rPr lang="en-US" sz="1400" b="0"/>
              <a:t>(average of all data rates)</a:t>
            </a:r>
          </a:p>
        </c:rich>
      </c:tx>
      <c:layout/>
      <c:overlay val="0"/>
    </c:title>
    <c:autoTitleDeleted val="0"/>
    <c:plotArea>
      <c:layout/>
      <c:lineChart>
        <c:grouping val="standard"/>
        <c:varyColors val="0"/>
        <c:ser>
          <c:idx val="0"/>
          <c:order val="0"/>
          <c:tx>
            <c:strRef>
              <c:f>'Cost per Gbps'!$D$44</c:f>
              <c:strCache>
                <c:ptCount val="1"/>
                <c:pt idx="0">
                  <c:v>Grand average</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Gbps'!$E$44:$U$44</c:f>
              <c:numCache>
                <c:formatCode>_("$"* #,##0.0_);_("$"* \(#,##0.0\);_("$"* "-"??_);_(@_)</c:formatCode>
                <c:ptCount val="17"/>
                <c:pt idx="0" formatCode="_(&quot;$&quot;* #,##0_);_(&quot;$&quot;* \(#,##0\);_(&quot;$&quot;* &quot;-&quot;??_);_(@_)">
                  <c:v>18.659177244454714</c:v>
                </c:pt>
                <c:pt idx="1">
                  <c:v>12.491157998353826</c:v>
                </c:pt>
                <c:pt idx="2">
                  <c:v>11.206910619233915</c:v>
                </c:pt>
                <c:pt idx="3">
                  <c:v>9.2919679279757297</c:v>
                </c:pt>
                <c:pt idx="4">
                  <c:v>7.2488549734174947</c:v>
                </c:pt>
                <c:pt idx="5">
                  <c:v>6.6238891591280309</c:v>
                </c:pt>
                <c:pt idx="6">
                  <c:v>6.4437661546773315</c:v>
                </c:pt>
                <c:pt idx="7">
                  <c:v>4.8427153884449652</c:v>
                </c:pt>
                <c:pt idx="8">
                  <c:v>0</c:v>
                </c:pt>
                <c:pt idx="9">
                  <c:v>0</c:v>
                </c:pt>
                <c:pt idx="10">
                  <c:v>0</c:v>
                </c:pt>
                <c:pt idx="11">
                  <c:v>0</c:v>
                </c:pt>
                <c:pt idx="12">
                  <c:v>0</c:v>
                </c:pt>
                <c:pt idx="13">
                  <c:v>0</c:v>
                </c:pt>
                <c:pt idx="14">
                  <c:v>0</c:v>
                </c:pt>
                <c:pt idx="15">
                  <c:v>0</c:v>
                </c:pt>
                <c:pt idx="16">
                  <c:v>0</c:v>
                </c:pt>
              </c:numCache>
            </c:numRef>
          </c:val>
          <c:smooth val="0"/>
          <c:extLst xmlns:c16r2="http://schemas.microsoft.com/office/drawing/2015/06/chart">
            <c:ext xmlns:c16="http://schemas.microsoft.com/office/drawing/2014/chart" uri="{C3380CC4-5D6E-409C-BE32-E72D297353CC}">
              <c16:uniqueId val="{00000000-7BF3-A94D-AA6A-44EFFFB8AC0C}"/>
            </c:ext>
          </c:extLst>
        </c:ser>
        <c:dLbls>
          <c:showLegendKey val="0"/>
          <c:showVal val="0"/>
          <c:showCatName val="0"/>
          <c:showSerName val="0"/>
          <c:showPercent val="0"/>
          <c:showBubbleSize val="0"/>
        </c:dLbls>
        <c:marker val="1"/>
        <c:smooth val="0"/>
        <c:axId val="393237248"/>
        <c:axId val="393238784"/>
      </c:lineChart>
      <c:catAx>
        <c:axId val="393237248"/>
        <c:scaling>
          <c:orientation val="minMax"/>
        </c:scaling>
        <c:delete val="0"/>
        <c:axPos val="b"/>
        <c:numFmt formatCode="General" sourceLinked="1"/>
        <c:majorTickMark val="out"/>
        <c:minorTickMark val="none"/>
        <c:tickLblPos val="nextTo"/>
        <c:crossAx val="393238784"/>
        <c:crosses val="autoZero"/>
        <c:auto val="1"/>
        <c:lblAlgn val="ctr"/>
        <c:lblOffset val="100"/>
        <c:noMultiLvlLbl val="0"/>
      </c:catAx>
      <c:valAx>
        <c:axId val="393238784"/>
        <c:scaling>
          <c:orientation val="minMax"/>
        </c:scaling>
        <c:delete val="0"/>
        <c:axPos val="l"/>
        <c:majorGridlines/>
        <c:numFmt formatCode="_(&quot;$&quot;* #,##0_);_(&quot;$&quot;* \(#,##0\);_(&quot;$&quot;* &quot;-&quot;_);_(@_)" sourceLinked="0"/>
        <c:majorTickMark val="out"/>
        <c:minorTickMark val="none"/>
        <c:tickLblPos val="nextTo"/>
        <c:crossAx val="393237248"/>
        <c:crosses val="autoZero"/>
        <c:crossBetween val="between"/>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Cost/Gbps: Ethernet Short Reach (MMF) by Data Rate</a:t>
            </a:r>
          </a:p>
          <a:p>
            <a:pPr>
              <a:defRPr sz="1600"/>
            </a:pPr>
            <a:r>
              <a:rPr lang="en-US" sz="1400" b="0"/>
              <a:t>(all form factors included)</a:t>
            </a:r>
          </a:p>
        </c:rich>
      </c:tx>
      <c:layout/>
      <c:overlay val="0"/>
    </c:title>
    <c:autoTitleDeleted val="0"/>
    <c:plotArea>
      <c:layout>
        <c:manualLayout>
          <c:layoutTarget val="inner"/>
          <c:xMode val="edge"/>
          <c:yMode val="edge"/>
          <c:x val="0.11352885740846669"/>
          <c:y val="0.13452250829404996"/>
          <c:w val="0.71784689411287295"/>
          <c:h val="0.75601301032650237"/>
        </c:manualLayout>
      </c:layout>
      <c:lineChart>
        <c:grouping val="standard"/>
        <c:varyColors val="0"/>
        <c:ser>
          <c:idx val="0"/>
          <c:order val="0"/>
          <c:tx>
            <c:strRef>
              <c:f>'Cost per Gbps'!$D$72</c:f>
              <c:strCache>
                <c:ptCount val="1"/>
                <c:pt idx="0">
                  <c:v>1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Gbps'!$E$72:$U$72</c:f>
              <c:numCache>
                <c:formatCode>_("$"* #,##0.0_);_("$"* \(#,##0.0\);_("$"* "-"??_);_(@_)</c:formatCode>
                <c:ptCount val="17"/>
                <c:pt idx="0">
                  <c:v>13.753951556800791</c:v>
                </c:pt>
                <c:pt idx="1">
                  <c:v>12.985268264022558</c:v>
                </c:pt>
                <c:pt idx="2">
                  <c:v>12.565352668140264</c:v>
                </c:pt>
                <c:pt idx="3">
                  <c:v>11.996692618609446</c:v>
                </c:pt>
                <c:pt idx="4">
                  <c:v>11.174241369596015</c:v>
                </c:pt>
                <c:pt idx="5">
                  <c:v>10.470983555845212</c:v>
                </c:pt>
                <c:pt idx="6">
                  <c:v>10.178233731377588</c:v>
                </c:pt>
                <c:pt idx="7">
                  <c:v>8.9746992158904888</c:v>
                </c:pt>
                <c:pt idx="8">
                  <c:v>0</c:v>
                </c:pt>
                <c:pt idx="9">
                  <c:v>0</c:v>
                </c:pt>
                <c:pt idx="10">
                  <c:v>0</c:v>
                </c:pt>
                <c:pt idx="11">
                  <c:v>0</c:v>
                </c:pt>
                <c:pt idx="12">
                  <c:v>0</c:v>
                </c:pt>
                <c:pt idx="13">
                  <c:v>0</c:v>
                </c:pt>
                <c:pt idx="14">
                  <c:v>0</c:v>
                </c:pt>
                <c:pt idx="15">
                  <c:v>0</c:v>
                </c:pt>
                <c:pt idx="16">
                  <c:v>0</c:v>
                </c:pt>
              </c:numCache>
            </c:numRef>
          </c:val>
          <c:smooth val="0"/>
          <c:extLst xmlns:c16r2="http://schemas.microsoft.com/office/drawing/2015/06/chart">
            <c:ext xmlns:c16="http://schemas.microsoft.com/office/drawing/2014/chart" uri="{C3380CC4-5D6E-409C-BE32-E72D297353CC}">
              <c16:uniqueId val="{00000000-4933-654E-A155-6C3CE82B255E}"/>
            </c:ext>
          </c:extLst>
        </c:ser>
        <c:ser>
          <c:idx val="1"/>
          <c:order val="1"/>
          <c:tx>
            <c:strRef>
              <c:f>'Cost per Gbps'!$D$73</c:f>
              <c:strCache>
                <c:ptCount val="1"/>
                <c:pt idx="0">
                  <c:v>10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Gbps'!$E$73:$U$73</c:f>
              <c:numCache>
                <c:formatCode>_("$"* #,##0.0_);_("$"* \(#,##0.0\);_("$"* "-"??_);_(@_)</c:formatCode>
                <c:ptCount val="17"/>
                <c:pt idx="0">
                  <c:v>7.2693971450474013</c:v>
                </c:pt>
                <c:pt idx="1">
                  <c:v>5.6225638648096545</c:v>
                </c:pt>
                <c:pt idx="2">
                  <c:v>4.7234436834010181</c:v>
                </c:pt>
                <c:pt idx="3">
                  <c:v>3.5859981642836827</c:v>
                </c:pt>
                <c:pt idx="4">
                  <c:v>2.7640696017573658</c:v>
                </c:pt>
                <c:pt idx="5">
                  <c:v>2.1809560564685277</c:v>
                </c:pt>
                <c:pt idx="6">
                  <c:v>1.8308628817969292</c:v>
                </c:pt>
                <c:pt idx="7">
                  <c:v>1.5256493367606148</c:v>
                </c:pt>
              </c:numCache>
            </c:numRef>
          </c:val>
          <c:smooth val="0"/>
          <c:extLst xmlns:c16r2="http://schemas.microsoft.com/office/drawing/2015/06/chart">
            <c:ext xmlns:c16="http://schemas.microsoft.com/office/drawing/2014/chart" uri="{C3380CC4-5D6E-409C-BE32-E72D297353CC}">
              <c16:uniqueId val="{00000001-4933-654E-A155-6C3CE82B255E}"/>
            </c:ext>
          </c:extLst>
        </c:ser>
        <c:ser>
          <c:idx val="2"/>
          <c:order val="2"/>
          <c:tx>
            <c:strRef>
              <c:f>'Cost per Gbps'!$D$74</c:f>
              <c:strCache>
                <c:ptCount val="1"/>
                <c:pt idx="0">
                  <c:v>25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Gbps'!$E$74:$U$74</c:f>
              <c:numCache>
                <c:formatCode>_("$"* #,##0_);_("$"* \(#,##0\);_("$"* "-"??_);_(@_)</c:formatCode>
                <c:ptCount val="17"/>
                <c:pt idx="6">
                  <c:v>7.4857262804366078</c:v>
                </c:pt>
                <c:pt idx="7">
                  <c:v>5.6444287278986067</c:v>
                </c:pt>
              </c:numCache>
            </c:numRef>
          </c:val>
          <c:smooth val="0"/>
          <c:extLst xmlns:c16r2="http://schemas.microsoft.com/office/drawing/2015/06/chart">
            <c:ext xmlns:c16="http://schemas.microsoft.com/office/drawing/2014/chart" uri="{C3380CC4-5D6E-409C-BE32-E72D297353CC}">
              <c16:uniqueId val="{00000002-4933-654E-A155-6C3CE82B255E}"/>
            </c:ext>
          </c:extLst>
        </c:ser>
        <c:ser>
          <c:idx val="5"/>
          <c:order val="3"/>
          <c:tx>
            <c:strRef>
              <c:f>'Cost per Gbps'!$D$75</c:f>
              <c:strCache>
                <c:ptCount val="1"/>
                <c:pt idx="0">
                  <c:v>40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Gbps'!$E$75:$U$75</c:f>
              <c:numCache>
                <c:formatCode>_("$"* #,##0.0_);_("$"* \(#,##0.0\);_("$"* "-"??_);_(@_)</c:formatCode>
                <c:ptCount val="17"/>
                <c:pt idx="0">
                  <c:v>16</c:v>
                </c:pt>
                <c:pt idx="1">
                  <c:v>7.186692574411718</c:v>
                </c:pt>
                <c:pt idx="2">
                  <c:v>5.2569352371264841</c:v>
                </c:pt>
                <c:pt idx="3">
                  <c:v>4.7415806558600639</c:v>
                </c:pt>
                <c:pt idx="4">
                  <c:v>4.5976611884346736</c:v>
                </c:pt>
                <c:pt idx="5">
                  <c:v>3.0556100659675449</c:v>
                </c:pt>
                <c:pt idx="6">
                  <c:v>4.0004946969346946</c:v>
                </c:pt>
                <c:pt idx="7">
                  <c:v>3.5024711725363686</c:v>
                </c:pt>
              </c:numCache>
            </c:numRef>
          </c:val>
          <c:smooth val="0"/>
          <c:extLst xmlns:c16r2="http://schemas.microsoft.com/office/drawing/2015/06/chart">
            <c:ext xmlns:c16="http://schemas.microsoft.com/office/drawing/2014/chart" uri="{C3380CC4-5D6E-409C-BE32-E72D297353CC}">
              <c16:uniqueId val="{00000003-4933-654E-A155-6C3CE82B255E}"/>
            </c:ext>
          </c:extLst>
        </c:ser>
        <c:ser>
          <c:idx val="6"/>
          <c:order val="4"/>
          <c:tx>
            <c:strRef>
              <c:f>'Cost per Gbps'!$D$76</c:f>
              <c:strCache>
                <c:ptCount val="1"/>
                <c:pt idx="0">
                  <c:v>50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Gbps'!$E$76:$U$76</c:f>
              <c:numCache>
                <c:formatCode>_("$"* #,##0.0_);_("$"* \(#,##0.0\);_("$"* "-"??_);_(@_)</c:formatCode>
                <c:ptCount val="17"/>
              </c:numCache>
            </c:numRef>
          </c:val>
          <c:smooth val="0"/>
          <c:extLst xmlns:c16r2="http://schemas.microsoft.com/office/drawing/2015/06/chart">
            <c:ext xmlns:c16="http://schemas.microsoft.com/office/drawing/2014/chart" uri="{C3380CC4-5D6E-409C-BE32-E72D297353CC}">
              <c16:uniqueId val="{00000004-4933-654E-A155-6C3CE82B255E}"/>
            </c:ext>
          </c:extLst>
        </c:ser>
        <c:ser>
          <c:idx val="3"/>
          <c:order val="5"/>
          <c:tx>
            <c:strRef>
              <c:f>'Cost per Gbps'!$D$77</c:f>
              <c:strCache>
                <c:ptCount val="1"/>
                <c:pt idx="0">
                  <c:v>100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Gbps'!$E$77:$U$77</c:f>
              <c:numCache>
                <c:formatCode>_("$"* #,##0.0_);_("$"* \(#,##0.0\);_("$"* "-"??_);_(@_)</c:formatCode>
                <c:ptCount val="17"/>
                <c:pt idx="2">
                  <c:v>23.897826358525922</c:v>
                </c:pt>
                <c:pt idx="3">
                  <c:v>18.815171215351814</c:v>
                </c:pt>
                <c:pt idx="4">
                  <c:v>17.880221269073317</c:v>
                </c:pt>
                <c:pt idx="5">
                  <c:v>13.672506526121772</c:v>
                </c:pt>
                <c:pt idx="6">
                  <c:v>3.2957163623968637</c:v>
                </c:pt>
                <c:pt idx="7">
                  <c:v>1.9723036134511864</c:v>
                </c:pt>
              </c:numCache>
            </c:numRef>
          </c:val>
          <c:smooth val="0"/>
          <c:extLst xmlns:c16r2="http://schemas.microsoft.com/office/drawing/2015/06/chart">
            <c:ext xmlns:c16="http://schemas.microsoft.com/office/drawing/2014/chart" uri="{C3380CC4-5D6E-409C-BE32-E72D297353CC}">
              <c16:uniqueId val="{00000005-4933-654E-A155-6C3CE82B255E}"/>
            </c:ext>
          </c:extLst>
        </c:ser>
        <c:ser>
          <c:idx val="7"/>
          <c:order val="6"/>
          <c:tx>
            <c:strRef>
              <c:f>'Cost per Gbps'!$D$78</c:f>
              <c:strCache>
                <c:ptCount val="1"/>
                <c:pt idx="0">
                  <c:v>200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Gbps'!$E$78:$U$78</c:f>
              <c:numCache>
                <c:formatCode>_("$"* #,##0_);_("$"* \(#,##0\);_("$"* "-"??_);_(@_)</c:formatCode>
                <c:ptCount val="17"/>
              </c:numCache>
            </c:numRef>
          </c:val>
          <c:smooth val="0"/>
          <c:extLst xmlns:c16r2="http://schemas.microsoft.com/office/drawing/2015/06/chart">
            <c:ext xmlns:c16="http://schemas.microsoft.com/office/drawing/2014/chart" uri="{C3380CC4-5D6E-409C-BE32-E72D297353CC}">
              <c16:uniqueId val="{00000006-4933-654E-A155-6C3CE82B255E}"/>
            </c:ext>
          </c:extLst>
        </c:ser>
        <c:ser>
          <c:idx val="4"/>
          <c:order val="7"/>
          <c:tx>
            <c:strRef>
              <c:f>'Cost per Gbps'!$D$79</c:f>
              <c:strCache>
                <c:ptCount val="1"/>
                <c:pt idx="0">
                  <c:v>400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Gbps'!$E$79:$U$79</c:f>
              <c:numCache>
                <c:formatCode>_("$"* #,##0_);_("$"* \(#,##0\);_("$"* "-"??_);_(@_)</c:formatCode>
                <c:ptCount val="17"/>
              </c:numCache>
            </c:numRef>
          </c:val>
          <c:smooth val="0"/>
          <c:extLst xmlns:c16r2="http://schemas.microsoft.com/office/drawing/2015/06/chart">
            <c:ext xmlns:c16="http://schemas.microsoft.com/office/drawing/2014/chart" uri="{C3380CC4-5D6E-409C-BE32-E72D297353CC}">
              <c16:uniqueId val="{00000007-4933-654E-A155-6C3CE82B255E}"/>
            </c:ext>
          </c:extLst>
        </c:ser>
        <c:ser>
          <c:idx val="8"/>
          <c:order val="8"/>
          <c:tx>
            <c:strRef>
              <c:f>'Cost per Gbps'!$D$80</c:f>
              <c:strCache>
                <c:ptCount val="1"/>
                <c:pt idx="0">
                  <c:v>800 G</c:v>
                </c:pt>
              </c:strCache>
            </c:strRef>
          </c:tx>
          <c:marker>
            <c:symbol val="none"/>
          </c:marker>
          <c:cat>
            <c:numRef>
              <c:f>'Cost per Gbps'!$E$71:$U$71</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Gbps'!$E$80:$U$80</c:f>
              <c:numCache>
                <c:formatCode>_("$"* #,##0_);_("$"* \(#,##0\);_("$"* "-"??_);_(@_)</c:formatCode>
                <c:ptCount val="17"/>
              </c:numCache>
            </c:numRef>
          </c:val>
          <c:smooth val="0"/>
          <c:extLst xmlns:c16r2="http://schemas.microsoft.com/office/drawing/2015/06/chart">
            <c:ext xmlns:c16="http://schemas.microsoft.com/office/drawing/2014/chart" uri="{C3380CC4-5D6E-409C-BE32-E72D297353CC}">
              <c16:uniqueId val="{00000000-B42F-C44F-99F1-C64419DCC12A}"/>
            </c:ext>
          </c:extLst>
        </c:ser>
        <c:dLbls>
          <c:showLegendKey val="0"/>
          <c:showVal val="0"/>
          <c:showCatName val="0"/>
          <c:showSerName val="0"/>
          <c:showPercent val="0"/>
          <c:showBubbleSize val="0"/>
        </c:dLbls>
        <c:marker val="1"/>
        <c:smooth val="0"/>
        <c:axId val="393367552"/>
        <c:axId val="393369088"/>
      </c:lineChart>
      <c:catAx>
        <c:axId val="393367552"/>
        <c:scaling>
          <c:orientation val="minMax"/>
        </c:scaling>
        <c:delete val="0"/>
        <c:axPos val="b"/>
        <c:numFmt formatCode="General" sourceLinked="1"/>
        <c:majorTickMark val="out"/>
        <c:minorTickMark val="none"/>
        <c:tickLblPos val="nextTo"/>
        <c:txPr>
          <a:bodyPr/>
          <a:lstStyle/>
          <a:p>
            <a:pPr>
              <a:defRPr sz="1100"/>
            </a:pPr>
            <a:endParaRPr lang="en-US"/>
          </a:p>
        </c:txPr>
        <c:crossAx val="393369088"/>
        <c:crosses val="autoZero"/>
        <c:auto val="1"/>
        <c:lblAlgn val="ctr"/>
        <c:lblOffset val="100"/>
        <c:noMultiLvlLbl val="0"/>
      </c:catAx>
      <c:valAx>
        <c:axId val="393369088"/>
        <c:scaling>
          <c:orientation val="minMax"/>
          <c:max val="8"/>
          <c:min val="0"/>
        </c:scaling>
        <c:delete val="0"/>
        <c:axPos val="l"/>
        <c:majorGridlines/>
        <c:title>
          <c:tx>
            <c:rich>
              <a:bodyPr rot="-5400000" vert="horz"/>
              <a:lstStyle/>
              <a:p>
                <a:pPr>
                  <a:defRPr sz="1400"/>
                </a:pPr>
                <a:r>
                  <a:rPr lang="en-US" sz="1400"/>
                  <a:t>$ per Gb/s</a:t>
                </a:r>
              </a:p>
            </c:rich>
          </c:tx>
          <c:layout/>
          <c:overlay val="0"/>
        </c:title>
        <c:numFmt formatCode="&quot;$&quot;#,##0" sourceLinked="0"/>
        <c:majorTickMark val="out"/>
        <c:minorTickMark val="none"/>
        <c:tickLblPos val="nextTo"/>
        <c:txPr>
          <a:bodyPr/>
          <a:lstStyle/>
          <a:p>
            <a:pPr>
              <a:defRPr sz="1200"/>
            </a:pPr>
            <a:endParaRPr lang="en-US"/>
          </a:p>
        </c:txPr>
        <c:crossAx val="393367552"/>
        <c:crosses val="autoZero"/>
        <c:crossBetween val="between"/>
      </c:valAx>
    </c:plotArea>
    <c:legend>
      <c:legendPos val="r"/>
      <c:layout>
        <c:manualLayout>
          <c:xMode val="edge"/>
          <c:yMode val="edge"/>
          <c:x val="0.837706401610808"/>
          <c:y val="0.172794630008099"/>
          <c:w val="0.12954351867310265"/>
          <c:h val="0.56422531888154315"/>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600"/>
            </a:pPr>
            <a:r>
              <a:rPr lang="en-US" sz="1600"/>
              <a:t>Cost/Gbps: Ethernet 0.5-10km Reach by Data Rate</a:t>
            </a:r>
          </a:p>
          <a:p>
            <a:pPr algn="ctr">
              <a:defRPr sz="1600"/>
            </a:pPr>
            <a:r>
              <a:rPr lang="en-US" sz="1400" b="0"/>
              <a:t>(all form factors</a:t>
            </a:r>
            <a:r>
              <a:rPr lang="en-US" sz="1400" b="0" baseline="0"/>
              <a:t> included)</a:t>
            </a:r>
            <a:endParaRPr lang="en-US" sz="1400" b="0"/>
          </a:p>
        </c:rich>
      </c:tx>
      <c:layout/>
      <c:overlay val="1"/>
    </c:title>
    <c:autoTitleDeleted val="0"/>
    <c:plotArea>
      <c:layout>
        <c:manualLayout>
          <c:layoutTarget val="inner"/>
          <c:xMode val="edge"/>
          <c:yMode val="edge"/>
          <c:x val="0.1184368945361"/>
          <c:y val="0.13704906814284301"/>
          <c:w val="0.70731561157496403"/>
          <c:h val="0.75074203698346853"/>
        </c:manualLayout>
      </c:layout>
      <c:lineChart>
        <c:grouping val="standard"/>
        <c:varyColors val="0"/>
        <c:ser>
          <c:idx val="0"/>
          <c:order val="0"/>
          <c:tx>
            <c:strRef>
              <c:f>'Cost per Gbps'!$D$83</c:f>
              <c:strCache>
                <c:ptCount val="1"/>
                <c:pt idx="0">
                  <c:v>1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Gbps'!$E$83:$U$83</c:f>
              <c:numCache>
                <c:formatCode>_("$"* #,##0.0_);_("$"* \(#,##0.0\);_("$"* "-"??_);_(@_)</c:formatCode>
                <c:ptCount val="17"/>
                <c:pt idx="0">
                  <c:v>25.149205126655112</c:v>
                </c:pt>
                <c:pt idx="1">
                  <c:v>22.542686548685776</c:v>
                </c:pt>
                <c:pt idx="2">
                  <c:v>20.494201491669465</c:v>
                </c:pt>
                <c:pt idx="3">
                  <c:v>17.059287862972699</c:v>
                </c:pt>
                <c:pt idx="4">
                  <c:v>15.209922341136267</c:v>
                </c:pt>
                <c:pt idx="5">
                  <c:v>14.316550029685587</c:v>
                </c:pt>
                <c:pt idx="6">
                  <c:v>11.313150064475876</c:v>
                </c:pt>
                <c:pt idx="7">
                  <c:v>9.7279618337487541</c:v>
                </c:pt>
                <c:pt idx="8">
                  <c:v>0</c:v>
                </c:pt>
                <c:pt idx="9">
                  <c:v>0</c:v>
                </c:pt>
                <c:pt idx="10">
                  <c:v>0</c:v>
                </c:pt>
                <c:pt idx="11">
                  <c:v>0</c:v>
                </c:pt>
                <c:pt idx="12">
                  <c:v>0</c:v>
                </c:pt>
                <c:pt idx="13">
                  <c:v>0</c:v>
                </c:pt>
                <c:pt idx="14">
                  <c:v>0</c:v>
                </c:pt>
                <c:pt idx="15">
                  <c:v>0</c:v>
                </c:pt>
                <c:pt idx="16">
                  <c:v>0</c:v>
                </c:pt>
              </c:numCache>
            </c:numRef>
          </c:val>
          <c:smooth val="0"/>
          <c:extLst xmlns:c16r2="http://schemas.microsoft.com/office/drawing/2015/06/chart">
            <c:ext xmlns:c16="http://schemas.microsoft.com/office/drawing/2014/chart" uri="{C3380CC4-5D6E-409C-BE32-E72D297353CC}">
              <c16:uniqueId val="{00000000-7135-3142-A118-62422BC6C4FF}"/>
            </c:ext>
          </c:extLst>
        </c:ser>
        <c:ser>
          <c:idx val="1"/>
          <c:order val="1"/>
          <c:tx>
            <c:strRef>
              <c:f>'Cost per Gbps'!$D$84</c:f>
              <c:strCache>
                <c:ptCount val="1"/>
                <c:pt idx="0">
                  <c:v>10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Gbps'!$E$84:$U$84</c:f>
              <c:numCache>
                <c:formatCode>_("$"* #,##0.0_);_("$"* \(#,##0.0\);_("$"* "-"??_);_(@_)</c:formatCode>
                <c:ptCount val="17"/>
                <c:pt idx="0">
                  <c:v>20.083089586633925</c:v>
                </c:pt>
                <c:pt idx="1">
                  <c:v>15.192387099264787</c:v>
                </c:pt>
                <c:pt idx="2">
                  <c:v>12.606537702368776</c:v>
                </c:pt>
                <c:pt idx="3">
                  <c:v>9.5723766997270552</c:v>
                </c:pt>
                <c:pt idx="4">
                  <c:v>6.7015289167061241</c:v>
                </c:pt>
                <c:pt idx="5">
                  <c:v>5.5401360004392348</c:v>
                </c:pt>
                <c:pt idx="6">
                  <c:v>3.9011693498104392</c:v>
                </c:pt>
                <c:pt idx="7">
                  <c:v>3.0703885502204229</c:v>
                </c:pt>
              </c:numCache>
            </c:numRef>
          </c:val>
          <c:smooth val="0"/>
          <c:extLst xmlns:c16r2="http://schemas.microsoft.com/office/drawing/2015/06/chart">
            <c:ext xmlns:c16="http://schemas.microsoft.com/office/drawing/2014/chart" uri="{C3380CC4-5D6E-409C-BE32-E72D297353CC}">
              <c16:uniqueId val="{00000001-7135-3142-A118-62422BC6C4FF}"/>
            </c:ext>
          </c:extLst>
        </c:ser>
        <c:ser>
          <c:idx val="2"/>
          <c:order val="2"/>
          <c:tx>
            <c:strRef>
              <c:f>'Cost per Gbps'!$D$85</c:f>
              <c:strCache>
                <c:ptCount val="1"/>
                <c:pt idx="0">
                  <c:v>25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Gbps'!$E$85:$U$85</c:f>
              <c:numCache>
                <c:formatCode>_("$"* #,##0.0_);_("$"* \(#,##0.0\);_("$"* "-"??_);_(@_)</c:formatCode>
                <c:ptCount val="17"/>
                <c:pt idx="6">
                  <c:v>18.249613016710644</c:v>
                </c:pt>
                <c:pt idx="7">
                  <c:v>12.964142267585002</c:v>
                </c:pt>
              </c:numCache>
            </c:numRef>
          </c:val>
          <c:smooth val="0"/>
          <c:extLst xmlns:c16r2="http://schemas.microsoft.com/office/drawing/2015/06/chart">
            <c:ext xmlns:c16="http://schemas.microsoft.com/office/drawing/2014/chart" uri="{C3380CC4-5D6E-409C-BE32-E72D297353CC}">
              <c16:uniqueId val="{00000002-7135-3142-A118-62422BC6C4FF}"/>
            </c:ext>
          </c:extLst>
        </c:ser>
        <c:ser>
          <c:idx val="5"/>
          <c:order val="3"/>
          <c:tx>
            <c:strRef>
              <c:f>'Cost per Gbps'!$D$86</c:f>
              <c:strCache>
                <c:ptCount val="1"/>
                <c:pt idx="0">
                  <c:v>40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Gbps'!$E$86:$U$86</c:f>
              <c:numCache>
                <c:formatCode>_("$"* #,##0.0_);_("$"* \(#,##0.0\);_("$"* "-"??_);_(@_)</c:formatCode>
                <c:ptCount val="17"/>
                <c:pt idx="0">
                  <c:v>80.784136641723492</c:v>
                </c:pt>
                <c:pt idx="1">
                  <c:v>77.777449856733512</c:v>
                </c:pt>
                <c:pt idx="2">
                  <c:v>31.374042015224383</c:v>
                </c:pt>
                <c:pt idx="3">
                  <c:v>20.904356576912654</c:v>
                </c:pt>
                <c:pt idx="4">
                  <c:v>18.050742044044327</c:v>
                </c:pt>
                <c:pt idx="5">
                  <c:v>16.332734902464885</c:v>
                </c:pt>
                <c:pt idx="6">
                  <c:v>16.617107346810069</c:v>
                </c:pt>
                <c:pt idx="7">
                  <c:v>12.449764992846998</c:v>
                </c:pt>
              </c:numCache>
            </c:numRef>
          </c:val>
          <c:smooth val="0"/>
          <c:extLst xmlns:c16r2="http://schemas.microsoft.com/office/drawing/2015/06/chart">
            <c:ext xmlns:c16="http://schemas.microsoft.com/office/drawing/2014/chart" uri="{C3380CC4-5D6E-409C-BE32-E72D297353CC}">
              <c16:uniqueId val="{00000003-7135-3142-A118-62422BC6C4FF}"/>
            </c:ext>
          </c:extLst>
        </c:ser>
        <c:ser>
          <c:idx val="6"/>
          <c:order val="4"/>
          <c:tx>
            <c:strRef>
              <c:f>'Cost per Gbps'!$D$87</c:f>
              <c:strCache>
                <c:ptCount val="1"/>
                <c:pt idx="0">
                  <c:v>50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Gbps'!$E$87:$U$87</c:f>
              <c:numCache>
                <c:formatCode>_("$"* #,##0.0_);_("$"* \(#,##0.0\);_("$"* "-"??_);_(@_)</c:formatCode>
                <c:ptCount val="17"/>
              </c:numCache>
            </c:numRef>
          </c:val>
          <c:smooth val="0"/>
          <c:extLst xmlns:c16r2="http://schemas.microsoft.com/office/drawing/2015/06/chart">
            <c:ext xmlns:c16="http://schemas.microsoft.com/office/drawing/2014/chart" uri="{C3380CC4-5D6E-409C-BE32-E72D297353CC}">
              <c16:uniqueId val="{00000004-7135-3142-A118-62422BC6C4FF}"/>
            </c:ext>
          </c:extLst>
        </c:ser>
        <c:ser>
          <c:idx val="3"/>
          <c:order val="5"/>
          <c:tx>
            <c:strRef>
              <c:f>'Cost per Gbps'!$D$88</c:f>
              <c:strCache>
                <c:ptCount val="1"/>
                <c:pt idx="0">
                  <c:v>100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Gbps'!$E$88:$U$88</c:f>
              <c:numCache>
                <c:formatCode>_("$"* #,##0.0_);_("$"* \(#,##0.0\);_("$"* "-"??_);_(@_)</c:formatCode>
                <c:ptCount val="17"/>
                <c:pt idx="0">
                  <c:v>262.22519083969468</c:v>
                </c:pt>
                <c:pt idx="1">
                  <c:v>223.61202964182792</c:v>
                </c:pt>
                <c:pt idx="2">
                  <c:v>136.50492489270385</c:v>
                </c:pt>
                <c:pt idx="3">
                  <c:v>102.5432875674652</c:v>
                </c:pt>
                <c:pt idx="4">
                  <c:v>65.878548873851983</c:v>
                </c:pt>
                <c:pt idx="5">
                  <c:v>36.595237268483366</c:v>
                </c:pt>
                <c:pt idx="6">
                  <c:v>15.954523504961168</c:v>
                </c:pt>
                <c:pt idx="7">
                  <c:v>6.5519248022538541</c:v>
                </c:pt>
              </c:numCache>
            </c:numRef>
          </c:val>
          <c:smooth val="0"/>
          <c:extLst xmlns:c16r2="http://schemas.microsoft.com/office/drawing/2015/06/chart">
            <c:ext xmlns:c16="http://schemas.microsoft.com/office/drawing/2014/chart" uri="{C3380CC4-5D6E-409C-BE32-E72D297353CC}">
              <c16:uniqueId val="{00000005-7135-3142-A118-62422BC6C4FF}"/>
            </c:ext>
          </c:extLst>
        </c:ser>
        <c:ser>
          <c:idx val="7"/>
          <c:order val="6"/>
          <c:tx>
            <c:strRef>
              <c:f>'Cost per Gbps'!$D$89</c:f>
              <c:strCache>
                <c:ptCount val="1"/>
                <c:pt idx="0">
                  <c:v>200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Gbps'!$E$89:$U$89</c:f>
              <c:numCache>
                <c:formatCode>General</c:formatCode>
                <c:ptCount val="17"/>
              </c:numCache>
            </c:numRef>
          </c:val>
          <c:smooth val="0"/>
          <c:extLst xmlns:c16r2="http://schemas.microsoft.com/office/drawing/2015/06/chart">
            <c:ext xmlns:c16="http://schemas.microsoft.com/office/drawing/2014/chart" uri="{C3380CC4-5D6E-409C-BE32-E72D297353CC}">
              <c16:uniqueId val="{00000006-7135-3142-A118-62422BC6C4FF}"/>
            </c:ext>
          </c:extLst>
        </c:ser>
        <c:ser>
          <c:idx val="4"/>
          <c:order val="7"/>
          <c:tx>
            <c:strRef>
              <c:f>'Cost per Gbps'!$D$90</c:f>
              <c:strCache>
                <c:ptCount val="1"/>
                <c:pt idx="0">
                  <c:v>400 G</c:v>
                </c:pt>
              </c:strCache>
            </c:strRef>
          </c:tx>
          <c:marker>
            <c:symbol val="none"/>
          </c:marker>
          <c:cat>
            <c:numRef>
              <c:f>'Cost per Gbps'!$E$82:$U$82</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Gbps'!$E$90:$U$90</c:f>
              <c:numCache>
                <c:formatCode>General</c:formatCode>
                <c:ptCount val="17"/>
              </c:numCache>
            </c:numRef>
          </c:val>
          <c:smooth val="0"/>
          <c:extLst xmlns:c16r2="http://schemas.microsoft.com/office/drawing/2015/06/chart">
            <c:ext xmlns:c16="http://schemas.microsoft.com/office/drawing/2014/chart" uri="{C3380CC4-5D6E-409C-BE32-E72D297353CC}">
              <c16:uniqueId val="{00000007-7135-3142-A118-62422BC6C4FF}"/>
            </c:ext>
          </c:extLst>
        </c:ser>
        <c:dLbls>
          <c:showLegendKey val="0"/>
          <c:showVal val="0"/>
          <c:showCatName val="0"/>
          <c:showSerName val="0"/>
          <c:showPercent val="0"/>
          <c:showBubbleSize val="0"/>
        </c:dLbls>
        <c:marker val="1"/>
        <c:smooth val="0"/>
        <c:axId val="393427584"/>
        <c:axId val="393437568"/>
      </c:lineChart>
      <c:catAx>
        <c:axId val="393427584"/>
        <c:scaling>
          <c:orientation val="minMax"/>
        </c:scaling>
        <c:delete val="0"/>
        <c:axPos val="b"/>
        <c:numFmt formatCode="General" sourceLinked="1"/>
        <c:majorTickMark val="out"/>
        <c:minorTickMark val="none"/>
        <c:tickLblPos val="nextTo"/>
        <c:txPr>
          <a:bodyPr/>
          <a:lstStyle/>
          <a:p>
            <a:pPr>
              <a:defRPr sz="1100"/>
            </a:pPr>
            <a:endParaRPr lang="en-US"/>
          </a:p>
        </c:txPr>
        <c:crossAx val="393437568"/>
        <c:crosses val="autoZero"/>
        <c:auto val="1"/>
        <c:lblAlgn val="ctr"/>
        <c:lblOffset val="100"/>
        <c:noMultiLvlLbl val="0"/>
      </c:catAx>
      <c:valAx>
        <c:axId val="393437568"/>
        <c:scaling>
          <c:orientation val="minMax"/>
          <c:max val="20"/>
          <c:min val="0"/>
        </c:scaling>
        <c:delete val="0"/>
        <c:axPos val="l"/>
        <c:majorGridlines/>
        <c:minorGridlines/>
        <c:title>
          <c:tx>
            <c:rich>
              <a:bodyPr rot="-5400000" vert="horz"/>
              <a:lstStyle/>
              <a:p>
                <a:pPr>
                  <a:defRPr sz="1400"/>
                </a:pPr>
                <a:r>
                  <a:rPr lang="en-US" sz="1400"/>
                  <a:t>$ per Gb/s</a:t>
                </a:r>
              </a:p>
            </c:rich>
          </c:tx>
          <c:layout>
            <c:manualLayout>
              <c:xMode val="edge"/>
              <c:yMode val="edge"/>
              <c:x val="9.9354166624291192E-3"/>
              <c:y val="0.44785531412730101"/>
            </c:manualLayout>
          </c:layout>
          <c:overlay val="0"/>
        </c:title>
        <c:numFmt formatCode="&quot;$&quot;#,##0" sourceLinked="0"/>
        <c:majorTickMark val="out"/>
        <c:minorTickMark val="none"/>
        <c:tickLblPos val="nextTo"/>
        <c:txPr>
          <a:bodyPr/>
          <a:lstStyle/>
          <a:p>
            <a:pPr>
              <a:defRPr sz="1200"/>
            </a:pPr>
            <a:endParaRPr lang="en-US"/>
          </a:p>
        </c:txPr>
        <c:crossAx val="393427584"/>
        <c:crosses val="autoZero"/>
        <c:crossBetween val="between"/>
        <c:majorUnit val="5"/>
        <c:minorUnit val="5"/>
      </c:valAx>
    </c:plotArea>
    <c:legend>
      <c:legendPos val="r"/>
      <c:layout>
        <c:manualLayout>
          <c:xMode val="edge"/>
          <c:yMode val="edge"/>
          <c:x val="0.83575230541553103"/>
          <c:y val="0.198129908536294"/>
          <c:w val="0.143772923836851"/>
          <c:h val="0.71348412036306796"/>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Cost per Gbps</a:t>
            </a:r>
          </a:p>
          <a:p>
            <a:pPr>
              <a:defRPr/>
            </a:pPr>
            <a:r>
              <a:rPr lang="en-US" sz="1600" b="0"/>
              <a:t>(log scale)</a:t>
            </a:r>
          </a:p>
        </c:rich>
      </c:tx>
      <c:layout/>
      <c:overlay val="0"/>
    </c:title>
    <c:autoTitleDeleted val="0"/>
    <c:plotArea>
      <c:layout>
        <c:manualLayout>
          <c:layoutTarget val="inner"/>
          <c:xMode val="edge"/>
          <c:yMode val="edge"/>
          <c:x val="0.106307228176796"/>
          <c:y val="0.147174844113585"/>
          <c:w val="0.73686453004104002"/>
          <c:h val="0.79013925959768305"/>
        </c:manualLayout>
      </c:layout>
      <c:lineChart>
        <c:grouping val="standard"/>
        <c:varyColors val="0"/>
        <c:ser>
          <c:idx val="1"/>
          <c:order val="0"/>
          <c:tx>
            <c:strRef>
              <c:f>'Cost per Gbps'!$D$35</c:f>
              <c:strCache>
                <c:ptCount val="1"/>
                <c:pt idx="0">
                  <c:v>1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Gbps'!$E$35:$U$35</c:f>
              <c:numCache>
                <c:formatCode>_("$"* #,##0_);_("$"* \(#,##0\);_("$"* "-"??_);_(@_)</c:formatCode>
                <c:ptCount val="17"/>
                <c:pt idx="0">
                  <c:v>22.693702827821532</c:v>
                </c:pt>
                <c:pt idx="1">
                  <c:v>19.293096563473824</c:v>
                </c:pt>
                <c:pt idx="2">
                  <c:v>18.103114071743498</c:v>
                </c:pt>
                <c:pt idx="3">
                  <c:v>16.178886053917275</c:v>
                </c:pt>
                <c:pt idx="4">
                  <c:v>14.755270803079455</c:v>
                </c:pt>
                <c:pt idx="5">
                  <c:v>14.157915068774409</c:v>
                </c:pt>
                <c:pt idx="6">
                  <c:v>11.362900504713087</c:v>
                </c:pt>
                <c:pt idx="7">
                  <c:v>9.8128791971601554</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673A-FE4F-897D-247DF3A365D0}"/>
            </c:ext>
          </c:extLst>
        </c:ser>
        <c:ser>
          <c:idx val="2"/>
          <c:order val="1"/>
          <c:tx>
            <c:strRef>
              <c:f>'Cost per Gbps'!$D$36</c:f>
              <c:strCache>
                <c:ptCount val="1"/>
                <c:pt idx="0">
                  <c:v>10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Gbps'!$E$36:$U$36</c:f>
              <c:numCache>
                <c:formatCode>_("$"* #,##0_);_("$"* \(#,##0\);_("$"* "-"??_);_(@_)</c:formatCode>
                <c:ptCount val="17"/>
                <c:pt idx="0">
                  <c:v>9.8825247570260242</c:v>
                </c:pt>
                <c:pt idx="1">
                  <c:v>7.5412691899358517</c:v>
                </c:pt>
                <c:pt idx="2">
                  <c:v>6.7189149239794101</c:v>
                </c:pt>
                <c:pt idx="3">
                  <c:v>5.2861169818853488</c:v>
                </c:pt>
                <c:pt idx="4">
                  <c:v>4.5280339113800467</c:v>
                </c:pt>
                <c:pt idx="5">
                  <c:v>3.897031950093071</c:v>
                </c:pt>
                <c:pt idx="6">
                  <c:v>3.1803504158563904</c:v>
                </c:pt>
                <c:pt idx="7">
                  <c:v>2.439730741307288</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1-673A-FE4F-897D-247DF3A365D0}"/>
            </c:ext>
          </c:extLst>
        </c:ser>
        <c:ser>
          <c:idx val="5"/>
          <c:order val="2"/>
          <c:tx>
            <c:strRef>
              <c:f>'Cost per Gbps'!$D$37</c:f>
              <c:strCache>
                <c:ptCount val="1"/>
                <c:pt idx="0">
                  <c:v>25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Gbps'!$E$37:$U$37</c:f>
              <c:numCache>
                <c:formatCode>_("$"* #,##0_);_("$"* \(#,##0\);_("$"* "-"??_);_(@_)</c:formatCode>
                <c:ptCount val="17"/>
                <c:pt idx="6">
                  <c:v>11.671989054215837</c:v>
                </c:pt>
                <c:pt idx="7">
                  <c:v>6.7722873832058497</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2-673A-FE4F-897D-247DF3A365D0}"/>
            </c:ext>
          </c:extLst>
        </c:ser>
        <c:ser>
          <c:idx val="3"/>
          <c:order val="3"/>
          <c:tx>
            <c:strRef>
              <c:f>'Cost per Gbps'!$D$38</c:f>
              <c:strCache>
                <c:ptCount val="1"/>
                <c:pt idx="0">
                  <c:v>40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Gbps'!$E$38:$T$38</c:f>
              <c:numCache>
                <c:formatCode>_("$"* #,##0_);_("$"* \(#,##0\);_("$"* "-"??_);_(@_)</c:formatCode>
                <c:ptCount val="16"/>
                <c:pt idx="0">
                  <c:v>46.557521763382681</c:v>
                </c:pt>
                <c:pt idx="1">
                  <c:v>11.176711108652357</c:v>
                </c:pt>
                <c:pt idx="2">
                  <c:v>12.879950952573868</c:v>
                </c:pt>
                <c:pt idx="3">
                  <c:v>11.167363674734627</c:v>
                </c:pt>
                <c:pt idx="4">
                  <c:v>7.3590573700709259</c:v>
                </c:pt>
                <c:pt idx="5">
                  <c:v>6.2327425657156015</c:v>
                </c:pt>
                <c:pt idx="6">
                  <c:v>6.2473515491273455</c:v>
                </c:pt>
                <c:pt idx="7">
                  <c:v>5.850414550912757</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3-673A-FE4F-897D-247DF3A365D0}"/>
            </c:ext>
          </c:extLst>
        </c:ser>
        <c:ser>
          <c:idx val="7"/>
          <c:order val="4"/>
          <c:tx>
            <c:strRef>
              <c:f>'Cost per Gbps'!$D$39</c:f>
              <c:strCache>
                <c:ptCount val="1"/>
                <c:pt idx="0">
                  <c:v>50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Gbps'!$E$39:$T$39</c:f>
              <c:numCache>
                <c:formatCode>_("$"* #,##0_);_("$"* \(#,##0\);_("$"* "-"??_);_(@_)</c:formatCode>
                <c:ptCount val="16"/>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4-673A-FE4F-897D-247DF3A365D0}"/>
            </c:ext>
          </c:extLst>
        </c:ser>
        <c:ser>
          <c:idx val="4"/>
          <c:order val="5"/>
          <c:tx>
            <c:strRef>
              <c:f>'Cost per Gbps'!$D$40</c:f>
              <c:strCache>
                <c:ptCount val="1"/>
                <c:pt idx="0">
                  <c:v>100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Gbps'!$E$40:$U$40</c:f>
              <c:numCache>
                <c:formatCode>_("$"* #,##0_);_("$"* \(#,##0\);_("$"* "-"??_);_(@_)</c:formatCode>
                <c:ptCount val="17"/>
                <c:pt idx="0">
                  <c:v>262.22519083969468</c:v>
                </c:pt>
                <c:pt idx="1">
                  <c:v>223.61202964182792</c:v>
                </c:pt>
                <c:pt idx="2">
                  <c:v>118.45667534287716</c:v>
                </c:pt>
                <c:pt idx="3">
                  <c:v>80.594856591909462</c:v>
                </c:pt>
                <c:pt idx="4">
                  <c:v>55.871254639091049</c:v>
                </c:pt>
                <c:pt idx="5">
                  <c:v>31.55152277583019</c:v>
                </c:pt>
                <c:pt idx="6">
                  <c:v>12.434155600788019</c:v>
                </c:pt>
                <c:pt idx="7">
                  <c:v>5.7399969875798753</c:v>
                </c:pt>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5-673A-FE4F-897D-247DF3A365D0}"/>
            </c:ext>
          </c:extLst>
        </c:ser>
        <c:ser>
          <c:idx val="8"/>
          <c:order val="6"/>
          <c:tx>
            <c:strRef>
              <c:f>'Cost per Gbps'!$D$41</c:f>
              <c:strCache>
                <c:ptCount val="1"/>
                <c:pt idx="0">
                  <c:v>200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Gbps'!$E$41:$U$41</c:f>
              <c:numCache>
                <c:formatCode>_("$"* #,##0_);_("$"* \(#,##0\);_("$"* "-"??_);_(@_)</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6-673A-FE4F-897D-247DF3A365D0}"/>
            </c:ext>
          </c:extLst>
        </c:ser>
        <c:ser>
          <c:idx val="6"/>
          <c:order val="7"/>
          <c:tx>
            <c:strRef>
              <c:f>'Cost per Gbps'!$D$42</c:f>
              <c:strCache>
                <c:ptCount val="1"/>
                <c:pt idx="0">
                  <c:v>400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Gbps'!$E$42:$U$42</c:f>
              <c:numCache>
                <c:formatCode>_("$"* #,##0_);_("$"* \(#,##0\);_("$"* "-"??_);_(@_)</c:formatCode>
                <c:ptCount val="17"/>
                <c:pt idx="8" formatCode="_(&quot;$&quot;* #,##0.0_);_(&quot;$&quot;* \(#,##0.0\);_(&quot;$&quot;* &quot;-&quot;??_);_(@_)">
                  <c:v>0</c:v>
                </c:pt>
                <c:pt idx="9" formatCode="_(&quot;$&quot;* #,##0.0_);_(&quot;$&quot;* \(#,##0.0\);_(&quot;$&quot;* &quot;-&quot;??_);_(@_)">
                  <c:v>0</c:v>
                </c:pt>
                <c:pt idx="10" formatCode="_(&quot;$&quot;* #,##0.0_);_(&quot;$&quot;* \(#,##0.0\);_(&quot;$&quot;* &quot;-&quot;??_);_(@_)">
                  <c:v>0</c:v>
                </c:pt>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7-673A-FE4F-897D-247DF3A365D0}"/>
            </c:ext>
          </c:extLst>
        </c:ser>
        <c:ser>
          <c:idx val="0"/>
          <c:order val="8"/>
          <c:tx>
            <c:strRef>
              <c:f>'Cost per Gbps'!$D$43</c:f>
              <c:strCache>
                <c:ptCount val="1"/>
                <c:pt idx="0">
                  <c:v>800 G</c:v>
                </c:pt>
              </c:strCache>
            </c:strRef>
          </c:tx>
          <c:cat>
            <c:numRef>
              <c:f>'Cost per Gbps'!$E$34:$U$34</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'Cost per Gbps'!$E$43:$U$43</c:f>
              <c:numCache>
                <c:formatCode>_("$"* #,##0_);_("$"* \(#,##0\);_("$"* "-"??_);_(@_)</c:formatCode>
                <c:ptCount val="17"/>
                <c:pt idx="11" formatCode="_(&quot;$&quot;* #,##0.0_);_(&quot;$&quot;* \(#,##0.0\);_(&quot;$&quot;* &quot;-&quot;??_);_(@_)">
                  <c:v>0</c:v>
                </c:pt>
                <c:pt idx="12" formatCode="_(&quot;$&quot;* #,##0.0_);_(&quot;$&quot;* \(#,##0.0\);_(&quot;$&quot;* &quot;-&quot;??_);_(@_)">
                  <c:v>0</c:v>
                </c:pt>
                <c:pt idx="13" formatCode="_(&quot;$&quot;* #,##0.0_);_(&quot;$&quot;* \(#,##0.0\);_(&quot;$&quot;* &quot;-&quot;??_);_(@_)">
                  <c:v>0</c:v>
                </c:pt>
                <c:pt idx="14" formatCode="_(&quot;$&quot;* #,##0.0_);_(&quot;$&quot;* \(#,##0.0\);_(&quot;$&quot;* &quot;-&quot;??_);_(@_)">
                  <c:v>0</c:v>
                </c:pt>
                <c:pt idx="15" formatCode="_(&quot;$&quot;* #,##0.0_);_(&quot;$&quot;* \(#,##0.0\);_(&quot;$&quot;* &quot;-&quot;??_);_(@_)">
                  <c:v>0</c:v>
                </c:pt>
                <c:pt idx="16" formatCode="_(&quot;$&quot;* #,##0.0_);_(&quot;$&quot;* \(#,##0.0\);_(&quot;$&quot;* &quot;-&quot;??_);_(@_)">
                  <c:v>0</c:v>
                </c:pt>
              </c:numCache>
            </c:numRef>
          </c:val>
          <c:smooth val="0"/>
          <c:extLst xmlns:c16r2="http://schemas.microsoft.com/office/drawing/2015/06/chart">
            <c:ext xmlns:c16="http://schemas.microsoft.com/office/drawing/2014/chart" uri="{C3380CC4-5D6E-409C-BE32-E72D297353CC}">
              <c16:uniqueId val="{00000000-371C-7A4A-B475-7A8A68F500AD}"/>
            </c:ext>
          </c:extLst>
        </c:ser>
        <c:dLbls>
          <c:showLegendKey val="0"/>
          <c:showVal val="0"/>
          <c:showCatName val="0"/>
          <c:showSerName val="0"/>
          <c:showPercent val="0"/>
          <c:showBubbleSize val="0"/>
        </c:dLbls>
        <c:marker val="1"/>
        <c:smooth val="0"/>
        <c:axId val="394021504"/>
        <c:axId val="394035584"/>
      </c:lineChart>
      <c:catAx>
        <c:axId val="394021504"/>
        <c:scaling>
          <c:orientation val="minMax"/>
        </c:scaling>
        <c:delete val="0"/>
        <c:axPos val="b"/>
        <c:numFmt formatCode="General" sourceLinked="1"/>
        <c:majorTickMark val="out"/>
        <c:minorTickMark val="none"/>
        <c:tickLblPos val="nextTo"/>
        <c:crossAx val="394035584"/>
        <c:crossesAt val="1"/>
        <c:auto val="1"/>
        <c:lblAlgn val="ctr"/>
        <c:lblOffset val="100"/>
        <c:noMultiLvlLbl val="0"/>
      </c:catAx>
      <c:valAx>
        <c:axId val="394035584"/>
        <c:scaling>
          <c:logBase val="10"/>
          <c:orientation val="minMax"/>
        </c:scaling>
        <c:delete val="0"/>
        <c:axPos val="l"/>
        <c:majorGridlines/>
        <c:numFmt formatCode="_(&quot;$&quot;* #,##0_);_(&quot;$&quot;* \(#,##0\);_(&quot;$&quot;* &quot;-&quot;??_);_(@_)" sourceLinked="1"/>
        <c:majorTickMark val="out"/>
        <c:minorTickMark val="none"/>
        <c:tickLblPos val="nextTo"/>
        <c:crossAx val="394021504"/>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93183253562663"/>
          <c:y val="6.1043671624380277E-2"/>
          <c:w val="0.75667207522978308"/>
          <c:h val="0.82297645086030913"/>
        </c:manualLayout>
      </c:layout>
      <c:lineChart>
        <c:grouping val="standard"/>
        <c:varyColors val="0"/>
        <c:ser>
          <c:idx val="0"/>
          <c:order val="0"/>
          <c:tx>
            <c:strRef>
              <c:f>'Figures for Report'!$B$97:$C$97</c:f>
              <c:strCache>
                <c:ptCount val="1"/>
                <c:pt idx="0">
                  <c:v>200G QSFP56</c:v>
                </c:pt>
              </c:strCache>
            </c:strRef>
          </c:tx>
          <c:cat>
            <c:numRef>
              <c:f>'Figures for Report'!$F$96:$N$96</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'Figures for Report'!$F$97:$N$97</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0-D489-A949-B1CD-CF00F2F9D84A}"/>
            </c:ext>
          </c:extLst>
        </c:ser>
        <c:ser>
          <c:idx val="1"/>
          <c:order val="1"/>
          <c:tx>
            <c:strRef>
              <c:f>'Figures for Report'!$B$98:$C$98</c:f>
              <c:strCache>
                <c:ptCount val="1"/>
                <c:pt idx="0">
                  <c:v>2x200G OSFP</c:v>
                </c:pt>
              </c:strCache>
            </c:strRef>
          </c:tx>
          <c:cat>
            <c:numRef>
              <c:f>'Figures for Report'!$F$96:$N$96</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'Figures for Report'!$F$98:$N$98</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1-D489-A949-B1CD-CF00F2F9D84A}"/>
            </c:ext>
          </c:extLst>
        </c:ser>
        <c:ser>
          <c:idx val="2"/>
          <c:order val="2"/>
          <c:tx>
            <c:strRef>
              <c:f>'Figures for Report'!$B$99:$C$99</c:f>
              <c:strCache>
                <c:ptCount val="1"/>
                <c:pt idx="0">
                  <c:v>400G (all)</c:v>
                </c:pt>
              </c:strCache>
            </c:strRef>
          </c:tx>
          <c:cat>
            <c:numRef>
              <c:f>'Figures for Report'!$F$96:$N$96</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'Figures for Report'!$F$99:$N$99</c:f>
              <c:numCache>
                <c:formatCode>_(* #,##0_);_(* \(#,##0\);_(* "-"??_);_(@_)</c:formatCode>
                <c:ptCount val="9"/>
                <c:pt idx="0">
                  <c:v>0</c:v>
                </c:pt>
                <c:pt idx="1">
                  <c:v>0</c:v>
                </c:pt>
                <c:pt idx="2">
                  <c:v>0</c:v>
                </c:pt>
                <c:pt idx="3">
                  <c:v>0</c:v>
                </c:pt>
                <c:pt idx="4">
                  <c:v>0</c:v>
                </c:pt>
                <c:pt idx="5">
                  <c:v>0</c:v>
                </c:pt>
                <c:pt idx="6">
                  <c:v>0</c:v>
                </c:pt>
                <c:pt idx="7">
                  <c:v>0</c:v>
                </c:pt>
                <c:pt idx="8">
                  <c:v>0</c:v>
                </c:pt>
              </c:numCache>
            </c:numRef>
          </c:val>
          <c:smooth val="0"/>
          <c:extLst xmlns:c16r2="http://schemas.microsoft.com/office/drawing/2015/06/chart">
            <c:ext xmlns:c16="http://schemas.microsoft.com/office/drawing/2014/chart" uri="{C3380CC4-5D6E-409C-BE32-E72D297353CC}">
              <c16:uniqueId val="{00000002-D489-A949-B1CD-CF00F2F9D84A}"/>
            </c:ext>
          </c:extLst>
        </c:ser>
        <c:ser>
          <c:idx val="3"/>
          <c:order val="3"/>
          <c:tx>
            <c:strRef>
              <c:f>'Figures for Report'!$B$100:$C$100</c:f>
              <c:strCache>
                <c:ptCount val="1"/>
                <c:pt idx="0">
                  <c:v>800G (all)</c:v>
                </c:pt>
              </c:strCache>
            </c:strRef>
          </c:tx>
          <c:cat>
            <c:numRef>
              <c:f>'Figures for Report'!$F$96:$N$96</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'Figures for Report'!$F$100:$N$100</c:f>
              <c:numCache>
                <c:formatCode>General</c:formatCode>
                <c:ptCount val="9"/>
                <c:pt idx="2" formatCode="_(* #,##0_);_(* \(#,##0\);_(* &quot;-&quot;??_);_(@_)">
                  <c:v>0</c:v>
                </c:pt>
                <c:pt idx="3" formatCode="_(* #,##0_);_(* \(#,##0\);_(* &quot;-&quot;??_);_(@_)">
                  <c:v>0</c:v>
                </c:pt>
                <c:pt idx="4" formatCode="_(* #,##0_);_(* \(#,##0\);_(* &quot;-&quot;??_);_(@_)">
                  <c:v>0</c:v>
                </c:pt>
                <c:pt idx="5" formatCode="_(* #,##0_);_(* \(#,##0\);_(* &quot;-&quot;??_);_(@_)">
                  <c:v>0</c:v>
                </c:pt>
                <c:pt idx="6" formatCode="_(* #,##0_);_(* \(#,##0\);_(* &quot;-&quot;??_);_(@_)">
                  <c:v>0</c:v>
                </c:pt>
                <c:pt idx="7" formatCode="_(* #,##0_);_(* \(#,##0\);_(* &quot;-&quot;??_);_(@_)">
                  <c:v>0</c:v>
                </c:pt>
                <c:pt idx="8" formatCode="_(* #,##0_);_(* \(#,##0\);_(* &quot;-&quot;??_);_(@_)">
                  <c:v>0</c:v>
                </c:pt>
              </c:numCache>
            </c:numRef>
          </c:val>
          <c:smooth val="0"/>
          <c:extLst xmlns:c16r2="http://schemas.microsoft.com/office/drawing/2015/06/chart">
            <c:ext xmlns:c16="http://schemas.microsoft.com/office/drawing/2014/chart" uri="{C3380CC4-5D6E-409C-BE32-E72D297353CC}">
              <c16:uniqueId val="{00000000-AD43-C14F-8144-CE3536D36ACA}"/>
            </c:ext>
          </c:extLst>
        </c:ser>
        <c:dLbls>
          <c:showLegendKey val="0"/>
          <c:showVal val="0"/>
          <c:showCatName val="0"/>
          <c:showSerName val="0"/>
          <c:showPercent val="0"/>
          <c:showBubbleSize val="0"/>
        </c:dLbls>
        <c:marker val="1"/>
        <c:smooth val="0"/>
        <c:axId val="393946240"/>
        <c:axId val="393947776"/>
      </c:lineChart>
      <c:catAx>
        <c:axId val="393946240"/>
        <c:scaling>
          <c:orientation val="minMax"/>
        </c:scaling>
        <c:delete val="0"/>
        <c:axPos val="b"/>
        <c:numFmt formatCode="General" sourceLinked="1"/>
        <c:majorTickMark val="out"/>
        <c:minorTickMark val="none"/>
        <c:tickLblPos val="nextTo"/>
        <c:txPr>
          <a:bodyPr/>
          <a:lstStyle/>
          <a:p>
            <a:pPr>
              <a:defRPr sz="1000"/>
            </a:pPr>
            <a:endParaRPr lang="en-US"/>
          </a:p>
        </c:txPr>
        <c:crossAx val="393947776"/>
        <c:crosses val="autoZero"/>
        <c:auto val="1"/>
        <c:lblAlgn val="ctr"/>
        <c:lblOffset val="100"/>
        <c:noMultiLvlLbl val="0"/>
      </c:catAx>
      <c:valAx>
        <c:axId val="393947776"/>
        <c:scaling>
          <c:orientation val="minMax"/>
        </c:scaling>
        <c:delete val="0"/>
        <c:axPos val="l"/>
        <c:majorGridlines/>
        <c:title>
          <c:tx>
            <c:rich>
              <a:bodyPr rot="-5400000" vert="horz"/>
              <a:lstStyle/>
              <a:p>
                <a:pPr>
                  <a:defRPr sz="1200"/>
                </a:pPr>
                <a:r>
                  <a:rPr lang="en-US" sz="1200"/>
                  <a:t>Annual shipments (Units)</a:t>
                </a:r>
              </a:p>
            </c:rich>
          </c:tx>
          <c:layout>
            <c:manualLayout>
              <c:xMode val="edge"/>
              <c:yMode val="edge"/>
              <c:x val="1.9388306471932945E-2"/>
              <c:y val="0.14852837095662924"/>
            </c:manualLayout>
          </c:layout>
          <c:overlay val="0"/>
        </c:title>
        <c:numFmt formatCode="_(* #,##0_);_(* \(#,##0\);_(* &quot;-&quot;??_);_(@_)" sourceLinked="1"/>
        <c:majorTickMark val="out"/>
        <c:minorTickMark val="none"/>
        <c:tickLblPos val="nextTo"/>
        <c:txPr>
          <a:bodyPr/>
          <a:lstStyle/>
          <a:p>
            <a:pPr>
              <a:defRPr sz="1000"/>
            </a:pPr>
            <a:endParaRPr lang="en-US"/>
          </a:p>
        </c:txPr>
        <c:crossAx val="393946240"/>
        <c:crosses val="autoZero"/>
        <c:crossBetween val="between"/>
      </c:valAx>
    </c:plotArea>
    <c:legend>
      <c:legendPos val="t"/>
      <c:layout>
        <c:manualLayout>
          <c:xMode val="edge"/>
          <c:yMode val="edge"/>
          <c:x val="0.22158628624904447"/>
          <c:y val="8.7962962962962965E-2"/>
          <c:w val="0.30326005997194533"/>
          <c:h val="0.34518968547305534"/>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95975104171402"/>
          <c:y val="4.5783050703567724E-2"/>
          <c:w val="0.77991029816880386"/>
          <c:h val="0.75020862958167966"/>
        </c:manualLayout>
      </c:layout>
      <c:barChart>
        <c:barDir val="col"/>
        <c:grouping val="stacked"/>
        <c:varyColors val="0"/>
        <c:ser>
          <c:idx val="0"/>
          <c:order val="0"/>
          <c:tx>
            <c:strRef>
              <c:f>'Figures for Report'!$B$122</c:f>
              <c:strCache>
                <c:ptCount val="1"/>
                <c:pt idx="0">
                  <c:v>CFP</c:v>
                </c:pt>
              </c:strCache>
            </c:strRef>
          </c:tx>
          <c:invertIfNegative val="0"/>
          <c:cat>
            <c:strRef>
              <c:f>'Figures for Report'!$C$121:$V$121</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'Figures for Report'!$C$122:$V$122</c:f>
              <c:numCache>
                <c:formatCode>General</c:formatCode>
                <c:ptCount val="20"/>
                <c:pt idx="0">
                  <c:v>28067</c:v>
                </c:pt>
                <c:pt idx="1">
                  <c:v>32818</c:v>
                </c:pt>
                <c:pt idx="2">
                  <c:v>35314</c:v>
                </c:pt>
                <c:pt idx="3">
                  <c:v>35999</c:v>
                </c:pt>
                <c:pt idx="4">
                  <c:v>23661</c:v>
                </c:pt>
                <c:pt idx="5">
                  <c:v>21460</c:v>
                </c:pt>
                <c:pt idx="6">
                  <c:v>17213</c:v>
                </c:pt>
                <c:pt idx="7">
                  <c:v>15176</c:v>
                </c:pt>
              </c:numCache>
            </c:numRef>
          </c:val>
          <c:extLst xmlns:c16r2="http://schemas.microsoft.com/office/drawing/2015/06/chart">
            <c:ext xmlns:c16="http://schemas.microsoft.com/office/drawing/2014/chart" uri="{C3380CC4-5D6E-409C-BE32-E72D297353CC}">
              <c16:uniqueId val="{00000000-37F5-3243-83AD-1A9EB3CE90C0}"/>
            </c:ext>
          </c:extLst>
        </c:ser>
        <c:ser>
          <c:idx val="1"/>
          <c:order val="1"/>
          <c:tx>
            <c:strRef>
              <c:f>'Figures for Report'!$B$123</c:f>
              <c:strCache>
                <c:ptCount val="1"/>
                <c:pt idx="0">
                  <c:v>CFP2</c:v>
                </c:pt>
              </c:strCache>
            </c:strRef>
          </c:tx>
          <c:invertIfNegative val="0"/>
          <c:cat>
            <c:strRef>
              <c:f>'Figures for Report'!$C$121:$V$121</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'Figures for Report'!$C$123:$V$123</c:f>
              <c:numCache>
                <c:formatCode>General</c:formatCode>
                <c:ptCount val="20"/>
                <c:pt idx="0">
                  <c:v>15919</c:v>
                </c:pt>
                <c:pt idx="1">
                  <c:v>19326</c:v>
                </c:pt>
                <c:pt idx="2">
                  <c:v>18177</c:v>
                </c:pt>
                <c:pt idx="3">
                  <c:v>28224</c:v>
                </c:pt>
                <c:pt idx="4">
                  <c:v>13780</c:v>
                </c:pt>
                <c:pt idx="5">
                  <c:v>16280</c:v>
                </c:pt>
                <c:pt idx="6">
                  <c:v>15584</c:v>
                </c:pt>
                <c:pt idx="7">
                  <c:v>16956</c:v>
                </c:pt>
              </c:numCache>
            </c:numRef>
          </c:val>
          <c:extLst xmlns:c16r2="http://schemas.microsoft.com/office/drawing/2015/06/chart">
            <c:ext xmlns:c16="http://schemas.microsoft.com/office/drawing/2014/chart" uri="{C3380CC4-5D6E-409C-BE32-E72D297353CC}">
              <c16:uniqueId val="{00000001-37F5-3243-83AD-1A9EB3CE90C0}"/>
            </c:ext>
          </c:extLst>
        </c:ser>
        <c:ser>
          <c:idx val="2"/>
          <c:order val="2"/>
          <c:tx>
            <c:strRef>
              <c:f>'Figures for Report'!$B$124</c:f>
              <c:strCache>
                <c:ptCount val="1"/>
                <c:pt idx="0">
                  <c:v>CFP4</c:v>
                </c:pt>
              </c:strCache>
            </c:strRef>
          </c:tx>
          <c:invertIfNegative val="0"/>
          <c:cat>
            <c:strRef>
              <c:f>'Figures for Report'!$C$121:$V$121</c:f>
              <c:strCache>
                <c:ptCount val="20"/>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strCache>
            </c:strRef>
          </c:cat>
          <c:val>
            <c:numRef>
              <c:f>'Figures for Report'!$C$124:$V$124</c:f>
              <c:numCache>
                <c:formatCode>General</c:formatCode>
                <c:ptCount val="20"/>
                <c:pt idx="0">
                  <c:v>1836</c:v>
                </c:pt>
                <c:pt idx="1">
                  <c:v>2935</c:v>
                </c:pt>
                <c:pt idx="2">
                  <c:v>3930</c:v>
                </c:pt>
                <c:pt idx="3">
                  <c:v>6263</c:v>
                </c:pt>
                <c:pt idx="4">
                  <c:v>6107</c:v>
                </c:pt>
                <c:pt idx="5">
                  <c:v>5338</c:v>
                </c:pt>
                <c:pt idx="6">
                  <c:v>3511</c:v>
                </c:pt>
                <c:pt idx="7">
                  <c:v>2915</c:v>
                </c:pt>
              </c:numCache>
            </c:numRef>
          </c:val>
          <c:extLst xmlns:c16r2="http://schemas.microsoft.com/office/drawing/2015/06/chart">
            <c:ext xmlns:c16="http://schemas.microsoft.com/office/drawing/2014/chart" uri="{C3380CC4-5D6E-409C-BE32-E72D297353CC}">
              <c16:uniqueId val="{00000002-37F5-3243-83AD-1A9EB3CE90C0}"/>
            </c:ext>
          </c:extLst>
        </c:ser>
        <c:dLbls>
          <c:showLegendKey val="0"/>
          <c:showVal val="0"/>
          <c:showCatName val="0"/>
          <c:showSerName val="0"/>
          <c:showPercent val="0"/>
          <c:showBubbleSize val="0"/>
        </c:dLbls>
        <c:gapWidth val="150"/>
        <c:overlap val="100"/>
        <c:axId val="394000256"/>
        <c:axId val="394001792"/>
      </c:barChart>
      <c:catAx>
        <c:axId val="394000256"/>
        <c:scaling>
          <c:orientation val="minMax"/>
        </c:scaling>
        <c:delete val="0"/>
        <c:axPos val="b"/>
        <c:numFmt formatCode="General" sourceLinked="0"/>
        <c:majorTickMark val="out"/>
        <c:minorTickMark val="none"/>
        <c:tickLblPos val="nextTo"/>
        <c:txPr>
          <a:bodyPr/>
          <a:lstStyle/>
          <a:p>
            <a:pPr>
              <a:defRPr sz="1100"/>
            </a:pPr>
            <a:endParaRPr lang="en-US"/>
          </a:p>
        </c:txPr>
        <c:crossAx val="394001792"/>
        <c:crosses val="autoZero"/>
        <c:auto val="1"/>
        <c:lblAlgn val="ctr"/>
        <c:lblOffset val="100"/>
        <c:noMultiLvlLbl val="0"/>
      </c:catAx>
      <c:valAx>
        <c:axId val="394001792"/>
        <c:scaling>
          <c:orientation val="minMax"/>
        </c:scaling>
        <c:delete val="0"/>
        <c:axPos val="l"/>
        <c:majorGridlines/>
        <c:title>
          <c:tx>
            <c:rich>
              <a:bodyPr rot="-5400000" vert="horz"/>
              <a:lstStyle/>
              <a:p>
                <a:pPr>
                  <a:defRPr sz="1100"/>
                </a:pPr>
                <a:r>
                  <a:rPr lang="en-US" sz="1100"/>
                  <a:t>Shipments (units)</a:t>
                </a:r>
              </a:p>
            </c:rich>
          </c:tx>
          <c:layout>
            <c:manualLayout>
              <c:xMode val="edge"/>
              <c:yMode val="edge"/>
              <c:x val="9.2758668651275571E-3"/>
              <c:y val="0.28989027314981852"/>
            </c:manualLayout>
          </c:layout>
          <c:overlay val="0"/>
        </c:title>
        <c:numFmt formatCode="#,##0" sourceLinked="0"/>
        <c:majorTickMark val="out"/>
        <c:minorTickMark val="none"/>
        <c:tickLblPos val="nextTo"/>
        <c:crossAx val="394000256"/>
        <c:crosses val="autoZero"/>
        <c:crossBetween val="between"/>
      </c:valAx>
    </c:plotArea>
    <c:legend>
      <c:legendPos val="t"/>
      <c:layout>
        <c:manualLayout>
          <c:xMode val="edge"/>
          <c:yMode val="edge"/>
          <c:x val="0.81433667673256638"/>
          <c:y val="7.0080862533692723E-2"/>
          <c:w val="0.14441522362658518"/>
          <c:h val="0.28303796931043995"/>
        </c:manualLayout>
      </c:layout>
      <c:overlay val="0"/>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9428784419699"/>
          <c:y val="5.1400554097404488E-2"/>
          <c:w val="0.84699324418767186"/>
          <c:h val="0.8326195683872849"/>
        </c:manualLayout>
      </c:layout>
      <c:barChart>
        <c:barDir val="col"/>
        <c:grouping val="stacked"/>
        <c:varyColors val="0"/>
        <c:ser>
          <c:idx val="0"/>
          <c:order val="0"/>
          <c:tx>
            <c:strRef>
              <c:f>'Figures for Report'!$C$70</c:f>
              <c:strCache>
                <c:ptCount val="1"/>
                <c:pt idx="0">
                  <c:v>400G</c:v>
                </c:pt>
              </c:strCache>
            </c:strRef>
          </c:tx>
          <c:invertIfNegative val="0"/>
          <c:cat>
            <c:numRef>
              <c:f>'Figures for Report'!$F$69:$N$69</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'Figures for Report'!$F$70:$N$70</c:f>
              <c:numCache>
                <c:formatCode>_("$"* #,##0_);_("$"* \(#,##0\);_("$"* "-"??_);_(@_)</c:formatCode>
                <c:ptCount val="9"/>
                <c:pt idx="0">
                  <c:v>0</c:v>
                </c:pt>
                <c:pt idx="1">
                  <c:v>0</c:v>
                </c:pt>
                <c:pt idx="2">
                  <c:v>0</c:v>
                </c:pt>
                <c:pt idx="3">
                  <c:v>0</c:v>
                </c:pt>
                <c:pt idx="4">
                  <c:v>0</c:v>
                </c:pt>
                <c:pt idx="5">
                  <c:v>0</c:v>
                </c:pt>
                <c:pt idx="6">
                  <c:v>0</c:v>
                </c:pt>
                <c:pt idx="7">
                  <c:v>0</c:v>
                </c:pt>
                <c:pt idx="8">
                  <c:v>0</c:v>
                </c:pt>
              </c:numCache>
            </c:numRef>
          </c:val>
        </c:ser>
        <c:ser>
          <c:idx val="1"/>
          <c:order val="1"/>
          <c:tx>
            <c:strRef>
              <c:f>'Figures for Report'!$C$71</c:f>
              <c:strCache>
                <c:ptCount val="1"/>
                <c:pt idx="0">
                  <c:v>800G</c:v>
                </c:pt>
              </c:strCache>
            </c:strRef>
          </c:tx>
          <c:invertIfNegative val="0"/>
          <c:cat>
            <c:numRef>
              <c:f>'Figures for Report'!$F$69:$N$69</c:f>
              <c:numCache>
                <c:formatCode>General</c:formatCode>
                <c:ptCount val="9"/>
                <c:pt idx="0">
                  <c:v>2018</c:v>
                </c:pt>
                <c:pt idx="1">
                  <c:v>2019</c:v>
                </c:pt>
                <c:pt idx="2">
                  <c:v>2020</c:v>
                </c:pt>
                <c:pt idx="3">
                  <c:v>2021</c:v>
                </c:pt>
                <c:pt idx="4">
                  <c:v>2022</c:v>
                </c:pt>
                <c:pt idx="5">
                  <c:v>2023</c:v>
                </c:pt>
                <c:pt idx="6">
                  <c:v>2024</c:v>
                </c:pt>
                <c:pt idx="7">
                  <c:v>2025</c:v>
                </c:pt>
                <c:pt idx="8">
                  <c:v>2026</c:v>
                </c:pt>
              </c:numCache>
            </c:numRef>
          </c:cat>
          <c:val>
            <c:numRef>
              <c:f>'Figures for Report'!$F$71:$N$71</c:f>
              <c:numCache>
                <c:formatCode>_("$"* #,##0_);_("$"* \(#,##0\);_("$"* "-"??_);_(@_)</c:formatCode>
                <c:ptCount val="9"/>
                <c:pt idx="0">
                  <c:v>0</c:v>
                </c:pt>
                <c:pt idx="1">
                  <c:v>0</c:v>
                </c:pt>
                <c:pt idx="2">
                  <c:v>0</c:v>
                </c:pt>
                <c:pt idx="3">
                  <c:v>0</c:v>
                </c:pt>
                <c:pt idx="4">
                  <c:v>0</c:v>
                </c:pt>
                <c:pt idx="5">
                  <c:v>0</c:v>
                </c:pt>
                <c:pt idx="6">
                  <c:v>0</c:v>
                </c:pt>
                <c:pt idx="7">
                  <c:v>0</c:v>
                </c:pt>
                <c:pt idx="8">
                  <c:v>0</c:v>
                </c:pt>
              </c:numCache>
            </c:numRef>
          </c:val>
        </c:ser>
        <c:dLbls>
          <c:showLegendKey val="0"/>
          <c:showVal val="0"/>
          <c:showCatName val="0"/>
          <c:showSerName val="0"/>
          <c:showPercent val="0"/>
          <c:showBubbleSize val="0"/>
        </c:dLbls>
        <c:gapWidth val="150"/>
        <c:overlap val="100"/>
        <c:axId val="394101120"/>
        <c:axId val="394102656"/>
      </c:barChart>
      <c:catAx>
        <c:axId val="394101120"/>
        <c:scaling>
          <c:orientation val="minMax"/>
        </c:scaling>
        <c:delete val="0"/>
        <c:axPos val="b"/>
        <c:numFmt formatCode="General" sourceLinked="1"/>
        <c:majorTickMark val="out"/>
        <c:minorTickMark val="none"/>
        <c:tickLblPos val="nextTo"/>
        <c:crossAx val="394102656"/>
        <c:crosses val="autoZero"/>
        <c:auto val="1"/>
        <c:lblAlgn val="ctr"/>
        <c:lblOffset val="100"/>
        <c:noMultiLvlLbl val="0"/>
      </c:catAx>
      <c:valAx>
        <c:axId val="394102656"/>
        <c:scaling>
          <c:orientation val="minMax"/>
        </c:scaling>
        <c:delete val="0"/>
        <c:axPos val="l"/>
        <c:majorGridlines/>
        <c:numFmt formatCode="_(&quot;$&quot;* #,##0_);_(&quot;$&quot;* \(#,##0\);_(&quot;$&quot;* &quot;-&quot;??_);_(@_)" sourceLinked="1"/>
        <c:majorTickMark val="out"/>
        <c:minorTickMark val="none"/>
        <c:tickLblPos val="nextTo"/>
        <c:crossAx val="394101120"/>
        <c:crosses val="autoZero"/>
        <c:crossBetween val="between"/>
      </c:valAx>
    </c:plotArea>
    <c:legend>
      <c:legendPos val="r"/>
      <c:layout>
        <c:manualLayout>
          <c:xMode val="edge"/>
          <c:yMode val="edge"/>
          <c:x val="0.14436807529236359"/>
          <c:y val="0.11535688247302421"/>
          <c:w val="0.12663784186739971"/>
          <c:h val="0.16743438320209975"/>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8" Type="http://schemas.openxmlformats.org/officeDocument/2006/relationships/chart" Target="../charts/chart71.xml"/><Relationship Id="rId13" Type="http://schemas.openxmlformats.org/officeDocument/2006/relationships/chart" Target="../charts/chart76.xml"/><Relationship Id="rId18" Type="http://schemas.openxmlformats.org/officeDocument/2006/relationships/chart" Target="../charts/chart81.xml"/><Relationship Id="rId3" Type="http://schemas.openxmlformats.org/officeDocument/2006/relationships/chart" Target="../charts/chart66.xml"/><Relationship Id="rId21" Type="http://schemas.openxmlformats.org/officeDocument/2006/relationships/chart" Target="../charts/chart84.xml"/><Relationship Id="rId7" Type="http://schemas.openxmlformats.org/officeDocument/2006/relationships/chart" Target="../charts/chart70.xml"/><Relationship Id="rId12" Type="http://schemas.openxmlformats.org/officeDocument/2006/relationships/chart" Target="../charts/chart75.xml"/><Relationship Id="rId17" Type="http://schemas.openxmlformats.org/officeDocument/2006/relationships/chart" Target="../charts/chart80.xml"/><Relationship Id="rId2" Type="http://schemas.openxmlformats.org/officeDocument/2006/relationships/chart" Target="../charts/chart65.xml"/><Relationship Id="rId16" Type="http://schemas.openxmlformats.org/officeDocument/2006/relationships/chart" Target="../charts/chart79.xml"/><Relationship Id="rId20" Type="http://schemas.openxmlformats.org/officeDocument/2006/relationships/chart" Target="../charts/chart83.xml"/><Relationship Id="rId1" Type="http://schemas.openxmlformats.org/officeDocument/2006/relationships/chart" Target="../charts/chart64.xml"/><Relationship Id="rId6" Type="http://schemas.openxmlformats.org/officeDocument/2006/relationships/chart" Target="../charts/chart69.xml"/><Relationship Id="rId11" Type="http://schemas.openxmlformats.org/officeDocument/2006/relationships/chart" Target="../charts/chart74.xml"/><Relationship Id="rId5" Type="http://schemas.openxmlformats.org/officeDocument/2006/relationships/chart" Target="../charts/chart68.xml"/><Relationship Id="rId15" Type="http://schemas.openxmlformats.org/officeDocument/2006/relationships/chart" Target="../charts/chart78.xml"/><Relationship Id="rId10" Type="http://schemas.openxmlformats.org/officeDocument/2006/relationships/chart" Target="../charts/chart73.xml"/><Relationship Id="rId19" Type="http://schemas.openxmlformats.org/officeDocument/2006/relationships/chart" Target="../charts/chart82.xml"/><Relationship Id="rId4" Type="http://schemas.openxmlformats.org/officeDocument/2006/relationships/chart" Target="../charts/chart67.xml"/><Relationship Id="rId9" Type="http://schemas.openxmlformats.org/officeDocument/2006/relationships/chart" Target="../charts/chart72.xml"/><Relationship Id="rId14" Type="http://schemas.openxmlformats.org/officeDocument/2006/relationships/chart" Target="../charts/chart77.xml"/><Relationship Id="rId22"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chart" Target="../charts/chart87.xml"/><Relationship Id="rId2" Type="http://schemas.openxmlformats.org/officeDocument/2006/relationships/chart" Target="../charts/chart86.xml"/><Relationship Id="rId1" Type="http://schemas.openxmlformats.org/officeDocument/2006/relationships/chart" Target="../charts/chart85.xml"/><Relationship Id="rId4"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9.xml"/><Relationship Id="rId1" Type="http://schemas.openxmlformats.org/officeDocument/2006/relationships/chart" Target="../charts/chart88.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92.xml"/><Relationship Id="rId2" Type="http://schemas.openxmlformats.org/officeDocument/2006/relationships/chart" Target="../charts/chart91.xml"/><Relationship Id="rId1" Type="http://schemas.openxmlformats.org/officeDocument/2006/relationships/chart" Target="../charts/chart90.xml"/><Relationship Id="rId6" Type="http://schemas.openxmlformats.org/officeDocument/2006/relationships/image" Target="../media/image1.png"/><Relationship Id="rId5" Type="http://schemas.openxmlformats.org/officeDocument/2006/relationships/chart" Target="../charts/chart94.xml"/><Relationship Id="rId4" Type="http://schemas.openxmlformats.org/officeDocument/2006/relationships/chart" Target="../charts/chart9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96.xml"/><Relationship Id="rId1" Type="http://schemas.openxmlformats.org/officeDocument/2006/relationships/chart" Target="../charts/chart95.xml"/><Relationship Id="rId5" Type="http://schemas.openxmlformats.org/officeDocument/2006/relationships/image" Target="../media/image2.png"/><Relationship Id="rId4" Type="http://schemas.openxmlformats.org/officeDocument/2006/relationships/chart" Target="../charts/chart9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3" Type="http://schemas.openxmlformats.org/officeDocument/2006/relationships/chart" Target="../charts/chart15.xml"/><Relationship Id="rId18" Type="http://schemas.openxmlformats.org/officeDocument/2006/relationships/chart" Target="../charts/chart20.xml"/><Relationship Id="rId26" Type="http://schemas.openxmlformats.org/officeDocument/2006/relationships/chart" Target="../charts/chart28.xml"/><Relationship Id="rId39" Type="http://schemas.openxmlformats.org/officeDocument/2006/relationships/chart" Target="../charts/chart40.xml"/><Relationship Id="rId21" Type="http://schemas.openxmlformats.org/officeDocument/2006/relationships/chart" Target="../charts/chart23.xml"/><Relationship Id="rId34" Type="http://schemas.openxmlformats.org/officeDocument/2006/relationships/chart" Target="../charts/chart36.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55" Type="http://schemas.openxmlformats.org/officeDocument/2006/relationships/chart" Target="../charts/chart56.xml"/><Relationship Id="rId7" Type="http://schemas.openxmlformats.org/officeDocument/2006/relationships/chart" Target="../charts/chart9.xml"/><Relationship Id="rId12" Type="http://schemas.openxmlformats.org/officeDocument/2006/relationships/chart" Target="../charts/chart14.xml"/><Relationship Id="rId17" Type="http://schemas.openxmlformats.org/officeDocument/2006/relationships/chart" Target="../charts/chart19.xml"/><Relationship Id="rId25" Type="http://schemas.openxmlformats.org/officeDocument/2006/relationships/chart" Target="../charts/chart27.xml"/><Relationship Id="rId33" Type="http://schemas.openxmlformats.org/officeDocument/2006/relationships/chart" Target="../charts/chart35.xml"/><Relationship Id="rId38" Type="http://schemas.openxmlformats.org/officeDocument/2006/relationships/image" Target="../media/image1.png"/><Relationship Id="rId46" Type="http://schemas.openxmlformats.org/officeDocument/2006/relationships/chart" Target="../charts/chart47.xml"/><Relationship Id="rId59" Type="http://schemas.openxmlformats.org/officeDocument/2006/relationships/chart" Target="../charts/chart60.xml"/><Relationship Id="rId2" Type="http://schemas.openxmlformats.org/officeDocument/2006/relationships/chart" Target="../charts/chart4.xml"/><Relationship Id="rId16" Type="http://schemas.openxmlformats.org/officeDocument/2006/relationships/chart" Target="../charts/chart18.xml"/><Relationship Id="rId20" Type="http://schemas.openxmlformats.org/officeDocument/2006/relationships/chart" Target="../charts/chart22.xml"/><Relationship Id="rId29" Type="http://schemas.openxmlformats.org/officeDocument/2006/relationships/chart" Target="../charts/chart31.xml"/><Relationship Id="rId41" Type="http://schemas.openxmlformats.org/officeDocument/2006/relationships/chart" Target="../charts/chart42.xml"/><Relationship Id="rId54" Type="http://schemas.openxmlformats.org/officeDocument/2006/relationships/chart" Target="../charts/chart55.xml"/><Relationship Id="rId1" Type="http://schemas.openxmlformats.org/officeDocument/2006/relationships/chart" Target="../charts/chart3.xml"/><Relationship Id="rId6" Type="http://schemas.openxmlformats.org/officeDocument/2006/relationships/chart" Target="../charts/chart8.xml"/><Relationship Id="rId11" Type="http://schemas.openxmlformats.org/officeDocument/2006/relationships/chart" Target="../charts/chart13.xml"/><Relationship Id="rId24" Type="http://schemas.openxmlformats.org/officeDocument/2006/relationships/chart" Target="../charts/chart26.xml"/><Relationship Id="rId32" Type="http://schemas.openxmlformats.org/officeDocument/2006/relationships/chart" Target="../charts/chart34.xml"/><Relationship Id="rId37" Type="http://schemas.openxmlformats.org/officeDocument/2006/relationships/chart" Target="../charts/chart39.xml"/><Relationship Id="rId40" Type="http://schemas.openxmlformats.org/officeDocument/2006/relationships/chart" Target="../charts/chart41.xml"/><Relationship Id="rId45" Type="http://schemas.openxmlformats.org/officeDocument/2006/relationships/chart" Target="../charts/chart46.xml"/><Relationship Id="rId53" Type="http://schemas.openxmlformats.org/officeDocument/2006/relationships/chart" Target="../charts/chart54.xml"/><Relationship Id="rId58" Type="http://schemas.openxmlformats.org/officeDocument/2006/relationships/chart" Target="../charts/chart59.xml"/><Relationship Id="rId5" Type="http://schemas.openxmlformats.org/officeDocument/2006/relationships/chart" Target="../charts/chart7.xml"/><Relationship Id="rId15" Type="http://schemas.openxmlformats.org/officeDocument/2006/relationships/chart" Target="../charts/chart17.xml"/><Relationship Id="rId23" Type="http://schemas.openxmlformats.org/officeDocument/2006/relationships/chart" Target="../charts/chart25.xml"/><Relationship Id="rId28" Type="http://schemas.openxmlformats.org/officeDocument/2006/relationships/chart" Target="../charts/chart30.xml"/><Relationship Id="rId36" Type="http://schemas.openxmlformats.org/officeDocument/2006/relationships/chart" Target="../charts/chart38.xml"/><Relationship Id="rId49" Type="http://schemas.openxmlformats.org/officeDocument/2006/relationships/chart" Target="../charts/chart50.xml"/><Relationship Id="rId57" Type="http://schemas.openxmlformats.org/officeDocument/2006/relationships/chart" Target="../charts/chart58.xml"/><Relationship Id="rId10" Type="http://schemas.openxmlformats.org/officeDocument/2006/relationships/chart" Target="../charts/chart12.xml"/><Relationship Id="rId19" Type="http://schemas.openxmlformats.org/officeDocument/2006/relationships/chart" Target="../charts/chart21.xml"/><Relationship Id="rId31" Type="http://schemas.openxmlformats.org/officeDocument/2006/relationships/chart" Target="../charts/chart33.xml"/><Relationship Id="rId44" Type="http://schemas.openxmlformats.org/officeDocument/2006/relationships/chart" Target="../charts/chart45.xml"/><Relationship Id="rId52" Type="http://schemas.openxmlformats.org/officeDocument/2006/relationships/chart" Target="../charts/chart53.xml"/><Relationship Id="rId4" Type="http://schemas.openxmlformats.org/officeDocument/2006/relationships/chart" Target="../charts/chart6.xml"/><Relationship Id="rId9" Type="http://schemas.openxmlformats.org/officeDocument/2006/relationships/chart" Target="../charts/chart11.xml"/><Relationship Id="rId14" Type="http://schemas.openxmlformats.org/officeDocument/2006/relationships/chart" Target="../charts/chart16.xml"/><Relationship Id="rId22" Type="http://schemas.openxmlformats.org/officeDocument/2006/relationships/chart" Target="../charts/chart24.xml"/><Relationship Id="rId27" Type="http://schemas.openxmlformats.org/officeDocument/2006/relationships/chart" Target="../charts/chart29.xml"/><Relationship Id="rId30" Type="http://schemas.openxmlformats.org/officeDocument/2006/relationships/chart" Target="../charts/chart32.xml"/><Relationship Id="rId35" Type="http://schemas.openxmlformats.org/officeDocument/2006/relationships/chart" Target="../charts/chart37.xml"/><Relationship Id="rId43" Type="http://schemas.openxmlformats.org/officeDocument/2006/relationships/chart" Target="../charts/chart44.xml"/><Relationship Id="rId48" Type="http://schemas.openxmlformats.org/officeDocument/2006/relationships/chart" Target="../charts/chart49.xml"/><Relationship Id="rId56" Type="http://schemas.openxmlformats.org/officeDocument/2006/relationships/chart" Target="../charts/chart57.xml"/><Relationship Id="rId8" Type="http://schemas.openxmlformats.org/officeDocument/2006/relationships/chart" Target="../charts/chart10.xml"/><Relationship Id="rId51" Type="http://schemas.openxmlformats.org/officeDocument/2006/relationships/chart" Target="../charts/chart52.xml"/><Relationship Id="rId3"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3.xml"/><Relationship Id="rId2" Type="http://schemas.openxmlformats.org/officeDocument/2006/relationships/chart" Target="../charts/chart62.xml"/><Relationship Id="rId1" Type="http://schemas.openxmlformats.org/officeDocument/2006/relationships/chart" Target="../charts/chart61.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27214</xdr:colOff>
      <xdr:row>0</xdr:row>
      <xdr:rowOff>99786</xdr:rowOff>
    </xdr:from>
    <xdr:to>
      <xdr:col>11</xdr:col>
      <xdr:colOff>394390</xdr:colOff>
      <xdr:row>3</xdr:row>
      <xdr:rowOff>139130</xdr:rowOff>
    </xdr:to>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a:stretch>
          <a:fillRect/>
        </a:stretch>
      </xdr:blipFill>
      <xdr:spPr>
        <a:xfrm>
          <a:off x="8336643" y="99786"/>
          <a:ext cx="2943461" cy="62898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181429</xdr:colOff>
      <xdr:row>0</xdr:row>
      <xdr:rowOff>0</xdr:rowOff>
    </xdr:from>
    <xdr:to>
      <xdr:col>12</xdr:col>
      <xdr:colOff>439747</xdr:colOff>
      <xdr:row>3</xdr:row>
      <xdr:rowOff>31407</xdr:rowOff>
    </xdr:to>
    <xdr:pic>
      <xdr:nvPicPr>
        <xdr:cNvPr id="3" name="Picture 2">
          <a:extLst>
            <a:ext uri="{FF2B5EF4-FFF2-40B4-BE49-F238E27FC236}">
              <a16:creationId xmlns:a16="http://schemas.microsoft.com/office/drawing/2014/main" xmlns="" id="{00000000-0008-0000-1700-000003000000}"/>
            </a:ext>
          </a:extLst>
        </xdr:cNvPr>
        <xdr:cNvPicPr>
          <a:picLocks noChangeAspect="1"/>
        </xdr:cNvPicPr>
      </xdr:nvPicPr>
      <xdr:blipFill>
        <a:blip xmlns:r="http://schemas.openxmlformats.org/officeDocument/2006/relationships" r:embed="rId1"/>
        <a:stretch>
          <a:fillRect/>
        </a:stretch>
      </xdr:blipFill>
      <xdr:spPr>
        <a:xfrm>
          <a:off x="13380358" y="0"/>
          <a:ext cx="2870889" cy="62898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499936</xdr:colOff>
      <xdr:row>0</xdr:row>
      <xdr:rowOff>109866</xdr:rowOff>
    </xdr:from>
    <xdr:to>
      <xdr:col>13</xdr:col>
      <xdr:colOff>32539</xdr:colOff>
      <xdr:row>3</xdr:row>
      <xdr:rowOff>78654</xdr:rowOff>
    </xdr:to>
    <xdr:pic>
      <xdr:nvPicPr>
        <xdr:cNvPr id="3" name="Picture 2">
          <a:extLst>
            <a:ext uri="{FF2B5EF4-FFF2-40B4-BE49-F238E27FC236}">
              <a16:creationId xmlns:a16="http://schemas.microsoft.com/office/drawing/2014/main" xmlns="" id="{00000000-0008-0000-1800-000003000000}"/>
            </a:ext>
          </a:extLst>
        </xdr:cNvPr>
        <xdr:cNvPicPr>
          <a:picLocks noChangeAspect="1"/>
        </xdr:cNvPicPr>
      </xdr:nvPicPr>
      <xdr:blipFill>
        <a:blip xmlns:r="http://schemas.openxmlformats.org/officeDocument/2006/relationships" r:embed="rId1"/>
        <a:stretch>
          <a:fillRect/>
        </a:stretch>
      </xdr:blipFill>
      <xdr:spPr>
        <a:xfrm>
          <a:off x="14124214" y="109866"/>
          <a:ext cx="2891048" cy="62495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201657</xdr:colOff>
      <xdr:row>7</xdr:row>
      <xdr:rowOff>102052</xdr:rowOff>
    </xdr:from>
    <xdr:to>
      <xdr:col>6</xdr:col>
      <xdr:colOff>381000</xdr:colOff>
      <xdr:row>29</xdr:row>
      <xdr:rowOff>27215</xdr:rowOff>
    </xdr:to>
    <xdr:graphicFrame macro="">
      <xdr:nvGraphicFramePr>
        <xdr:cNvPr id="3" name="Chart 2">
          <a:extLst>
            <a:ext uri="{FF2B5EF4-FFF2-40B4-BE49-F238E27FC236}">
              <a16:creationId xmlns:a16="http://schemas.microsoft.com/office/drawing/2014/main" xmlns=""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603250</xdr:colOff>
      <xdr:row>8</xdr:row>
      <xdr:rowOff>38101</xdr:rowOff>
    </xdr:from>
    <xdr:to>
      <xdr:col>13</xdr:col>
      <xdr:colOff>449036</xdr:colOff>
      <xdr:row>29</xdr:row>
      <xdr:rowOff>40823</xdr:rowOff>
    </xdr:to>
    <xdr:graphicFrame macro="">
      <xdr:nvGraphicFramePr>
        <xdr:cNvPr id="4" name="Chart 3">
          <a:extLst>
            <a:ext uri="{FF2B5EF4-FFF2-40B4-BE49-F238E27FC236}">
              <a16:creationId xmlns:a16="http://schemas.microsoft.com/office/drawing/2014/main" xmlns="" id="{00000000-0008-0000-1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678</xdr:colOff>
      <xdr:row>259</xdr:row>
      <xdr:rowOff>95250</xdr:rowOff>
    </xdr:from>
    <xdr:to>
      <xdr:col>7</xdr:col>
      <xdr:colOff>142874</xdr:colOff>
      <xdr:row>279</xdr:row>
      <xdr:rowOff>27214</xdr:rowOff>
    </xdr:to>
    <xdr:graphicFrame macro="">
      <xdr:nvGraphicFramePr>
        <xdr:cNvPr id="25" name="Chart 24">
          <a:extLst>
            <a:ext uri="{FF2B5EF4-FFF2-40B4-BE49-F238E27FC236}">
              <a16:creationId xmlns:a16="http://schemas.microsoft.com/office/drawing/2014/main" xmlns="" id="{00000000-0008-0000-19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396874</xdr:colOff>
      <xdr:row>259</xdr:row>
      <xdr:rowOff>85498</xdr:rowOff>
    </xdr:from>
    <xdr:to>
      <xdr:col>15</xdr:col>
      <xdr:colOff>47624</xdr:colOff>
      <xdr:row>279</xdr:row>
      <xdr:rowOff>17462</xdr:rowOff>
    </xdr:to>
    <xdr:graphicFrame macro="">
      <xdr:nvGraphicFramePr>
        <xdr:cNvPr id="26" name="Chart 25">
          <a:extLst>
            <a:ext uri="{FF2B5EF4-FFF2-40B4-BE49-F238E27FC236}">
              <a16:creationId xmlns:a16="http://schemas.microsoft.com/office/drawing/2014/main" xmlns="" id="{00000000-0008-0000-1900-00001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47625</xdr:colOff>
      <xdr:row>221</xdr:row>
      <xdr:rowOff>9525</xdr:rowOff>
    </xdr:from>
    <xdr:to>
      <xdr:col>14</xdr:col>
      <xdr:colOff>539750</xdr:colOff>
      <xdr:row>241</xdr:row>
      <xdr:rowOff>97972</xdr:rowOff>
    </xdr:to>
    <xdr:graphicFrame macro="">
      <xdr:nvGraphicFramePr>
        <xdr:cNvPr id="29" name="Chart 28">
          <a:extLst>
            <a:ext uri="{FF2B5EF4-FFF2-40B4-BE49-F238E27FC236}">
              <a16:creationId xmlns:a16="http://schemas.microsoft.com/office/drawing/2014/main" xmlns="" id="{00000000-0008-0000-19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29935</xdr:colOff>
      <xdr:row>48</xdr:row>
      <xdr:rowOff>43544</xdr:rowOff>
    </xdr:from>
    <xdr:to>
      <xdr:col>6</xdr:col>
      <xdr:colOff>23813</xdr:colOff>
      <xdr:row>67</xdr:row>
      <xdr:rowOff>74838</xdr:rowOff>
    </xdr:to>
    <xdr:graphicFrame macro="">
      <xdr:nvGraphicFramePr>
        <xdr:cNvPr id="34" name="Chart 33">
          <a:extLst>
            <a:ext uri="{FF2B5EF4-FFF2-40B4-BE49-F238E27FC236}">
              <a16:creationId xmlns:a16="http://schemas.microsoft.com/office/drawing/2014/main" xmlns="" id="{00000000-0008-0000-1900-00002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119063</xdr:colOff>
      <xdr:row>48</xdr:row>
      <xdr:rowOff>71665</xdr:rowOff>
    </xdr:from>
    <xdr:to>
      <xdr:col>10</xdr:col>
      <xdr:colOff>762000</xdr:colOff>
      <xdr:row>67</xdr:row>
      <xdr:rowOff>100240</xdr:rowOff>
    </xdr:to>
    <xdr:graphicFrame macro="">
      <xdr:nvGraphicFramePr>
        <xdr:cNvPr id="35" name="Chart 34">
          <a:extLst>
            <a:ext uri="{FF2B5EF4-FFF2-40B4-BE49-F238E27FC236}">
              <a16:creationId xmlns:a16="http://schemas.microsoft.com/office/drawing/2014/main" xmlns="" id="{00000000-0008-0000-1900-00002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81913</xdr:colOff>
      <xdr:row>221</xdr:row>
      <xdr:rowOff>50344</xdr:rowOff>
    </xdr:from>
    <xdr:to>
      <xdr:col>7</xdr:col>
      <xdr:colOff>119061</xdr:colOff>
      <xdr:row>241</xdr:row>
      <xdr:rowOff>138790</xdr:rowOff>
    </xdr:to>
    <xdr:graphicFrame macro="">
      <xdr:nvGraphicFramePr>
        <xdr:cNvPr id="36" name="Chart 35">
          <a:extLst>
            <a:ext uri="{FF2B5EF4-FFF2-40B4-BE49-F238E27FC236}">
              <a16:creationId xmlns:a16="http://schemas.microsoft.com/office/drawing/2014/main" xmlns="" id="{00000000-0008-0000-19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158747</xdr:colOff>
      <xdr:row>69</xdr:row>
      <xdr:rowOff>85727</xdr:rowOff>
    </xdr:from>
    <xdr:to>
      <xdr:col>6</xdr:col>
      <xdr:colOff>23812</xdr:colOff>
      <xdr:row>88</xdr:row>
      <xdr:rowOff>114300</xdr:rowOff>
    </xdr:to>
    <xdr:graphicFrame macro="">
      <xdr:nvGraphicFramePr>
        <xdr:cNvPr id="15" name="Chart 14">
          <a:extLst>
            <a:ext uri="{FF2B5EF4-FFF2-40B4-BE49-F238E27FC236}">
              <a16:creationId xmlns:a16="http://schemas.microsoft.com/office/drawing/2014/main" xmlns="" id="{00000000-0008-0000-19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111126</xdr:colOff>
      <xdr:row>69</xdr:row>
      <xdr:rowOff>85727</xdr:rowOff>
    </xdr:from>
    <xdr:to>
      <xdr:col>10</xdr:col>
      <xdr:colOff>706438</xdr:colOff>
      <xdr:row>88</xdr:row>
      <xdr:rowOff>114300</xdr:rowOff>
    </xdr:to>
    <xdr:graphicFrame macro="">
      <xdr:nvGraphicFramePr>
        <xdr:cNvPr id="16" name="Chart 15">
          <a:extLst>
            <a:ext uri="{FF2B5EF4-FFF2-40B4-BE49-F238E27FC236}">
              <a16:creationId xmlns:a16="http://schemas.microsoft.com/office/drawing/2014/main" xmlns="" id="{00000000-0008-0000-19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201657</xdr:colOff>
      <xdr:row>93</xdr:row>
      <xdr:rowOff>102052</xdr:rowOff>
    </xdr:from>
    <xdr:to>
      <xdr:col>6</xdr:col>
      <xdr:colOff>619125</xdr:colOff>
      <xdr:row>115</xdr:row>
      <xdr:rowOff>27215</xdr:rowOff>
    </xdr:to>
    <xdr:graphicFrame macro="">
      <xdr:nvGraphicFramePr>
        <xdr:cNvPr id="17" name="Chart 16">
          <a:extLst>
            <a:ext uri="{FF2B5EF4-FFF2-40B4-BE49-F238E27FC236}">
              <a16:creationId xmlns:a16="http://schemas.microsoft.com/office/drawing/2014/main" xmlns="" id="{00000000-0008-0000-19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896938</xdr:colOff>
      <xdr:row>94</xdr:row>
      <xdr:rowOff>38101</xdr:rowOff>
    </xdr:from>
    <xdr:to>
      <xdr:col>13</xdr:col>
      <xdr:colOff>904875</xdr:colOff>
      <xdr:row>115</xdr:row>
      <xdr:rowOff>40823</xdr:rowOff>
    </xdr:to>
    <xdr:graphicFrame macro="">
      <xdr:nvGraphicFramePr>
        <xdr:cNvPr id="18" name="Chart 17">
          <a:extLst>
            <a:ext uri="{FF2B5EF4-FFF2-40B4-BE49-F238E27FC236}">
              <a16:creationId xmlns:a16="http://schemas.microsoft.com/office/drawing/2014/main" xmlns="" id="{00000000-0008-0000-19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201657</xdr:colOff>
      <xdr:row>135</xdr:row>
      <xdr:rowOff>102052</xdr:rowOff>
    </xdr:from>
    <xdr:to>
      <xdr:col>6</xdr:col>
      <xdr:colOff>984250</xdr:colOff>
      <xdr:row>157</xdr:row>
      <xdr:rowOff>27215</xdr:rowOff>
    </xdr:to>
    <xdr:graphicFrame macro="">
      <xdr:nvGraphicFramePr>
        <xdr:cNvPr id="23" name="Chart 22">
          <a:extLst>
            <a:ext uri="{FF2B5EF4-FFF2-40B4-BE49-F238E27FC236}">
              <a16:creationId xmlns:a16="http://schemas.microsoft.com/office/drawing/2014/main" xmlns="" id="{00000000-0008-0000-19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182562</xdr:colOff>
      <xdr:row>136</xdr:row>
      <xdr:rowOff>38101</xdr:rowOff>
    </xdr:from>
    <xdr:to>
      <xdr:col>14</xdr:col>
      <xdr:colOff>55563</xdr:colOff>
      <xdr:row>157</xdr:row>
      <xdr:rowOff>40823</xdr:rowOff>
    </xdr:to>
    <xdr:graphicFrame macro="">
      <xdr:nvGraphicFramePr>
        <xdr:cNvPr id="24" name="Chart 23">
          <a:extLst>
            <a:ext uri="{FF2B5EF4-FFF2-40B4-BE49-F238E27FC236}">
              <a16:creationId xmlns:a16="http://schemas.microsoft.com/office/drawing/2014/main" xmlns="" id="{00000000-0008-0000-19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100057</xdr:colOff>
      <xdr:row>177</xdr:row>
      <xdr:rowOff>63952</xdr:rowOff>
    </xdr:from>
    <xdr:to>
      <xdr:col>6</xdr:col>
      <xdr:colOff>944563</xdr:colOff>
      <xdr:row>198</xdr:row>
      <xdr:rowOff>147865</xdr:rowOff>
    </xdr:to>
    <xdr:graphicFrame macro="">
      <xdr:nvGraphicFramePr>
        <xdr:cNvPr id="37" name="Chart 36">
          <a:extLst>
            <a:ext uri="{FF2B5EF4-FFF2-40B4-BE49-F238E27FC236}">
              <a16:creationId xmlns:a16="http://schemas.microsoft.com/office/drawing/2014/main" xmlns="" id="{00000000-0008-0000-19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127000</xdr:colOff>
      <xdr:row>178</xdr:row>
      <xdr:rowOff>1</xdr:rowOff>
    </xdr:from>
    <xdr:to>
      <xdr:col>13</xdr:col>
      <xdr:colOff>793750</xdr:colOff>
      <xdr:row>199</xdr:row>
      <xdr:rowOff>2723</xdr:rowOff>
    </xdr:to>
    <xdr:graphicFrame macro="">
      <xdr:nvGraphicFramePr>
        <xdr:cNvPr id="38" name="Chart 37">
          <a:extLst>
            <a:ext uri="{FF2B5EF4-FFF2-40B4-BE49-F238E27FC236}">
              <a16:creationId xmlns:a16="http://schemas.microsoft.com/office/drawing/2014/main" xmlns="" id="{00000000-0008-0000-19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814432</xdr:colOff>
      <xdr:row>94</xdr:row>
      <xdr:rowOff>95702</xdr:rowOff>
    </xdr:from>
    <xdr:to>
      <xdr:col>24</xdr:col>
      <xdr:colOff>422275</xdr:colOff>
      <xdr:row>115</xdr:row>
      <xdr:rowOff>179615</xdr:rowOff>
    </xdr:to>
    <xdr:graphicFrame macro="">
      <xdr:nvGraphicFramePr>
        <xdr:cNvPr id="39" name="Chart 38">
          <a:extLst>
            <a:ext uri="{FF2B5EF4-FFF2-40B4-BE49-F238E27FC236}">
              <a16:creationId xmlns:a16="http://schemas.microsoft.com/office/drawing/2014/main" xmlns="" id="{00000000-0008-0000-19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61957</xdr:colOff>
      <xdr:row>117</xdr:row>
      <xdr:rowOff>136977</xdr:rowOff>
    </xdr:from>
    <xdr:to>
      <xdr:col>25</xdr:col>
      <xdr:colOff>19050</xdr:colOff>
      <xdr:row>137</xdr:row>
      <xdr:rowOff>78015</xdr:rowOff>
    </xdr:to>
    <xdr:graphicFrame macro="">
      <xdr:nvGraphicFramePr>
        <xdr:cNvPr id="40" name="Chart 39">
          <a:extLst>
            <a:ext uri="{FF2B5EF4-FFF2-40B4-BE49-F238E27FC236}">
              <a16:creationId xmlns:a16="http://schemas.microsoft.com/office/drawing/2014/main" xmlns="" id="{00000000-0008-0000-19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261982</xdr:colOff>
      <xdr:row>139</xdr:row>
      <xdr:rowOff>83002</xdr:rowOff>
    </xdr:from>
    <xdr:to>
      <xdr:col>25</xdr:col>
      <xdr:colOff>219075</xdr:colOff>
      <xdr:row>160</xdr:row>
      <xdr:rowOff>55790</xdr:rowOff>
    </xdr:to>
    <xdr:graphicFrame macro="">
      <xdr:nvGraphicFramePr>
        <xdr:cNvPr id="41" name="Chart 40">
          <a:extLst>
            <a:ext uri="{FF2B5EF4-FFF2-40B4-BE49-F238E27FC236}">
              <a16:creationId xmlns:a16="http://schemas.microsoft.com/office/drawing/2014/main" xmlns="" id="{00000000-0008-0000-19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xdr:col>
      <xdr:colOff>36557</xdr:colOff>
      <xdr:row>7</xdr:row>
      <xdr:rowOff>111577</xdr:rowOff>
    </xdr:from>
    <xdr:to>
      <xdr:col>24</xdr:col>
      <xdr:colOff>612775</xdr:colOff>
      <xdr:row>29</xdr:row>
      <xdr:rowOff>36740</xdr:rowOff>
    </xdr:to>
    <xdr:graphicFrame macro="">
      <xdr:nvGraphicFramePr>
        <xdr:cNvPr id="42" name="Chart 41">
          <a:extLst>
            <a:ext uri="{FF2B5EF4-FFF2-40B4-BE49-F238E27FC236}">
              <a16:creationId xmlns:a16="http://schemas.microsoft.com/office/drawing/2014/main" xmlns="" id="{00000000-0008-0000-19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xdr:col>
      <xdr:colOff>477882</xdr:colOff>
      <xdr:row>161</xdr:row>
      <xdr:rowOff>156027</xdr:rowOff>
    </xdr:from>
    <xdr:to>
      <xdr:col>25</xdr:col>
      <xdr:colOff>434975</xdr:colOff>
      <xdr:row>181</xdr:row>
      <xdr:rowOff>97065</xdr:rowOff>
    </xdr:to>
    <xdr:graphicFrame macro="">
      <xdr:nvGraphicFramePr>
        <xdr:cNvPr id="43" name="Chart 42">
          <a:extLst>
            <a:ext uri="{FF2B5EF4-FFF2-40B4-BE49-F238E27FC236}">
              <a16:creationId xmlns:a16="http://schemas.microsoft.com/office/drawing/2014/main" xmlns="" id="{00000000-0008-0000-19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6</xdr:col>
      <xdr:colOff>0</xdr:colOff>
      <xdr:row>1</xdr:row>
      <xdr:rowOff>0</xdr:rowOff>
    </xdr:from>
    <xdr:to>
      <xdr:col>8</xdr:col>
      <xdr:colOff>857031</xdr:colOff>
      <xdr:row>3</xdr:row>
      <xdr:rowOff>193559</xdr:rowOff>
    </xdr:to>
    <xdr:pic>
      <xdr:nvPicPr>
        <xdr:cNvPr id="27" name="Picture 26">
          <a:extLst>
            <a:ext uri="{FF2B5EF4-FFF2-40B4-BE49-F238E27FC236}">
              <a16:creationId xmlns:a16="http://schemas.microsoft.com/office/drawing/2014/main" xmlns="" id="{00000000-0008-0000-1900-00001B000000}"/>
            </a:ext>
          </a:extLst>
        </xdr:cNvPr>
        <xdr:cNvPicPr>
          <a:picLocks noChangeAspect="1"/>
        </xdr:cNvPicPr>
      </xdr:nvPicPr>
      <xdr:blipFill>
        <a:blip xmlns:r="http://schemas.openxmlformats.org/officeDocument/2006/relationships" r:embed="rId22"/>
        <a:stretch>
          <a:fillRect/>
        </a:stretch>
      </xdr:blipFill>
      <xdr:spPr>
        <a:xfrm>
          <a:off x="11820071" y="163286"/>
          <a:ext cx="2870889" cy="62898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39233</xdr:colOff>
      <xdr:row>6</xdr:row>
      <xdr:rowOff>123144</xdr:rowOff>
    </xdr:from>
    <xdr:to>
      <xdr:col>5</xdr:col>
      <xdr:colOff>960436</xdr:colOff>
      <xdr:row>25</xdr:row>
      <xdr:rowOff>56469</xdr:rowOff>
    </xdr:to>
    <xdr:graphicFrame macro="">
      <xdr:nvGraphicFramePr>
        <xdr:cNvPr id="3" name="Chart 2">
          <a:extLst>
            <a:ext uri="{FF2B5EF4-FFF2-40B4-BE49-F238E27FC236}">
              <a16:creationId xmlns:a16="http://schemas.microsoft.com/office/drawing/2014/main" xmlns=""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23812</xdr:colOff>
      <xdr:row>6</xdr:row>
      <xdr:rowOff>121444</xdr:rowOff>
    </xdr:from>
    <xdr:to>
      <xdr:col>10</xdr:col>
      <xdr:colOff>783544</xdr:colOff>
      <xdr:row>25</xdr:row>
      <xdr:rowOff>54768</xdr:rowOff>
    </xdr:to>
    <xdr:graphicFrame macro="">
      <xdr:nvGraphicFramePr>
        <xdr:cNvPr id="4" name="Chart 3">
          <a:extLst>
            <a:ext uri="{FF2B5EF4-FFF2-40B4-BE49-F238E27FC236}">
              <a16:creationId xmlns:a16="http://schemas.microsoft.com/office/drawing/2014/main" xmlns="" id="{00000000-0008-0000-1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132670</xdr:colOff>
      <xdr:row>6</xdr:row>
      <xdr:rowOff>64635</xdr:rowOff>
    </xdr:from>
    <xdr:to>
      <xdr:col>22</xdr:col>
      <xdr:colOff>384401</xdr:colOff>
      <xdr:row>24</xdr:row>
      <xdr:rowOff>159886</xdr:rowOff>
    </xdr:to>
    <xdr:graphicFrame macro="">
      <xdr:nvGraphicFramePr>
        <xdr:cNvPr id="2" name="Chart 1">
          <a:extLst>
            <a:ext uri="{FF2B5EF4-FFF2-40B4-BE49-F238E27FC236}">
              <a16:creationId xmlns:a16="http://schemas.microsoft.com/office/drawing/2014/main" xmlns=""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11</xdr:col>
      <xdr:colOff>0</xdr:colOff>
      <xdr:row>1</xdr:row>
      <xdr:rowOff>0</xdr:rowOff>
    </xdr:from>
    <xdr:to>
      <xdr:col>14</xdr:col>
      <xdr:colOff>529326</xdr:colOff>
      <xdr:row>3</xdr:row>
      <xdr:rowOff>192425</xdr:rowOff>
    </xdr:to>
    <xdr:pic>
      <xdr:nvPicPr>
        <xdr:cNvPr id="6" name="Picture 5">
          <a:extLst>
            <a:ext uri="{FF2B5EF4-FFF2-40B4-BE49-F238E27FC236}">
              <a16:creationId xmlns:a16="http://schemas.microsoft.com/office/drawing/2014/main" xmlns="" id="{00000000-0008-0000-1A00-000006000000}"/>
            </a:ext>
          </a:extLst>
        </xdr:cNvPr>
        <xdr:cNvPicPr>
          <a:picLocks noChangeAspect="1"/>
        </xdr:cNvPicPr>
      </xdr:nvPicPr>
      <xdr:blipFill>
        <a:blip xmlns:r="http://schemas.openxmlformats.org/officeDocument/2006/relationships" r:embed="rId4"/>
        <a:stretch>
          <a:fillRect/>
        </a:stretch>
      </xdr:blipFill>
      <xdr:spPr>
        <a:xfrm>
          <a:off x="12604750" y="166688"/>
          <a:ext cx="2870889" cy="628987"/>
        </a:xfrm>
        <a:prstGeom prst="rect">
          <a:avLst/>
        </a:prstGeom>
      </xdr:spPr>
    </xdr:pic>
    <xdr:clientData/>
  </xdr:twoCellAnchor>
</xdr:wsDr>
</file>

<file path=xl/drawings/drawing14.xml><?xml version="1.0" encoding="utf-8"?>
<c:userShapes xmlns:c="http://schemas.openxmlformats.org/drawingml/2006/chart">
  <cdr:relSizeAnchor xmlns:cdr="http://schemas.openxmlformats.org/drawingml/2006/chartDrawing">
    <cdr:from>
      <cdr:x>0.32839</cdr:x>
      <cdr:y>0.1845</cdr:y>
    </cdr:from>
    <cdr:to>
      <cdr:x>0.66007</cdr:x>
      <cdr:y>0.25063</cdr:y>
    </cdr:to>
    <cdr:sp macro="" textlink="">
      <cdr:nvSpPr>
        <cdr:cNvPr id="3" name="TextBox 2"/>
        <cdr:cNvSpPr txBox="1"/>
      </cdr:nvSpPr>
      <cdr:spPr>
        <a:xfrm xmlns:a="http://schemas.openxmlformats.org/drawingml/2006/main">
          <a:off x="2148522" y="599010"/>
          <a:ext cx="2170045" cy="21469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0.46927</cdr:x>
      <cdr:y>0.00901</cdr:y>
    </cdr:from>
    <cdr:to>
      <cdr:x>0.94309</cdr:x>
      <cdr:y>0.0771</cdr:y>
    </cdr:to>
    <cdr:sp macro="" textlink="'Segment dashbd'!$E$4:$I$4">
      <cdr:nvSpPr>
        <cdr:cNvPr id="4" name="TextBox 3"/>
        <cdr:cNvSpPr txBox="1"/>
      </cdr:nvSpPr>
      <cdr:spPr>
        <a:xfrm xmlns:a="http://schemas.openxmlformats.org/drawingml/2006/main">
          <a:off x="2692756" y="27345"/>
          <a:ext cx="2718805" cy="2066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fld id="{9C33E692-77D2-45AD-94BE-BB5CB68A0399}" type="TxLink">
            <a:rPr lang="en-US" sz="1200" b="0" i="0" u="none" strike="noStrike">
              <a:solidFill>
                <a:srgbClr val="000000"/>
              </a:solidFill>
              <a:latin typeface="+mn-lt"/>
              <a:cs typeface="Arial"/>
            </a:rPr>
            <a:pPr algn="l"/>
            <a:t>400G SR4.2, SR4_100 m_OSFP, QSFP-DD, QSFP112</a:t>
          </a:fld>
          <a:endParaRPr lang="en-US" sz="1200" b="0">
            <a:latin typeface="+mn-lt"/>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0.50876</cdr:x>
      <cdr:y>0.01559</cdr:y>
    </cdr:from>
    <cdr:to>
      <cdr:x>0.95636</cdr:x>
      <cdr:y>0.0911</cdr:y>
    </cdr:to>
    <cdr:sp macro="" textlink="'Segment dashbd'!$E$4:$I$4">
      <cdr:nvSpPr>
        <cdr:cNvPr id="2" name="TextBox 1"/>
        <cdr:cNvSpPr txBox="1"/>
      </cdr:nvSpPr>
      <cdr:spPr>
        <a:xfrm xmlns:a="http://schemas.openxmlformats.org/drawingml/2006/main">
          <a:off x="2719796" y="47319"/>
          <a:ext cx="2392876" cy="22924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38832735-0833-414F-8E62-95D434589278}" type="TxLink">
            <a:rPr lang="en-US" sz="1200" b="0" i="0" u="none" strike="noStrike">
              <a:solidFill>
                <a:srgbClr val="000000"/>
              </a:solidFill>
              <a:latin typeface="+mn-lt"/>
              <a:cs typeface="Arial"/>
            </a:rPr>
            <a:pPr algn="ctr"/>
            <a:t>400G SR4.2, SR4_100 m_OSFP, QSFP-DD, QSFP112</a:t>
          </a:fld>
          <a:endParaRPr lang="en-US" sz="1100" b="0">
            <a:latin typeface="+mn-lt"/>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0.50758</cdr:x>
      <cdr:y>0.02123</cdr:y>
    </cdr:from>
    <cdr:to>
      <cdr:x>1</cdr:x>
      <cdr:y>0.10314</cdr:y>
    </cdr:to>
    <cdr:sp macro="" textlink="'Segment dashbd'!$E$4:$I$4">
      <cdr:nvSpPr>
        <cdr:cNvPr id="2" name="TextBox 1"/>
        <cdr:cNvSpPr txBox="1"/>
      </cdr:nvSpPr>
      <cdr:spPr>
        <a:xfrm xmlns:a="http://schemas.openxmlformats.org/drawingml/2006/main">
          <a:off x="2496637" y="64407"/>
          <a:ext cx="2422072" cy="24855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4A65334-F4A3-410C-9F84-D4B2EED0214F}" type="TxLink">
            <a:rPr lang="en-US" sz="1200"/>
            <a:pPr algn="ctr"/>
            <a:t>400G SR4.2, SR4_100 m_OSFP, QSFP-DD, QSFP112</a:t>
          </a:fld>
          <a:endParaRPr lang="en-US" sz="1200"/>
        </a:p>
      </cdr:txBody>
    </cdr:sp>
  </cdr:relSizeAnchor>
</c:userShapes>
</file>

<file path=xl/drawings/drawing17.xml><?xml version="1.0" encoding="utf-8"?>
<xdr:wsDr xmlns:xdr="http://schemas.openxmlformats.org/drawingml/2006/spreadsheetDrawing" xmlns:a="http://schemas.openxmlformats.org/drawingml/2006/main">
  <xdr:twoCellAnchor>
    <xdr:from>
      <xdr:col>1</xdr:col>
      <xdr:colOff>135314</xdr:colOff>
      <xdr:row>7</xdr:row>
      <xdr:rowOff>57906</xdr:rowOff>
    </xdr:from>
    <xdr:to>
      <xdr:col>9</xdr:col>
      <xdr:colOff>508000</xdr:colOff>
      <xdr:row>25</xdr:row>
      <xdr:rowOff>138547</xdr:rowOff>
    </xdr:to>
    <xdr:graphicFrame macro="">
      <xdr:nvGraphicFramePr>
        <xdr:cNvPr id="3" name="Chart 2">
          <a:extLst>
            <a:ext uri="{FF2B5EF4-FFF2-40B4-BE49-F238E27FC236}">
              <a16:creationId xmlns:a16="http://schemas.microsoft.com/office/drawing/2014/main" xmlns=""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28452</xdr:colOff>
      <xdr:row>7</xdr:row>
      <xdr:rowOff>11545</xdr:rowOff>
    </xdr:from>
    <xdr:to>
      <xdr:col>21</xdr:col>
      <xdr:colOff>635001</xdr:colOff>
      <xdr:row>25</xdr:row>
      <xdr:rowOff>92364</xdr:rowOff>
    </xdr:to>
    <xdr:graphicFrame macro="">
      <xdr:nvGraphicFramePr>
        <xdr:cNvPr id="4" name="Chart 3">
          <a:extLst>
            <a:ext uri="{FF2B5EF4-FFF2-40B4-BE49-F238E27FC236}">
              <a16:creationId xmlns:a16="http://schemas.microsoft.com/office/drawing/2014/main" xmlns="" id="{00000000-0008-0000-1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20</xdr:col>
      <xdr:colOff>36286</xdr:colOff>
      <xdr:row>0</xdr:row>
      <xdr:rowOff>0</xdr:rowOff>
    </xdr:from>
    <xdr:to>
      <xdr:col>23</xdr:col>
      <xdr:colOff>702818</xdr:colOff>
      <xdr:row>3</xdr:row>
      <xdr:rowOff>40478</xdr:rowOff>
    </xdr:to>
    <xdr:pic>
      <xdr:nvPicPr>
        <xdr:cNvPr id="5" name="Picture 4">
          <a:extLst>
            <a:ext uri="{FF2B5EF4-FFF2-40B4-BE49-F238E27FC236}">
              <a16:creationId xmlns:a16="http://schemas.microsoft.com/office/drawing/2014/main" xmlns="" id="{00000000-0008-0000-1100-000005000000}"/>
            </a:ext>
          </a:extLst>
        </xdr:cNvPr>
        <xdr:cNvPicPr>
          <a:picLocks noChangeAspect="1"/>
        </xdr:cNvPicPr>
      </xdr:nvPicPr>
      <xdr:blipFill>
        <a:blip xmlns:r="http://schemas.openxmlformats.org/officeDocument/2006/relationships" r:embed="rId3"/>
        <a:stretch>
          <a:fillRect/>
        </a:stretch>
      </xdr:blipFill>
      <xdr:spPr>
        <a:xfrm>
          <a:off x="13570857" y="0"/>
          <a:ext cx="2898103" cy="63012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133349</xdr:colOff>
      <xdr:row>7</xdr:row>
      <xdr:rowOff>19050</xdr:rowOff>
    </xdr:from>
    <xdr:to>
      <xdr:col>6</xdr:col>
      <xdr:colOff>485775</xdr:colOff>
      <xdr:row>31</xdr:row>
      <xdr:rowOff>80963</xdr:rowOff>
    </xdr:to>
    <xdr:graphicFrame macro="">
      <xdr:nvGraphicFramePr>
        <xdr:cNvPr id="2" name="Chart 1">
          <a:extLst>
            <a:ext uri="{FF2B5EF4-FFF2-40B4-BE49-F238E27FC236}">
              <a16:creationId xmlns:a16="http://schemas.microsoft.com/office/drawing/2014/main" xmlns=""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312964</xdr:colOff>
      <xdr:row>7</xdr:row>
      <xdr:rowOff>32657</xdr:rowOff>
    </xdr:from>
    <xdr:to>
      <xdr:col>21</xdr:col>
      <xdr:colOff>326572</xdr:colOff>
      <xdr:row>31</xdr:row>
      <xdr:rowOff>94570</xdr:rowOff>
    </xdr:to>
    <xdr:graphicFrame macro="">
      <xdr:nvGraphicFramePr>
        <xdr:cNvPr id="3" name="Chart 2">
          <a:extLst>
            <a:ext uri="{FF2B5EF4-FFF2-40B4-BE49-F238E27FC236}">
              <a16:creationId xmlns:a16="http://schemas.microsoft.com/office/drawing/2014/main" xmlns=""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27213</xdr:colOff>
      <xdr:row>44</xdr:row>
      <xdr:rowOff>122465</xdr:rowOff>
    </xdr:from>
    <xdr:to>
      <xdr:col>7</xdr:col>
      <xdr:colOff>404812</xdr:colOff>
      <xdr:row>69</xdr:row>
      <xdr:rowOff>108857</xdr:rowOff>
    </xdr:to>
    <xdr:graphicFrame macro="">
      <xdr:nvGraphicFramePr>
        <xdr:cNvPr id="24" name="Chart 23">
          <a:extLst>
            <a:ext uri="{FF2B5EF4-FFF2-40B4-BE49-F238E27FC236}">
              <a16:creationId xmlns:a16="http://schemas.microsoft.com/office/drawing/2014/main" xmlns="" id="{00000000-0008-0000-12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519793</xdr:colOff>
      <xdr:row>44</xdr:row>
      <xdr:rowOff>125187</xdr:rowOff>
    </xdr:from>
    <xdr:to>
      <xdr:col>15</xdr:col>
      <xdr:colOff>590551</xdr:colOff>
      <xdr:row>69</xdr:row>
      <xdr:rowOff>119743</xdr:rowOff>
    </xdr:to>
    <xdr:graphicFrame macro="">
      <xdr:nvGraphicFramePr>
        <xdr:cNvPr id="25" name="Chart 24">
          <a:extLst>
            <a:ext uri="{FF2B5EF4-FFF2-40B4-BE49-F238E27FC236}">
              <a16:creationId xmlns:a16="http://schemas.microsoft.com/office/drawing/2014/main" xmlns="" id="{00000000-0008-0000-1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476248</xdr:colOff>
      <xdr:row>7</xdr:row>
      <xdr:rowOff>21772</xdr:rowOff>
    </xdr:from>
    <xdr:to>
      <xdr:col>14</xdr:col>
      <xdr:colOff>311603</xdr:colOff>
      <xdr:row>31</xdr:row>
      <xdr:rowOff>83685</xdr:rowOff>
    </xdr:to>
    <xdr:graphicFrame macro="">
      <xdr:nvGraphicFramePr>
        <xdr:cNvPr id="26" name="Chart 25">
          <a:extLst>
            <a:ext uri="{FF2B5EF4-FFF2-40B4-BE49-F238E27FC236}">
              <a16:creationId xmlns:a16="http://schemas.microsoft.com/office/drawing/2014/main" xmlns="" id="{00000000-0008-0000-12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0</xdr:colOff>
      <xdr:row>1</xdr:row>
      <xdr:rowOff>0</xdr:rowOff>
    </xdr:from>
    <xdr:to>
      <xdr:col>15</xdr:col>
      <xdr:colOff>339960</xdr:colOff>
      <xdr:row>3</xdr:row>
      <xdr:rowOff>193559</xdr:rowOff>
    </xdr:to>
    <xdr:pic>
      <xdr:nvPicPr>
        <xdr:cNvPr id="9" name="Picture 8">
          <a:extLst>
            <a:ext uri="{FF2B5EF4-FFF2-40B4-BE49-F238E27FC236}">
              <a16:creationId xmlns:a16="http://schemas.microsoft.com/office/drawing/2014/main" xmlns="" id="{00000000-0008-0000-1200-000009000000}"/>
            </a:ext>
          </a:extLst>
        </xdr:cNvPr>
        <xdr:cNvPicPr>
          <a:picLocks noChangeAspect="1"/>
        </xdr:cNvPicPr>
      </xdr:nvPicPr>
      <xdr:blipFill>
        <a:blip xmlns:r="http://schemas.openxmlformats.org/officeDocument/2006/relationships" r:embed="rId6"/>
        <a:stretch>
          <a:fillRect/>
        </a:stretch>
      </xdr:blipFill>
      <xdr:spPr>
        <a:xfrm>
          <a:off x="10731500" y="163286"/>
          <a:ext cx="2870889" cy="62898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3</xdr:col>
      <xdr:colOff>198437</xdr:colOff>
      <xdr:row>77</xdr:row>
      <xdr:rowOff>96838</xdr:rowOff>
    </xdr:from>
    <xdr:to>
      <xdr:col>10</xdr:col>
      <xdr:colOff>519905</xdr:colOff>
      <xdr:row>94</xdr:row>
      <xdr:rowOff>6350</xdr:rowOff>
    </xdr:to>
    <xdr:graphicFrame macro="">
      <xdr:nvGraphicFramePr>
        <xdr:cNvPr id="2" name="Chart 1">
          <a:extLst>
            <a:ext uri="{FF2B5EF4-FFF2-40B4-BE49-F238E27FC236}">
              <a16:creationId xmlns:a16="http://schemas.microsoft.com/office/drawing/2014/main" xmlns=""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59532</xdr:colOff>
      <xdr:row>104</xdr:row>
      <xdr:rowOff>134938</xdr:rowOff>
    </xdr:from>
    <xdr:to>
      <xdr:col>9</xdr:col>
      <xdr:colOff>63500</xdr:colOff>
      <xdr:row>118</xdr:row>
      <xdr:rowOff>157163</xdr:rowOff>
    </xdr:to>
    <xdr:graphicFrame macro="">
      <xdr:nvGraphicFramePr>
        <xdr:cNvPr id="3" name="Chart 2">
          <a:extLst>
            <a:ext uri="{FF2B5EF4-FFF2-40B4-BE49-F238E27FC236}">
              <a16:creationId xmlns:a16="http://schemas.microsoft.com/office/drawing/2014/main" xmlns=""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0</xdr:colOff>
      <xdr:row>1</xdr:row>
      <xdr:rowOff>0</xdr:rowOff>
    </xdr:from>
    <xdr:to>
      <xdr:col>18</xdr:col>
      <xdr:colOff>489639</xdr:colOff>
      <xdr:row>3</xdr:row>
      <xdr:rowOff>128925</xdr:rowOff>
    </xdr:to>
    <xdr:pic>
      <xdr:nvPicPr>
        <xdr:cNvPr id="11" name="Picture 10">
          <a:extLst>
            <a:ext uri="{FF2B5EF4-FFF2-40B4-BE49-F238E27FC236}">
              <a16:creationId xmlns:a16="http://schemas.microsoft.com/office/drawing/2014/main" xmlns="" id="{00000000-0008-0000-1300-00000B000000}"/>
            </a:ext>
          </a:extLst>
        </xdr:cNvPr>
        <xdr:cNvPicPr>
          <a:picLocks noChangeAspect="1"/>
        </xdr:cNvPicPr>
      </xdr:nvPicPr>
      <xdr:blipFill>
        <a:blip xmlns:r="http://schemas.openxmlformats.org/officeDocument/2006/relationships" r:embed="rId3"/>
        <a:stretch>
          <a:fillRect/>
        </a:stretch>
      </xdr:blipFill>
      <xdr:spPr>
        <a:xfrm>
          <a:off x="9215438" y="166688"/>
          <a:ext cx="2870889" cy="628987"/>
        </a:xfrm>
        <a:prstGeom prst="rect">
          <a:avLst/>
        </a:prstGeom>
      </xdr:spPr>
    </xdr:pic>
    <xdr:clientData/>
  </xdr:twoCellAnchor>
  <xdr:twoCellAnchor>
    <xdr:from>
      <xdr:col>3</xdr:col>
      <xdr:colOff>247650</xdr:colOff>
      <xdr:row>50</xdr:row>
      <xdr:rowOff>101600</xdr:rowOff>
    </xdr:from>
    <xdr:to>
      <xdr:col>10</xdr:col>
      <xdr:colOff>673100</xdr:colOff>
      <xdr:row>67</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29</xdr:row>
      <xdr:rowOff>1</xdr:rowOff>
    </xdr:from>
    <xdr:to>
      <xdr:col>10</xdr:col>
      <xdr:colOff>32065</xdr:colOff>
      <xdr:row>46</xdr:row>
      <xdr:rowOff>38101</xdr:rowOff>
    </xdr:to>
    <xdr:pic>
      <xdr:nvPicPr>
        <xdr:cNvPr id="7" name="Picture 6"/>
        <xdr:cNvPicPr>
          <a:picLocks noChangeAspect="1"/>
        </xdr:cNvPicPr>
      </xdr:nvPicPr>
      <xdr:blipFill>
        <a:blip xmlns:r="http://schemas.openxmlformats.org/officeDocument/2006/relationships" r:embed="rId5"/>
        <a:stretch>
          <a:fillRect/>
        </a:stretch>
      </xdr:blipFill>
      <xdr:spPr>
        <a:xfrm>
          <a:off x="596900" y="5041901"/>
          <a:ext cx="6166165" cy="284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8</xdr:col>
      <xdr:colOff>462787</xdr:colOff>
      <xdr:row>19</xdr:row>
      <xdr:rowOff>77367</xdr:rowOff>
    </xdr:to>
    <xdr:grpSp>
      <xdr:nvGrpSpPr>
        <xdr:cNvPr id="12796936" name="Group 19">
          <a:extLst>
            <a:ext uri="{FF2B5EF4-FFF2-40B4-BE49-F238E27FC236}">
              <a16:creationId xmlns:a16="http://schemas.microsoft.com/office/drawing/2014/main" xmlns="" id="{00000000-0008-0000-0C00-00000844C300}"/>
            </a:ext>
          </a:extLst>
        </xdr:cNvPr>
        <xdr:cNvGrpSpPr>
          <a:grpSpLocks/>
        </xdr:cNvGrpSpPr>
      </xdr:nvGrpSpPr>
      <xdr:grpSpPr bwMode="auto">
        <a:xfrm>
          <a:off x="346529" y="1910443"/>
          <a:ext cx="5359544" cy="1432638"/>
          <a:chOff x="158" y="204"/>
          <a:chExt cx="534" cy="149"/>
        </a:xfrm>
      </xdr:grpSpPr>
      <xdr:sp macro="" textlink="">
        <xdr:nvSpPr>
          <xdr:cNvPr id="3" name="Text Box 9">
            <a:extLst>
              <a:ext uri="{FF2B5EF4-FFF2-40B4-BE49-F238E27FC236}">
                <a16:creationId xmlns:a16="http://schemas.microsoft.com/office/drawing/2014/main" xmlns="" id="{00000000-0008-0000-0C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xmlns="" id="{00000000-0008-0000-0C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xmlns="" id="{00000000-0008-0000-0C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xmlns="" id="{00000000-0008-0000-0C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12796945" name="AutoShape 16">
            <a:extLst>
              <a:ext uri="{FF2B5EF4-FFF2-40B4-BE49-F238E27FC236}">
                <a16:creationId xmlns:a16="http://schemas.microsoft.com/office/drawing/2014/main" xmlns="" id="{00000000-0008-0000-0C00-00001144C3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2796946" name="Line 17">
            <a:extLst>
              <a:ext uri="{FF2B5EF4-FFF2-40B4-BE49-F238E27FC236}">
                <a16:creationId xmlns:a16="http://schemas.microsoft.com/office/drawing/2014/main" xmlns="" id="{00000000-0008-0000-0C00-00001244C3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796947" name="Line 18">
            <a:extLst>
              <a:ext uri="{FF2B5EF4-FFF2-40B4-BE49-F238E27FC236}">
                <a16:creationId xmlns:a16="http://schemas.microsoft.com/office/drawing/2014/main" xmlns="" id="{00000000-0008-0000-0C00-00001344C3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11</xdr:row>
      <xdr:rowOff>123825</xdr:rowOff>
    </xdr:from>
    <xdr:to>
      <xdr:col>14</xdr:col>
      <xdr:colOff>9525</xdr:colOff>
      <xdr:row>17</xdr:row>
      <xdr:rowOff>123825</xdr:rowOff>
    </xdr:to>
    <xdr:sp macro="" textlink="">
      <xdr:nvSpPr>
        <xdr:cNvPr id="18" name="Text Box 10">
          <a:extLst>
            <a:ext uri="{FF2B5EF4-FFF2-40B4-BE49-F238E27FC236}">
              <a16:creationId xmlns:a16="http://schemas.microsoft.com/office/drawing/2014/main" xmlns="" id="{00000000-0008-0000-0C00-000012000000}"/>
            </a:ext>
          </a:extLst>
        </xdr:cNvPr>
        <xdr:cNvSpPr txBox="1">
          <a:spLocks noChangeArrowheads="1"/>
        </xdr:cNvSpPr>
      </xdr:nvSpPr>
      <xdr:spPr bwMode="auto">
        <a:xfrm>
          <a:off x="7429500" y="2057400"/>
          <a:ext cx="1371600" cy="10287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11</xdr:row>
      <xdr:rowOff>142875</xdr:rowOff>
    </xdr:from>
    <xdr:to>
      <xdr:col>11</xdr:col>
      <xdr:colOff>209550</xdr:colOff>
      <xdr:row>13</xdr:row>
      <xdr:rowOff>34484</xdr:rowOff>
    </xdr:to>
    <xdr:sp macro="" textlink="">
      <xdr:nvSpPr>
        <xdr:cNvPr id="19" name="Text Box 11">
          <a:extLst>
            <a:ext uri="{FF2B5EF4-FFF2-40B4-BE49-F238E27FC236}">
              <a16:creationId xmlns:a16="http://schemas.microsoft.com/office/drawing/2014/main" xmlns="" id="{00000000-0008-0000-0C00-000013000000}"/>
            </a:ext>
          </a:extLst>
        </xdr:cNvPr>
        <xdr:cNvSpPr txBox="1">
          <a:spLocks noChangeArrowheads="1"/>
        </xdr:cNvSpPr>
      </xdr:nvSpPr>
      <xdr:spPr bwMode="auto">
        <a:xfrm>
          <a:off x="6057900" y="2076450"/>
          <a:ext cx="1066800" cy="2345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15</xdr:row>
      <xdr:rowOff>119938</xdr:rowOff>
    </xdr:from>
    <xdr:to>
      <xdr:col>11</xdr:col>
      <xdr:colOff>209550</xdr:colOff>
      <xdr:row>17</xdr:row>
      <xdr:rowOff>47626</xdr:rowOff>
    </xdr:to>
    <xdr:sp macro="" textlink="">
      <xdr:nvSpPr>
        <xdr:cNvPr id="20" name="Text Box 12">
          <a:extLst>
            <a:ext uri="{FF2B5EF4-FFF2-40B4-BE49-F238E27FC236}">
              <a16:creationId xmlns:a16="http://schemas.microsoft.com/office/drawing/2014/main" xmlns="" id="{00000000-0008-0000-0C00-000014000000}"/>
            </a:ext>
          </a:extLst>
        </xdr:cNvPr>
        <xdr:cNvSpPr txBox="1">
          <a:spLocks noChangeArrowheads="1"/>
        </xdr:cNvSpPr>
      </xdr:nvSpPr>
      <xdr:spPr bwMode="auto">
        <a:xfrm>
          <a:off x="6057900" y="2739313"/>
          <a:ext cx="1066800" cy="2705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12</xdr:row>
      <xdr:rowOff>88680</xdr:rowOff>
    </xdr:from>
    <xdr:to>
      <xdr:col>9</xdr:col>
      <xdr:colOff>285750</xdr:colOff>
      <xdr:row>13</xdr:row>
      <xdr:rowOff>95250</xdr:rowOff>
    </xdr:to>
    <xdr:cxnSp macro="">
      <xdr:nvCxnSpPr>
        <xdr:cNvPr id="11" name="Straight Arrow Connector 10">
          <a:extLst>
            <a:ext uri="{FF2B5EF4-FFF2-40B4-BE49-F238E27FC236}">
              <a16:creationId xmlns:a16="http://schemas.microsoft.com/office/drawing/2014/main" xmlns="" id="{00000000-0008-0000-0C00-00000B000000}"/>
            </a:ext>
          </a:extLst>
        </xdr:cNvPr>
        <xdr:cNvCxnSpPr>
          <a:endCxn id="19" idx="1"/>
        </xdr:cNvCxnSpPr>
      </xdr:nvCxnSpPr>
      <xdr:spPr>
        <a:xfrm flipV="1">
          <a:off x="5667375" y="2193705"/>
          <a:ext cx="390525" cy="1780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16</xdr:row>
      <xdr:rowOff>9525</xdr:rowOff>
    </xdr:from>
    <xdr:to>
      <xdr:col>9</xdr:col>
      <xdr:colOff>285750</xdr:colOff>
      <xdr:row>16</xdr:row>
      <xdr:rowOff>83782</xdr:rowOff>
    </xdr:to>
    <xdr:cxnSp macro="">
      <xdr:nvCxnSpPr>
        <xdr:cNvPr id="22" name="Straight Arrow Connector 21">
          <a:extLst>
            <a:ext uri="{FF2B5EF4-FFF2-40B4-BE49-F238E27FC236}">
              <a16:creationId xmlns:a16="http://schemas.microsoft.com/office/drawing/2014/main" xmlns="" id="{00000000-0008-0000-0C00-000016000000}"/>
            </a:ext>
          </a:extLst>
        </xdr:cNvPr>
        <xdr:cNvCxnSpPr>
          <a:endCxn id="20" idx="1"/>
        </xdr:cNvCxnSpPr>
      </xdr:nvCxnSpPr>
      <xdr:spPr>
        <a:xfrm>
          <a:off x="5676900" y="2800350"/>
          <a:ext cx="38100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12</xdr:row>
      <xdr:rowOff>85725</xdr:rowOff>
    </xdr:from>
    <xdr:to>
      <xdr:col>11</xdr:col>
      <xdr:colOff>514350</xdr:colOff>
      <xdr:row>12</xdr:row>
      <xdr:rowOff>142875</xdr:rowOff>
    </xdr:to>
    <xdr:cxnSp macro="">
      <xdr:nvCxnSpPr>
        <xdr:cNvPr id="25" name="Straight Arrow Connector 24">
          <a:extLst>
            <a:ext uri="{FF2B5EF4-FFF2-40B4-BE49-F238E27FC236}">
              <a16:creationId xmlns:a16="http://schemas.microsoft.com/office/drawing/2014/main" xmlns="" id="{00000000-0008-0000-0C00-000019000000}"/>
            </a:ext>
          </a:extLst>
        </xdr:cNvPr>
        <xdr:cNvCxnSpPr/>
      </xdr:nvCxnSpPr>
      <xdr:spPr>
        <a:xfrm>
          <a:off x="7124700" y="2190750"/>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15</xdr:row>
      <xdr:rowOff>152400</xdr:rowOff>
    </xdr:from>
    <xdr:to>
      <xdr:col>11</xdr:col>
      <xdr:colOff>514350</xdr:colOff>
      <xdr:row>16</xdr:row>
      <xdr:rowOff>85725</xdr:rowOff>
    </xdr:to>
    <xdr:cxnSp macro="">
      <xdr:nvCxnSpPr>
        <xdr:cNvPr id="27" name="Straight Arrow Connector 26">
          <a:extLst>
            <a:ext uri="{FF2B5EF4-FFF2-40B4-BE49-F238E27FC236}">
              <a16:creationId xmlns:a16="http://schemas.microsoft.com/office/drawing/2014/main" xmlns="" id="{00000000-0008-0000-0C00-00001B000000}"/>
            </a:ext>
          </a:extLst>
        </xdr:cNvPr>
        <xdr:cNvCxnSpPr/>
      </xdr:nvCxnSpPr>
      <xdr:spPr>
        <a:xfrm flipV="1">
          <a:off x="7124700" y="2771775"/>
          <a:ext cx="304800" cy="1047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453571</xdr:colOff>
      <xdr:row>0</xdr:row>
      <xdr:rowOff>72571</xdr:rowOff>
    </xdr:from>
    <xdr:to>
      <xdr:col>15</xdr:col>
      <xdr:colOff>4317</xdr:colOff>
      <xdr:row>3</xdr:row>
      <xdr:rowOff>111915</xdr:rowOff>
    </xdr:to>
    <xdr:pic>
      <xdr:nvPicPr>
        <xdr:cNvPr id="21" name="Picture 20">
          <a:extLst>
            <a:ext uri="{FF2B5EF4-FFF2-40B4-BE49-F238E27FC236}">
              <a16:creationId xmlns:a16="http://schemas.microsoft.com/office/drawing/2014/main" xmlns="" id="{00000000-0008-0000-0C00-000015000000}"/>
            </a:ext>
          </a:extLst>
        </xdr:cNvPr>
        <xdr:cNvPicPr>
          <a:picLocks noChangeAspect="1"/>
        </xdr:cNvPicPr>
      </xdr:nvPicPr>
      <xdr:blipFill>
        <a:blip xmlns:r="http://schemas.openxmlformats.org/officeDocument/2006/relationships" r:embed="rId1"/>
        <a:stretch>
          <a:fillRect/>
        </a:stretch>
      </xdr:blipFill>
      <xdr:spPr>
        <a:xfrm>
          <a:off x="6948714" y="72571"/>
          <a:ext cx="2870889" cy="62898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59532</xdr:colOff>
      <xdr:row>16</xdr:row>
      <xdr:rowOff>119061</xdr:rowOff>
    </xdr:from>
    <xdr:to>
      <xdr:col>3</xdr:col>
      <xdr:colOff>1440657</xdr:colOff>
      <xdr:row>31</xdr:row>
      <xdr:rowOff>97627</xdr:rowOff>
    </xdr:to>
    <xdr:graphicFrame macro="">
      <xdr:nvGraphicFramePr>
        <xdr:cNvPr id="4" name="Chart 3">
          <a:extLst>
            <a:ext uri="{FF2B5EF4-FFF2-40B4-BE49-F238E27FC236}">
              <a16:creationId xmlns:a16="http://schemas.microsoft.com/office/drawing/2014/main" xmlns=""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1765527</xdr:colOff>
      <xdr:row>18</xdr:row>
      <xdr:rowOff>5103</xdr:rowOff>
    </xdr:from>
    <xdr:to>
      <xdr:col>15</xdr:col>
      <xdr:colOff>459242</xdr:colOff>
      <xdr:row>33</xdr:row>
      <xdr:rowOff>9867</xdr:rowOff>
    </xdr:to>
    <xdr:graphicFrame macro="">
      <xdr:nvGraphicFramePr>
        <xdr:cNvPr id="5" name="Chart 4">
          <a:extLst>
            <a:ext uri="{FF2B5EF4-FFF2-40B4-BE49-F238E27FC236}">
              <a16:creationId xmlns:a16="http://schemas.microsoft.com/office/drawing/2014/main" xmlns="" id="{00000000-0008-0000-0D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107159</xdr:colOff>
      <xdr:row>19</xdr:row>
      <xdr:rowOff>59531</xdr:rowOff>
    </xdr:from>
    <xdr:to>
      <xdr:col>10</xdr:col>
      <xdr:colOff>988222</xdr:colOff>
      <xdr:row>24</xdr:row>
      <xdr:rowOff>35718</xdr:rowOff>
    </xdr:to>
    <xdr:sp macro="" textlink="">
      <xdr:nvSpPr>
        <xdr:cNvPr id="6" name="TextBox 5">
          <a:extLst>
            <a:ext uri="{FF2B5EF4-FFF2-40B4-BE49-F238E27FC236}">
              <a16:creationId xmlns:a16="http://schemas.microsoft.com/office/drawing/2014/main" xmlns="" id="{00000000-0008-0000-0D00-000006000000}"/>
            </a:ext>
          </a:extLst>
        </xdr:cNvPr>
        <xdr:cNvSpPr txBox="1"/>
      </xdr:nvSpPr>
      <xdr:spPr>
        <a:xfrm>
          <a:off x="5905503" y="3917156"/>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Ethernet transport are included in the Ethernet/Telecom segment.</a:t>
          </a:r>
        </a:p>
      </xdr:txBody>
    </xdr:sp>
    <xdr:clientData/>
  </xdr:twoCellAnchor>
  <xdr:twoCellAnchor>
    <xdr:from>
      <xdr:col>3</xdr:col>
      <xdr:colOff>23813</xdr:colOff>
      <xdr:row>21</xdr:row>
      <xdr:rowOff>130969</xdr:rowOff>
    </xdr:from>
    <xdr:to>
      <xdr:col>5</xdr:col>
      <xdr:colOff>107159</xdr:colOff>
      <xdr:row>21</xdr:row>
      <xdr:rowOff>130969</xdr:rowOff>
    </xdr:to>
    <xdr:cxnSp macro="">
      <xdr:nvCxnSpPr>
        <xdr:cNvPr id="9" name="Straight Arrow Connector 8">
          <a:extLst>
            <a:ext uri="{FF2B5EF4-FFF2-40B4-BE49-F238E27FC236}">
              <a16:creationId xmlns:a16="http://schemas.microsoft.com/office/drawing/2014/main" xmlns="" id="{00000000-0008-0000-0D00-000009000000}"/>
            </a:ext>
          </a:extLst>
        </xdr:cNvPr>
        <xdr:cNvCxnSpPr>
          <a:stCxn id="6" idx="1"/>
        </xdr:cNvCxnSpPr>
      </xdr:nvCxnSpPr>
      <xdr:spPr>
        <a:xfrm flipH="1">
          <a:off x="4274344" y="4321969"/>
          <a:ext cx="1631159" cy="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104778</xdr:colOff>
      <xdr:row>25</xdr:row>
      <xdr:rowOff>57150</xdr:rowOff>
    </xdr:from>
    <xdr:to>
      <xdr:col>10</xdr:col>
      <xdr:colOff>985841</xdr:colOff>
      <xdr:row>30</xdr:row>
      <xdr:rowOff>33337</xdr:rowOff>
    </xdr:to>
    <xdr:sp macro="" textlink="">
      <xdr:nvSpPr>
        <xdr:cNvPr id="26" name="TextBox 25">
          <a:extLst>
            <a:ext uri="{FF2B5EF4-FFF2-40B4-BE49-F238E27FC236}">
              <a16:creationId xmlns:a16="http://schemas.microsoft.com/office/drawing/2014/main" xmlns="" id="{00000000-0008-0000-0D00-00001A000000}"/>
            </a:ext>
          </a:extLst>
        </xdr:cNvPr>
        <xdr:cNvSpPr txBox="1"/>
      </xdr:nvSpPr>
      <xdr:spPr>
        <a:xfrm>
          <a:off x="5903122" y="4914900"/>
          <a:ext cx="33337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a:t>Connections</a:t>
          </a:r>
          <a:r>
            <a:rPr lang="en-US" sz="1400" baseline="0"/>
            <a:t> between datacenters </a:t>
          </a:r>
          <a:r>
            <a:rPr lang="en-US" sz="1400"/>
            <a:t>via DWDM transport are included in the DCI segment.</a:t>
          </a:r>
        </a:p>
      </xdr:txBody>
    </xdr:sp>
    <xdr:clientData/>
  </xdr:twoCellAnchor>
  <xdr:twoCellAnchor>
    <xdr:from>
      <xdr:col>10</xdr:col>
      <xdr:colOff>988219</xdr:colOff>
      <xdr:row>25</xdr:row>
      <xdr:rowOff>104776</xdr:rowOff>
    </xdr:from>
    <xdr:to>
      <xdr:col>10</xdr:col>
      <xdr:colOff>1735933</xdr:colOff>
      <xdr:row>27</xdr:row>
      <xdr:rowOff>1</xdr:rowOff>
    </xdr:to>
    <xdr:cxnSp macro="">
      <xdr:nvCxnSpPr>
        <xdr:cNvPr id="27" name="Straight Arrow Connector 26">
          <a:extLst>
            <a:ext uri="{FF2B5EF4-FFF2-40B4-BE49-F238E27FC236}">
              <a16:creationId xmlns:a16="http://schemas.microsoft.com/office/drawing/2014/main" xmlns="" id="{00000000-0008-0000-0D00-00001B000000}"/>
            </a:ext>
          </a:extLst>
        </xdr:cNvPr>
        <xdr:cNvCxnSpPr/>
      </xdr:nvCxnSpPr>
      <xdr:spPr>
        <a:xfrm flipV="1">
          <a:off x="9239250" y="4962526"/>
          <a:ext cx="747714" cy="22860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11</xdr:col>
      <xdr:colOff>426356</xdr:colOff>
      <xdr:row>0</xdr:row>
      <xdr:rowOff>127000</xdr:rowOff>
    </xdr:from>
    <xdr:to>
      <xdr:col>14</xdr:col>
      <xdr:colOff>625927</xdr:colOff>
      <xdr:row>3</xdr:row>
      <xdr:rowOff>166344</xdr:rowOff>
    </xdr:to>
    <xdr:pic>
      <xdr:nvPicPr>
        <xdr:cNvPr id="10" name="Picture 9">
          <a:extLst>
            <a:ext uri="{FF2B5EF4-FFF2-40B4-BE49-F238E27FC236}">
              <a16:creationId xmlns:a16="http://schemas.microsoft.com/office/drawing/2014/main" xmlns="" id="{00000000-0008-0000-0D00-00000A000000}"/>
            </a:ext>
          </a:extLst>
        </xdr:cNvPr>
        <xdr:cNvPicPr>
          <a:picLocks noChangeAspect="1"/>
        </xdr:cNvPicPr>
      </xdr:nvPicPr>
      <xdr:blipFill>
        <a:blip xmlns:r="http://schemas.openxmlformats.org/officeDocument/2006/relationships" r:embed="rId3"/>
        <a:stretch>
          <a:fillRect/>
        </a:stretch>
      </xdr:blipFill>
      <xdr:spPr>
        <a:xfrm>
          <a:off x="11112499" y="127000"/>
          <a:ext cx="3356429" cy="62898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10583</xdr:colOff>
      <xdr:row>28</xdr:row>
      <xdr:rowOff>31750</xdr:rowOff>
    </xdr:from>
    <xdr:to>
      <xdr:col>6</xdr:col>
      <xdr:colOff>596900</xdr:colOff>
      <xdr:row>48</xdr:row>
      <xdr:rowOff>38100</xdr:rowOff>
    </xdr:to>
    <xdr:graphicFrame macro="">
      <xdr:nvGraphicFramePr>
        <xdr:cNvPr id="4" name="Chart 3">
          <a:extLst>
            <a:ext uri="{FF2B5EF4-FFF2-40B4-BE49-F238E27FC236}">
              <a16:creationId xmlns:a16="http://schemas.microsoft.com/office/drawing/2014/main" xmlns=""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504825</xdr:colOff>
      <xdr:row>250</xdr:row>
      <xdr:rowOff>123826</xdr:rowOff>
    </xdr:from>
    <xdr:to>
      <xdr:col>15</xdr:col>
      <xdr:colOff>101600</xdr:colOff>
      <xdr:row>269</xdr:row>
      <xdr:rowOff>127000</xdr:rowOff>
    </xdr:to>
    <xdr:graphicFrame macro="">
      <xdr:nvGraphicFramePr>
        <xdr:cNvPr id="5" name="Chart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104775</xdr:colOff>
      <xdr:row>250</xdr:row>
      <xdr:rowOff>117928</xdr:rowOff>
    </xdr:from>
    <xdr:to>
      <xdr:col>7</xdr:col>
      <xdr:colOff>447676</xdr:colOff>
      <xdr:row>269</xdr:row>
      <xdr:rowOff>90714</xdr:rowOff>
    </xdr:to>
    <xdr:graphicFrame macro="">
      <xdr:nvGraphicFramePr>
        <xdr:cNvPr id="6" name="Chart 5">
          <a:extLst>
            <a:ext uri="{FF2B5EF4-FFF2-40B4-BE49-F238E27FC236}">
              <a16:creationId xmlns:a16="http://schemas.microsoft.com/office/drawing/2014/main" xmlns="" id="{00000000-0008-0000-0E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666751</xdr:colOff>
      <xdr:row>532</xdr:row>
      <xdr:rowOff>76200</xdr:rowOff>
    </xdr:from>
    <xdr:to>
      <xdr:col>5</xdr:col>
      <xdr:colOff>390526</xdr:colOff>
      <xdr:row>550</xdr:row>
      <xdr:rowOff>70485</xdr:rowOff>
    </xdr:to>
    <xdr:graphicFrame macro="">
      <xdr:nvGraphicFramePr>
        <xdr:cNvPr id="8" name="Chart 7">
          <a:extLst>
            <a:ext uri="{FF2B5EF4-FFF2-40B4-BE49-F238E27FC236}">
              <a16:creationId xmlns:a16="http://schemas.microsoft.com/office/drawing/2014/main" xmlns=""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31751</xdr:colOff>
      <xdr:row>373</xdr:row>
      <xdr:rowOff>21168</xdr:rowOff>
    </xdr:from>
    <xdr:to>
      <xdr:col>21</xdr:col>
      <xdr:colOff>546101</xdr:colOff>
      <xdr:row>392</xdr:row>
      <xdr:rowOff>77894</xdr:rowOff>
    </xdr:to>
    <xdr:graphicFrame macro="">
      <xdr:nvGraphicFramePr>
        <xdr:cNvPr id="9" name="Chart 8">
          <a:extLst>
            <a:ext uri="{FF2B5EF4-FFF2-40B4-BE49-F238E27FC236}">
              <a16:creationId xmlns:a16="http://schemas.microsoft.com/office/drawing/2014/main" xmlns="" id="{00000000-0008-0000-0E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840922</xdr:colOff>
      <xdr:row>532</xdr:row>
      <xdr:rowOff>65919</xdr:rowOff>
    </xdr:from>
    <xdr:to>
      <xdr:col>19</xdr:col>
      <xdr:colOff>965200</xdr:colOff>
      <xdr:row>549</xdr:row>
      <xdr:rowOff>164071</xdr:rowOff>
    </xdr:to>
    <xdr:graphicFrame macro="">
      <xdr:nvGraphicFramePr>
        <xdr:cNvPr id="10" name="Chart 9">
          <a:extLst>
            <a:ext uri="{FF2B5EF4-FFF2-40B4-BE49-F238E27FC236}">
              <a16:creationId xmlns:a16="http://schemas.microsoft.com/office/drawing/2014/main" xmlns="" id="{00000000-0008-0000-0E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11641</xdr:colOff>
      <xdr:row>491</xdr:row>
      <xdr:rowOff>74084</xdr:rowOff>
    </xdr:from>
    <xdr:to>
      <xdr:col>7</xdr:col>
      <xdr:colOff>315383</xdr:colOff>
      <xdr:row>510</xdr:row>
      <xdr:rowOff>77258</xdr:rowOff>
    </xdr:to>
    <xdr:graphicFrame macro="">
      <xdr:nvGraphicFramePr>
        <xdr:cNvPr id="11" name="Chart 10">
          <a:extLst>
            <a:ext uri="{FF2B5EF4-FFF2-40B4-BE49-F238E27FC236}">
              <a16:creationId xmlns:a16="http://schemas.microsoft.com/office/drawing/2014/main" xmlns="" id="{00000000-0008-0000-0E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7407</xdr:colOff>
      <xdr:row>332</xdr:row>
      <xdr:rowOff>84666</xdr:rowOff>
    </xdr:from>
    <xdr:to>
      <xdr:col>6</xdr:col>
      <xdr:colOff>529166</xdr:colOff>
      <xdr:row>351</xdr:row>
      <xdr:rowOff>28575</xdr:rowOff>
    </xdr:to>
    <xdr:graphicFrame macro="">
      <xdr:nvGraphicFramePr>
        <xdr:cNvPr id="13" name="Chart 12">
          <a:extLst>
            <a:ext uri="{FF2B5EF4-FFF2-40B4-BE49-F238E27FC236}">
              <a16:creationId xmlns:a16="http://schemas.microsoft.com/office/drawing/2014/main" xmlns="" id="{00000000-0008-0000-0E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10583</xdr:colOff>
      <xdr:row>412</xdr:row>
      <xdr:rowOff>127000</xdr:rowOff>
    </xdr:from>
    <xdr:to>
      <xdr:col>6</xdr:col>
      <xdr:colOff>592666</xdr:colOff>
      <xdr:row>430</xdr:row>
      <xdr:rowOff>83911</xdr:rowOff>
    </xdr:to>
    <xdr:graphicFrame macro="">
      <xdr:nvGraphicFramePr>
        <xdr:cNvPr id="15" name="Chart 14">
          <a:extLst>
            <a:ext uri="{FF2B5EF4-FFF2-40B4-BE49-F238E27FC236}">
              <a16:creationId xmlns:a16="http://schemas.microsoft.com/office/drawing/2014/main" xmlns="" id="{00000000-0008-0000-0E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310696</xdr:colOff>
      <xdr:row>577</xdr:row>
      <xdr:rowOff>36286</xdr:rowOff>
    </xdr:from>
    <xdr:to>
      <xdr:col>5</xdr:col>
      <xdr:colOff>721178</xdr:colOff>
      <xdr:row>595</xdr:row>
      <xdr:rowOff>111125</xdr:rowOff>
    </xdr:to>
    <xdr:graphicFrame macro="">
      <xdr:nvGraphicFramePr>
        <xdr:cNvPr id="16" name="Chart 15">
          <a:extLst>
            <a:ext uri="{FF2B5EF4-FFF2-40B4-BE49-F238E27FC236}">
              <a16:creationId xmlns:a16="http://schemas.microsoft.com/office/drawing/2014/main" xmlns="" id="{00000000-0008-0000-0E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605</xdr:colOff>
      <xdr:row>373</xdr:row>
      <xdr:rowOff>27520</xdr:rowOff>
    </xdr:from>
    <xdr:to>
      <xdr:col>14</xdr:col>
      <xdr:colOff>783167</xdr:colOff>
      <xdr:row>392</xdr:row>
      <xdr:rowOff>127002</xdr:rowOff>
    </xdr:to>
    <xdr:graphicFrame macro="">
      <xdr:nvGraphicFramePr>
        <xdr:cNvPr id="18" name="Chart 17">
          <a:extLst>
            <a:ext uri="{FF2B5EF4-FFF2-40B4-BE49-F238E27FC236}">
              <a16:creationId xmlns:a16="http://schemas.microsoft.com/office/drawing/2014/main" xmlns="" id="{00000000-0008-0000-0E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555625</xdr:colOff>
      <xdr:row>532</xdr:row>
      <xdr:rowOff>81642</xdr:rowOff>
    </xdr:from>
    <xdr:to>
      <xdr:col>11</xdr:col>
      <xdr:colOff>804333</xdr:colOff>
      <xdr:row>550</xdr:row>
      <xdr:rowOff>10160</xdr:rowOff>
    </xdr:to>
    <xdr:graphicFrame macro="">
      <xdr:nvGraphicFramePr>
        <xdr:cNvPr id="19" name="Chart 18">
          <a:extLst>
            <a:ext uri="{FF2B5EF4-FFF2-40B4-BE49-F238E27FC236}">
              <a16:creationId xmlns:a16="http://schemas.microsoft.com/office/drawing/2014/main" xmlns="" id="{00000000-0008-0000-0E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835660</xdr:colOff>
      <xdr:row>577</xdr:row>
      <xdr:rowOff>44753</xdr:rowOff>
    </xdr:from>
    <xdr:to>
      <xdr:col>11</xdr:col>
      <xdr:colOff>714375</xdr:colOff>
      <xdr:row>595</xdr:row>
      <xdr:rowOff>127001</xdr:rowOff>
    </xdr:to>
    <xdr:graphicFrame macro="">
      <xdr:nvGraphicFramePr>
        <xdr:cNvPr id="20" name="Chart 19">
          <a:extLst>
            <a:ext uri="{FF2B5EF4-FFF2-40B4-BE49-F238E27FC236}">
              <a16:creationId xmlns:a16="http://schemas.microsoft.com/office/drawing/2014/main" xmlns="" id="{00000000-0008-0000-0E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136524</xdr:colOff>
      <xdr:row>769</xdr:row>
      <xdr:rowOff>74084</xdr:rowOff>
    </xdr:from>
    <xdr:to>
      <xdr:col>5</xdr:col>
      <xdr:colOff>589643</xdr:colOff>
      <xdr:row>787</xdr:row>
      <xdr:rowOff>92867</xdr:rowOff>
    </xdr:to>
    <xdr:graphicFrame macro="">
      <xdr:nvGraphicFramePr>
        <xdr:cNvPr id="21" name="Chart 20">
          <a:extLst>
            <a:ext uri="{FF2B5EF4-FFF2-40B4-BE49-F238E27FC236}">
              <a16:creationId xmlns:a16="http://schemas.microsoft.com/office/drawing/2014/main" xmlns="" id="{00000000-0008-0000-0E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87919</xdr:colOff>
      <xdr:row>302</xdr:row>
      <xdr:rowOff>137583</xdr:rowOff>
    </xdr:from>
    <xdr:to>
      <xdr:col>6</xdr:col>
      <xdr:colOff>814916</xdr:colOff>
      <xdr:row>320</xdr:row>
      <xdr:rowOff>41804</xdr:rowOff>
    </xdr:to>
    <xdr:graphicFrame macro="">
      <xdr:nvGraphicFramePr>
        <xdr:cNvPr id="22" name="Chart 21">
          <a:extLst>
            <a:ext uri="{FF2B5EF4-FFF2-40B4-BE49-F238E27FC236}">
              <a16:creationId xmlns:a16="http://schemas.microsoft.com/office/drawing/2014/main" xmlns="" id="{00000000-0008-0000-0E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67205</xdr:colOff>
      <xdr:row>163</xdr:row>
      <xdr:rowOff>23814</xdr:rowOff>
    </xdr:from>
    <xdr:to>
      <xdr:col>15</xdr:col>
      <xdr:colOff>177800</xdr:colOff>
      <xdr:row>184</xdr:row>
      <xdr:rowOff>152400</xdr:rowOff>
    </xdr:to>
    <xdr:graphicFrame macro="">
      <xdr:nvGraphicFramePr>
        <xdr:cNvPr id="24" name="Chart 23">
          <a:extLst>
            <a:ext uri="{FF2B5EF4-FFF2-40B4-BE49-F238E27FC236}">
              <a16:creationId xmlns:a16="http://schemas.microsoft.com/office/drawing/2014/main" xmlns="" id="{00000000-0008-0000-0E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15</xdr:col>
      <xdr:colOff>282575</xdr:colOff>
      <xdr:row>250</xdr:row>
      <xdr:rowOff>174171</xdr:rowOff>
    </xdr:from>
    <xdr:to>
      <xdr:col>21</xdr:col>
      <xdr:colOff>139700</xdr:colOff>
      <xdr:row>269</xdr:row>
      <xdr:rowOff>127000</xdr:rowOff>
    </xdr:to>
    <xdr:graphicFrame macro="">
      <xdr:nvGraphicFramePr>
        <xdr:cNvPr id="25" name="Chart 24">
          <a:extLst>
            <a:ext uri="{FF2B5EF4-FFF2-40B4-BE49-F238E27FC236}">
              <a16:creationId xmlns:a16="http://schemas.microsoft.com/office/drawing/2014/main" xmlns="" id="{00000000-0008-0000-0E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139699</xdr:colOff>
      <xdr:row>462</xdr:row>
      <xdr:rowOff>23284</xdr:rowOff>
    </xdr:from>
    <xdr:to>
      <xdr:col>6</xdr:col>
      <xdr:colOff>841375</xdr:colOff>
      <xdr:row>479</xdr:row>
      <xdr:rowOff>127001</xdr:rowOff>
    </xdr:to>
    <xdr:graphicFrame macro="">
      <xdr:nvGraphicFramePr>
        <xdr:cNvPr id="27" name="Chart 26">
          <a:extLst>
            <a:ext uri="{FF2B5EF4-FFF2-40B4-BE49-F238E27FC236}">
              <a16:creationId xmlns:a16="http://schemas.microsoft.com/office/drawing/2014/main" xmlns="" id="{00000000-0008-0000-0E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70757</xdr:colOff>
      <xdr:row>728</xdr:row>
      <xdr:rowOff>108857</xdr:rowOff>
    </xdr:from>
    <xdr:to>
      <xdr:col>5</xdr:col>
      <xdr:colOff>507999</xdr:colOff>
      <xdr:row>747</xdr:row>
      <xdr:rowOff>3855</xdr:rowOff>
    </xdr:to>
    <xdr:graphicFrame macro="">
      <xdr:nvGraphicFramePr>
        <xdr:cNvPr id="28" name="Chart 27">
          <a:extLst>
            <a:ext uri="{FF2B5EF4-FFF2-40B4-BE49-F238E27FC236}">
              <a16:creationId xmlns:a16="http://schemas.microsoft.com/office/drawing/2014/main" xmlns="" id="{00000000-0008-0000-0E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92528</xdr:colOff>
      <xdr:row>186</xdr:row>
      <xdr:rowOff>5169</xdr:rowOff>
    </xdr:from>
    <xdr:to>
      <xdr:col>5</xdr:col>
      <xdr:colOff>18142</xdr:colOff>
      <xdr:row>203</xdr:row>
      <xdr:rowOff>127000</xdr:rowOff>
    </xdr:to>
    <xdr:graphicFrame macro="">
      <xdr:nvGraphicFramePr>
        <xdr:cNvPr id="29" name="Chart 28">
          <a:extLst>
            <a:ext uri="{FF2B5EF4-FFF2-40B4-BE49-F238E27FC236}">
              <a16:creationId xmlns:a16="http://schemas.microsoft.com/office/drawing/2014/main" xmlns="" id="{00000000-0008-0000-0E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27214</xdr:colOff>
      <xdr:row>95</xdr:row>
      <xdr:rowOff>30844</xdr:rowOff>
    </xdr:from>
    <xdr:to>
      <xdr:col>7</xdr:col>
      <xdr:colOff>635000</xdr:colOff>
      <xdr:row>114</xdr:row>
      <xdr:rowOff>151494</xdr:rowOff>
    </xdr:to>
    <xdr:graphicFrame macro="">
      <xdr:nvGraphicFramePr>
        <xdr:cNvPr id="30" name="Chart 29">
          <a:extLst>
            <a:ext uri="{FF2B5EF4-FFF2-40B4-BE49-F238E27FC236}">
              <a16:creationId xmlns:a16="http://schemas.microsoft.com/office/drawing/2014/main" xmlns="" id="{00000000-0008-0000-0E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659039</xdr:colOff>
      <xdr:row>186</xdr:row>
      <xdr:rowOff>5897</xdr:rowOff>
    </xdr:from>
    <xdr:to>
      <xdr:col>12</xdr:col>
      <xdr:colOff>399142</xdr:colOff>
      <xdr:row>203</xdr:row>
      <xdr:rowOff>127001</xdr:rowOff>
    </xdr:to>
    <xdr:graphicFrame macro="">
      <xdr:nvGraphicFramePr>
        <xdr:cNvPr id="31" name="Chart 30">
          <a:extLst>
            <a:ext uri="{FF2B5EF4-FFF2-40B4-BE49-F238E27FC236}">
              <a16:creationId xmlns:a16="http://schemas.microsoft.com/office/drawing/2014/main" xmlns="" id="{00000000-0008-0000-0E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7</xdr:col>
      <xdr:colOff>805089</xdr:colOff>
      <xdr:row>95</xdr:row>
      <xdr:rowOff>52274</xdr:rowOff>
    </xdr:from>
    <xdr:to>
      <xdr:col>16</xdr:col>
      <xdr:colOff>805088</xdr:colOff>
      <xdr:row>115</xdr:row>
      <xdr:rowOff>9638</xdr:rowOff>
    </xdr:to>
    <xdr:graphicFrame macro="">
      <xdr:nvGraphicFramePr>
        <xdr:cNvPr id="32" name="Chart 31">
          <a:extLst>
            <a:ext uri="{FF2B5EF4-FFF2-40B4-BE49-F238E27FC236}">
              <a16:creationId xmlns:a16="http://schemas.microsoft.com/office/drawing/2014/main" xmlns="" id="{00000000-0008-0000-0E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15</xdr:col>
      <xdr:colOff>366485</xdr:colOff>
      <xdr:row>163</xdr:row>
      <xdr:rowOff>-1</xdr:rowOff>
    </xdr:from>
    <xdr:to>
      <xdr:col>23</xdr:col>
      <xdr:colOff>647700</xdr:colOff>
      <xdr:row>184</xdr:row>
      <xdr:rowOff>147108</xdr:rowOff>
    </xdr:to>
    <xdr:graphicFrame macro="">
      <xdr:nvGraphicFramePr>
        <xdr:cNvPr id="34" name="Chart 33">
          <a:extLst>
            <a:ext uri="{FF2B5EF4-FFF2-40B4-BE49-F238E27FC236}">
              <a16:creationId xmlns:a16="http://schemas.microsoft.com/office/drawing/2014/main" xmlns="" id="{00000000-0008-0000-0E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15</xdr:col>
      <xdr:colOff>38739</xdr:colOff>
      <xdr:row>412</xdr:row>
      <xdr:rowOff>135468</xdr:rowOff>
    </xdr:from>
    <xdr:to>
      <xdr:col>21</xdr:col>
      <xdr:colOff>698501</xdr:colOff>
      <xdr:row>431</xdr:row>
      <xdr:rowOff>9829</xdr:rowOff>
    </xdr:to>
    <xdr:graphicFrame macro="">
      <xdr:nvGraphicFramePr>
        <xdr:cNvPr id="35" name="Chart 34">
          <a:extLst>
            <a:ext uri="{FF2B5EF4-FFF2-40B4-BE49-F238E27FC236}">
              <a16:creationId xmlns:a16="http://schemas.microsoft.com/office/drawing/2014/main" xmlns="" id="{00000000-0008-0000-0E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6</xdr:col>
      <xdr:colOff>839442</xdr:colOff>
      <xdr:row>412</xdr:row>
      <xdr:rowOff>88900</xdr:rowOff>
    </xdr:from>
    <xdr:to>
      <xdr:col>14</xdr:col>
      <xdr:colOff>571500</xdr:colOff>
      <xdr:row>430</xdr:row>
      <xdr:rowOff>50347</xdr:rowOff>
    </xdr:to>
    <xdr:graphicFrame macro="">
      <xdr:nvGraphicFramePr>
        <xdr:cNvPr id="36" name="Chart 35">
          <a:extLst>
            <a:ext uri="{FF2B5EF4-FFF2-40B4-BE49-F238E27FC236}">
              <a16:creationId xmlns:a16="http://schemas.microsoft.com/office/drawing/2014/main" xmlns="" id="{00000000-0008-0000-0E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7</xdr:col>
      <xdr:colOff>695477</xdr:colOff>
      <xdr:row>491</xdr:row>
      <xdr:rowOff>66524</xdr:rowOff>
    </xdr:from>
    <xdr:to>
      <xdr:col>16</xdr:col>
      <xdr:colOff>785283</xdr:colOff>
      <xdr:row>510</xdr:row>
      <xdr:rowOff>36587</xdr:rowOff>
    </xdr:to>
    <xdr:graphicFrame macro="">
      <xdr:nvGraphicFramePr>
        <xdr:cNvPr id="37" name="Chart 36">
          <a:extLst>
            <a:ext uri="{FF2B5EF4-FFF2-40B4-BE49-F238E27FC236}">
              <a16:creationId xmlns:a16="http://schemas.microsoft.com/office/drawing/2014/main" xmlns="" id="{00000000-0008-0000-0E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23282</xdr:colOff>
      <xdr:row>332</xdr:row>
      <xdr:rowOff>118532</xdr:rowOff>
    </xdr:from>
    <xdr:to>
      <xdr:col>14</xdr:col>
      <xdr:colOff>228600</xdr:colOff>
      <xdr:row>351</xdr:row>
      <xdr:rowOff>55032</xdr:rowOff>
    </xdr:to>
    <xdr:graphicFrame macro="">
      <xdr:nvGraphicFramePr>
        <xdr:cNvPr id="38" name="Chart 37">
          <a:extLst>
            <a:ext uri="{FF2B5EF4-FFF2-40B4-BE49-F238E27FC236}">
              <a16:creationId xmlns:a16="http://schemas.microsoft.com/office/drawing/2014/main" xmlns="" id="{00000000-0008-0000-0E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xdr:col>
      <xdr:colOff>7225</xdr:colOff>
      <xdr:row>6</xdr:row>
      <xdr:rowOff>116417</xdr:rowOff>
    </xdr:from>
    <xdr:to>
      <xdr:col>6</xdr:col>
      <xdr:colOff>584200</xdr:colOff>
      <xdr:row>26</xdr:row>
      <xdr:rowOff>63501</xdr:rowOff>
    </xdr:to>
    <xdr:graphicFrame macro="">
      <xdr:nvGraphicFramePr>
        <xdr:cNvPr id="3" name="Chart 2">
          <a:extLst>
            <a:ext uri="{FF2B5EF4-FFF2-40B4-BE49-F238E27FC236}">
              <a16:creationId xmlns:a16="http://schemas.microsoft.com/office/drawing/2014/main" xmlns=""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28</xdr:col>
      <xdr:colOff>97894</xdr:colOff>
      <xdr:row>6</xdr:row>
      <xdr:rowOff>148167</xdr:rowOff>
    </xdr:from>
    <xdr:to>
      <xdr:col>39</xdr:col>
      <xdr:colOff>52916</xdr:colOff>
      <xdr:row>26</xdr:row>
      <xdr:rowOff>76200</xdr:rowOff>
    </xdr:to>
    <xdr:graphicFrame macro="">
      <xdr:nvGraphicFramePr>
        <xdr:cNvPr id="26" name="Chart 25">
          <a:extLst>
            <a:ext uri="{FF2B5EF4-FFF2-40B4-BE49-F238E27FC236}">
              <a16:creationId xmlns:a16="http://schemas.microsoft.com/office/drawing/2014/main" xmlns="" id="{00000000-0008-0000-0E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123824</xdr:colOff>
      <xdr:row>163</xdr:row>
      <xdr:rowOff>25400</xdr:rowOff>
    </xdr:from>
    <xdr:to>
      <xdr:col>6</xdr:col>
      <xdr:colOff>393700</xdr:colOff>
      <xdr:row>184</xdr:row>
      <xdr:rowOff>127000</xdr:rowOff>
    </xdr:to>
    <xdr:graphicFrame macro="">
      <xdr:nvGraphicFramePr>
        <xdr:cNvPr id="23" name="Chart 22">
          <a:extLst>
            <a:ext uri="{FF2B5EF4-FFF2-40B4-BE49-F238E27FC236}">
              <a16:creationId xmlns:a16="http://schemas.microsoft.com/office/drawing/2014/main" xmlns="" id="{00000000-0008-0000-0E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38099</xdr:colOff>
      <xdr:row>373</xdr:row>
      <xdr:rowOff>63501</xdr:rowOff>
    </xdr:from>
    <xdr:to>
      <xdr:col>6</xdr:col>
      <xdr:colOff>740832</xdr:colOff>
      <xdr:row>392</xdr:row>
      <xdr:rowOff>139701</xdr:rowOff>
    </xdr:to>
    <xdr:graphicFrame macro="">
      <xdr:nvGraphicFramePr>
        <xdr:cNvPr id="7" name="Chart 6">
          <a:extLst>
            <a:ext uri="{FF2B5EF4-FFF2-40B4-BE49-F238E27FC236}">
              <a16:creationId xmlns:a16="http://schemas.microsoft.com/office/drawing/2014/main" xmlns=""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7</xdr:col>
      <xdr:colOff>772584</xdr:colOff>
      <xdr:row>50</xdr:row>
      <xdr:rowOff>63501</xdr:rowOff>
    </xdr:from>
    <xdr:to>
      <xdr:col>16</xdr:col>
      <xdr:colOff>719667</xdr:colOff>
      <xdr:row>70</xdr:row>
      <xdr:rowOff>105835</xdr:rowOff>
    </xdr:to>
    <xdr:graphicFrame macro="">
      <xdr:nvGraphicFramePr>
        <xdr:cNvPr id="40" name="Chart 39">
          <a:extLst>
            <a:ext uri="{FF2B5EF4-FFF2-40B4-BE49-F238E27FC236}">
              <a16:creationId xmlns:a16="http://schemas.microsoft.com/office/drawing/2014/main" xmlns="" id="{00000000-0008-0000-0E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5</xdr:col>
      <xdr:colOff>688067</xdr:colOff>
      <xdr:row>769</xdr:row>
      <xdr:rowOff>74083</xdr:rowOff>
    </xdr:from>
    <xdr:to>
      <xdr:col>12</xdr:col>
      <xdr:colOff>0</xdr:colOff>
      <xdr:row>787</xdr:row>
      <xdr:rowOff>109194</xdr:rowOff>
    </xdr:to>
    <xdr:graphicFrame macro="">
      <xdr:nvGraphicFramePr>
        <xdr:cNvPr id="43" name="Chart 42">
          <a:extLst>
            <a:ext uri="{FF2B5EF4-FFF2-40B4-BE49-F238E27FC236}">
              <a16:creationId xmlns:a16="http://schemas.microsoft.com/office/drawing/2014/main" xmlns="" id="{00000000-0008-0000-0E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13</xdr:col>
      <xdr:colOff>105683</xdr:colOff>
      <xdr:row>769</xdr:row>
      <xdr:rowOff>95249</xdr:rowOff>
    </xdr:from>
    <xdr:to>
      <xdr:col>19</xdr:col>
      <xdr:colOff>317500</xdr:colOff>
      <xdr:row>787</xdr:row>
      <xdr:rowOff>116452</xdr:rowOff>
    </xdr:to>
    <xdr:graphicFrame macro="">
      <xdr:nvGraphicFramePr>
        <xdr:cNvPr id="44" name="Chart 43">
          <a:extLst>
            <a:ext uri="{FF2B5EF4-FFF2-40B4-BE49-F238E27FC236}">
              <a16:creationId xmlns:a16="http://schemas.microsoft.com/office/drawing/2014/main" xmlns="" id="{00000000-0008-0000-0E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5</xdr:col>
      <xdr:colOff>613229</xdr:colOff>
      <xdr:row>728</xdr:row>
      <xdr:rowOff>107043</xdr:rowOff>
    </xdr:from>
    <xdr:to>
      <xdr:col>11</xdr:col>
      <xdr:colOff>542472</xdr:colOff>
      <xdr:row>747</xdr:row>
      <xdr:rowOff>2041</xdr:rowOff>
    </xdr:to>
    <xdr:graphicFrame macro="">
      <xdr:nvGraphicFramePr>
        <xdr:cNvPr id="45" name="Chart 44">
          <a:extLst>
            <a:ext uri="{FF2B5EF4-FFF2-40B4-BE49-F238E27FC236}">
              <a16:creationId xmlns:a16="http://schemas.microsoft.com/office/drawing/2014/main" xmlns="" id="{00000000-0008-0000-0E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11</xdr:col>
      <xdr:colOff>647702</xdr:colOff>
      <xdr:row>728</xdr:row>
      <xdr:rowOff>105229</xdr:rowOff>
    </xdr:from>
    <xdr:to>
      <xdr:col>18</xdr:col>
      <xdr:colOff>671286</xdr:colOff>
      <xdr:row>747</xdr:row>
      <xdr:rowOff>72572</xdr:rowOff>
    </xdr:to>
    <xdr:graphicFrame macro="">
      <xdr:nvGraphicFramePr>
        <xdr:cNvPr id="46" name="Chart 45">
          <a:extLst>
            <a:ext uri="{FF2B5EF4-FFF2-40B4-BE49-F238E27FC236}">
              <a16:creationId xmlns:a16="http://schemas.microsoft.com/office/drawing/2014/main" xmlns="" id="{00000000-0008-0000-0E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11</xdr:col>
      <xdr:colOff>1</xdr:colOff>
      <xdr:row>0</xdr:row>
      <xdr:rowOff>9072</xdr:rowOff>
    </xdr:from>
    <xdr:to>
      <xdr:col>14</xdr:col>
      <xdr:colOff>315015</xdr:colOff>
      <xdr:row>3</xdr:row>
      <xdr:rowOff>39345</xdr:rowOff>
    </xdr:to>
    <xdr:pic>
      <xdr:nvPicPr>
        <xdr:cNvPr id="47" name="Picture 46">
          <a:extLst>
            <a:ext uri="{FF2B5EF4-FFF2-40B4-BE49-F238E27FC236}">
              <a16:creationId xmlns:a16="http://schemas.microsoft.com/office/drawing/2014/main" xmlns="" id="{00000000-0008-0000-0E00-00002F000000}"/>
            </a:ext>
          </a:extLst>
        </xdr:cNvPr>
        <xdr:cNvPicPr>
          <a:picLocks noChangeAspect="1"/>
        </xdr:cNvPicPr>
      </xdr:nvPicPr>
      <xdr:blipFill>
        <a:blip xmlns:r="http://schemas.openxmlformats.org/officeDocument/2006/relationships" r:embed="rId38"/>
        <a:stretch>
          <a:fillRect/>
        </a:stretch>
      </xdr:blipFill>
      <xdr:spPr>
        <a:xfrm>
          <a:off x="11030858" y="9072"/>
          <a:ext cx="3088603" cy="647130"/>
        </a:xfrm>
        <a:prstGeom prst="rect">
          <a:avLst/>
        </a:prstGeom>
      </xdr:spPr>
    </xdr:pic>
    <xdr:clientData/>
  </xdr:twoCellAnchor>
  <xdr:twoCellAnchor>
    <xdr:from>
      <xdr:col>11</xdr:col>
      <xdr:colOff>784680</xdr:colOff>
      <xdr:row>577</xdr:row>
      <xdr:rowOff>52614</xdr:rowOff>
    </xdr:from>
    <xdr:to>
      <xdr:col>19</xdr:col>
      <xdr:colOff>498928</xdr:colOff>
      <xdr:row>595</xdr:row>
      <xdr:rowOff>111125</xdr:rowOff>
    </xdr:to>
    <xdr:graphicFrame macro="">
      <xdr:nvGraphicFramePr>
        <xdr:cNvPr id="51" name="Chart 50">
          <a:extLst>
            <a:ext uri="{FF2B5EF4-FFF2-40B4-BE49-F238E27FC236}">
              <a16:creationId xmlns:a16="http://schemas.microsoft.com/office/drawing/2014/main" xmlns="" id="{00000000-0008-0000-0E00-00003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17</xdr:col>
      <xdr:colOff>128514</xdr:colOff>
      <xdr:row>50</xdr:row>
      <xdr:rowOff>116419</xdr:rowOff>
    </xdr:from>
    <xdr:to>
      <xdr:col>27</xdr:col>
      <xdr:colOff>254001</xdr:colOff>
      <xdr:row>70</xdr:row>
      <xdr:rowOff>116419</xdr:rowOff>
    </xdr:to>
    <xdr:graphicFrame macro="">
      <xdr:nvGraphicFramePr>
        <xdr:cNvPr id="48" name="Chart 47">
          <a:extLst>
            <a:ext uri="{FF2B5EF4-FFF2-40B4-BE49-F238E27FC236}">
              <a16:creationId xmlns:a16="http://schemas.microsoft.com/office/drawing/2014/main" xmlns="" id="{00000000-0008-0000-0E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xdr:col>
      <xdr:colOff>74083</xdr:colOff>
      <xdr:row>73</xdr:row>
      <xdr:rowOff>31750</xdr:rowOff>
    </xdr:from>
    <xdr:to>
      <xdr:col>7</xdr:col>
      <xdr:colOff>391584</xdr:colOff>
      <xdr:row>93</xdr:row>
      <xdr:rowOff>31749</xdr:rowOff>
    </xdr:to>
    <xdr:graphicFrame macro="">
      <xdr:nvGraphicFramePr>
        <xdr:cNvPr id="50" name="Chart 49">
          <a:extLst>
            <a:ext uri="{FF2B5EF4-FFF2-40B4-BE49-F238E27FC236}">
              <a16:creationId xmlns:a16="http://schemas.microsoft.com/office/drawing/2014/main" xmlns="" id="{00000000-0008-0000-0E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7</xdr:col>
      <xdr:colOff>788275</xdr:colOff>
      <xdr:row>73</xdr:row>
      <xdr:rowOff>31749</xdr:rowOff>
    </xdr:from>
    <xdr:to>
      <xdr:col>16</xdr:col>
      <xdr:colOff>709083</xdr:colOff>
      <xdr:row>92</xdr:row>
      <xdr:rowOff>95251</xdr:rowOff>
    </xdr:to>
    <xdr:graphicFrame macro="">
      <xdr:nvGraphicFramePr>
        <xdr:cNvPr id="52" name="Chart 51">
          <a:extLst>
            <a:ext uri="{FF2B5EF4-FFF2-40B4-BE49-F238E27FC236}">
              <a16:creationId xmlns:a16="http://schemas.microsoft.com/office/drawing/2014/main" xmlns="" id="{00000000-0008-0000-0E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oneCellAnchor>
    <xdr:from>
      <xdr:col>19</xdr:col>
      <xdr:colOff>685349</xdr:colOff>
      <xdr:row>54</xdr:row>
      <xdr:rowOff>58663</xdr:rowOff>
    </xdr:from>
    <xdr:ext cx="2813436" cy="610844"/>
    <xdr:pic>
      <xdr:nvPicPr>
        <xdr:cNvPr id="54" name="Picture 53">
          <a:extLst>
            <a:ext uri="{FF2B5EF4-FFF2-40B4-BE49-F238E27FC236}">
              <a16:creationId xmlns:a16="http://schemas.microsoft.com/office/drawing/2014/main" xmlns="" id="{00000000-0008-0000-0E00-000036000000}"/>
            </a:ext>
          </a:extLst>
        </xdr:cNvPr>
        <xdr:cNvPicPr>
          <a:picLocks noChangeAspect="1"/>
        </xdr:cNvPicPr>
      </xdr:nvPicPr>
      <xdr:blipFill>
        <a:blip xmlns:r="http://schemas.openxmlformats.org/officeDocument/2006/relationships" r:embed="rId38"/>
        <a:stretch>
          <a:fillRect/>
        </a:stretch>
      </xdr:blipFill>
      <xdr:spPr>
        <a:xfrm>
          <a:off x="17354099" y="9996413"/>
          <a:ext cx="2813436" cy="610844"/>
        </a:xfrm>
        <a:prstGeom prst="rect">
          <a:avLst/>
        </a:prstGeom>
        <a:ln>
          <a:solidFill>
            <a:schemeClr val="tx1"/>
          </a:solidFill>
        </a:ln>
      </xdr:spPr>
    </xdr:pic>
    <xdr:clientData/>
  </xdr:oneCellAnchor>
  <xdr:twoCellAnchor>
    <xdr:from>
      <xdr:col>7</xdr:col>
      <xdr:colOff>794626</xdr:colOff>
      <xdr:row>6</xdr:row>
      <xdr:rowOff>120649</xdr:rowOff>
    </xdr:from>
    <xdr:to>
      <xdr:col>16</xdr:col>
      <xdr:colOff>783166</xdr:colOff>
      <xdr:row>26</xdr:row>
      <xdr:rowOff>78316</xdr:rowOff>
    </xdr:to>
    <xdr:graphicFrame macro="">
      <xdr:nvGraphicFramePr>
        <xdr:cNvPr id="59" name="Chart 58">
          <a:extLst>
            <a:ext uri="{FF2B5EF4-FFF2-40B4-BE49-F238E27FC236}">
              <a16:creationId xmlns:a16="http://schemas.microsoft.com/office/drawing/2014/main" xmlns="" id="{00000000-0008-0000-0E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17</xdr:col>
      <xdr:colOff>79193</xdr:colOff>
      <xdr:row>6</xdr:row>
      <xdr:rowOff>103715</xdr:rowOff>
    </xdr:from>
    <xdr:to>
      <xdr:col>27</xdr:col>
      <xdr:colOff>452968</xdr:colOff>
      <xdr:row>26</xdr:row>
      <xdr:rowOff>61382</xdr:rowOff>
    </xdr:to>
    <xdr:graphicFrame macro="">
      <xdr:nvGraphicFramePr>
        <xdr:cNvPr id="60" name="Chart 59">
          <a:extLst>
            <a:ext uri="{FF2B5EF4-FFF2-40B4-BE49-F238E27FC236}">
              <a16:creationId xmlns:a16="http://schemas.microsoft.com/office/drawing/2014/main" xmlns="" id="{00000000-0008-0000-0E00-00003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8</xdr:col>
      <xdr:colOff>65617</xdr:colOff>
      <xdr:row>28</xdr:row>
      <xdr:rowOff>67734</xdr:rowOff>
    </xdr:from>
    <xdr:to>
      <xdr:col>16</xdr:col>
      <xdr:colOff>905933</xdr:colOff>
      <xdr:row>48</xdr:row>
      <xdr:rowOff>14817</xdr:rowOff>
    </xdr:to>
    <xdr:graphicFrame macro="">
      <xdr:nvGraphicFramePr>
        <xdr:cNvPr id="61" name="Chart 60">
          <a:extLst>
            <a:ext uri="{FF2B5EF4-FFF2-40B4-BE49-F238E27FC236}">
              <a16:creationId xmlns:a16="http://schemas.microsoft.com/office/drawing/2014/main" xmlns="" id="{00000000-0008-0000-0E00-00003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17</xdr:col>
      <xdr:colOff>50800</xdr:colOff>
      <xdr:row>28</xdr:row>
      <xdr:rowOff>82552</xdr:rowOff>
    </xdr:from>
    <xdr:to>
      <xdr:col>27</xdr:col>
      <xdr:colOff>230717</xdr:colOff>
      <xdr:row>48</xdr:row>
      <xdr:rowOff>29635</xdr:rowOff>
    </xdr:to>
    <xdr:graphicFrame macro="">
      <xdr:nvGraphicFramePr>
        <xdr:cNvPr id="62" name="Chart 61">
          <a:extLst>
            <a:ext uri="{FF2B5EF4-FFF2-40B4-BE49-F238E27FC236}">
              <a16:creationId xmlns:a16="http://schemas.microsoft.com/office/drawing/2014/main" xmlns="" id="{00000000-0008-0000-0E00-00003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xdr:col>
      <xdr:colOff>141816</xdr:colOff>
      <xdr:row>50</xdr:row>
      <xdr:rowOff>120649</xdr:rowOff>
    </xdr:from>
    <xdr:to>
      <xdr:col>7</xdr:col>
      <xdr:colOff>459317</xdr:colOff>
      <xdr:row>70</xdr:row>
      <xdr:rowOff>120649</xdr:rowOff>
    </xdr:to>
    <xdr:graphicFrame macro="">
      <xdr:nvGraphicFramePr>
        <xdr:cNvPr id="64" name="Chart 63">
          <a:extLst>
            <a:ext uri="{FF2B5EF4-FFF2-40B4-BE49-F238E27FC236}">
              <a16:creationId xmlns:a16="http://schemas.microsoft.com/office/drawing/2014/main" xmlns="" id="{00000000-0008-0000-0E00-00004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xdr:col>
      <xdr:colOff>18143</xdr:colOff>
      <xdr:row>613</xdr:row>
      <xdr:rowOff>38554</xdr:rowOff>
    </xdr:from>
    <xdr:to>
      <xdr:col>5</xdr:col>
      <xdr:colOff>687161</xdr:colOff>
      <xdr:row>630</xdr:row>
      <xdr:rowOff>6803</xdr:rowOff>
    </xdr:to>
    <xdr:graphicFrame macro="">
      <xdr:nvGraphicFramePr>
        <xdr:cNvPr id="57" name="Chart 56">
          <a:extLst>
            <a:ext uri="{FF2B5EF4-FFF2-40B4-BE49-F238E27FC236}">
              <a16:creationId xmlns:a16="http://schemas.microsoft.com/office/drawing/2014/main" xmlns="" id="{00000000-0008-0000-0E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xdr:col>
      <xdr:colOff>34019</xdr:colOff>
      <xdr:row>596</xdr:row>
      <xdr:rowOff>72572</xdr:rowOff>
    </xdr:from>
    <xdr:to>
      <xdr:col>5</xdr:col>
      <xdr:colOff>684894</xdr:colOff>
      <xdr:row>612</xdr:row>
      <xdr:rowOff>145142</xdr:rowOff>
    </xdr:to>
    <xdr:graphicFrame macro="">
      <xdr:nvGraphicFramePr>
        <xdr:cNvPr id="58" name="Chart 57">
          <a:extLst>
            <a:ext uri="{FF2B5EF4-FFF2-40B4-BE49-F238E27FC236}">
              <a16:creationId xmlns:a16="http://schemas.microsoft.com/office/drawing/2014/main" xmlns="" id="{00000000-0008-0000-0E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11</xdr:col>
      <xdr:colOff>830037</xdr:colOff>
      <xdr:row>596</xdr:row>
      <xdr:rowOff>24946</xdr:rowOff>
    </xdr:from>
    <xdr:to>
      <xdr:col>19</xdr:col>
      <xdr:colOff>621393</xdr:colOff>
      <xdr:row>612</xdr:row>
      <xdr:rowOff>129267</xdr:rowOff>
    </xdr:to>
    <xdr:graphicFrame macro="">
      <xdr:nvGraphicFramePr>
        <xdr:cNvPr id="63" name="Chart 62">
          <a:extLst>
            <a:ext uri="{FF2B5EF4-FFF2-40B4-BE49-F238E27FC236}">
              <a16:creationId xmlns:a16="http://schemas.microsoft.com/office/drawing/2014/main" xmlns="" id="{00000000-0008-0000-0E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11</xdr:col>
      <xdr:colOff>833212</xdr:colOff>
      <xdr:row>613</xdr:row>
      <xdr:rowOff>38555</xdr:rowOff>
    </xdr:from>
    <xdr:to>
      <xdr:col>19</xdr:col>
      <xdr:colOff>687162</xdr:colOff>
      <xdr:row>629</xdr:row>
      <xdr:rowOff>81643</xdr:rowOff>
    </xdr:to>
    <xdr:graphicFrame macro="">
      <xdr:nvGraphicFramePr>
        <xdr:cNvPr id="65" name="Chart 64">
          <a:extLst>
            <a:ext uri="{FF2B5EF4-FFF2-40B4-BE49-F238E27FC236}">
              <a16:creationId xmlns:a16="http://schemas.microsoft.com/office/drawing/2014/main" xmlns="" id="{00000000-0008-0000-0E00-00004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16</xdr:col>
      <xdr:colOff>145143</xdr:colOff>
      <xdr:row>865</xdr:row>
      <xdr:rowOff>31750</xdr:rowOff>
    </xdr:from>
    <xdr:to>
      <xdr:col>20</xdr:col>
      <xdr:colOff>780143</xdr:colOff>
      <xdr:row>880</xdr:row>
      <xdr:rowOff>142876</xdr:rowOff>
    </xdr:to>
    <xdr:graphicFrame macro="">
      <xdr:nvGraphicFramePr>
        <xdr:cNvPr id="2" name="Chart 1">
          <a:extLst>
            <a:ext uri="{FF2B5EF4-FFF2-40B4-BE49-F238E27FC236}">
              <a16:creationId xmlns:a16="http://schemas.microsoft.com/office/drawing/2014/main" xmlns=""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21</xdr:col>
      <xdr:colOff>460375</xdr:colOff>
      <xdr:row>865</xdr:row>
      <xdr:rowOff>63499</xdr:rowOff>
    </xdr:from>
    <xdr:to>
      <xdr:col>27</xdr:col>
      <xdr:colOff>315232</xdr:colOff>
      <xdr:row>880</xdr:row>
      <xdr:rowOff>111124</xdr:rowOff>
    </xdr:to>
    <xdr:graphicFrame macro="">
      <xdr:nvGraphicFramePr>
        <xdr:cNvPr id="66" name="Chart 65">
          <a:extLst>
            <a:ext uri="{FF2B5EF4-FFF2-40B4-BE49-F238E27FC236}">
              <a16:creationId xmlns:a16="http://schemas.microsoft.com/office/drawing/2014/main" xmlns="" id="{00000000-0008-0000-0E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xdr:col>
      <xdr:colOff>136524</xdr:colOff>
      <xdr:row>822</xdr:row>
      <xdr:rowOff>74083</xdr:rowOff>
    </xdr:from>
    <xdr:to>
      <xdr:col>5</xdr:col>
      <xdr:colOff>417285</xdr:colOff>
      <xdr:row>840</xdr:row>
      <xdr:rowOff>163285</xdr:rowOff>
    </xdr:to>
    <xdr:graphicFrame macro="">
      <xdr:nvGraphicFramePr>
        <xdr:cNvPr id="67" name="Chart 66">
          <a:extLst>
            <a:ext uri="{FF2B5EF4-FFF2-40B4-BE49-F238E27FC236}">
              <a16:creationId xmlns:a16="http://schemas.microsoft.com/office/drawing/2014/main" xmlns="" id="{00000000-0008-0000-0E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5</xdr:col>
      <xdr:colOff>783317</xdr:colOff>
      <xdr:row>822</xdr:row>
      <xdr:rowOff>105833</xdr:rowOff>
    </xdr:from>
    <xdr:to>
      <xdr:col>13</xdr:col>
      <xdr:colOff>95250</xdr:colOff>
      <xdr:row>840</xdr:row>
      <xdr:rowOff>140944</xdr:rowOff>
    </xdr:to>
    <xdr:graphicFrame macro="">
      <xdr:nvGraphicFramePr>
        <xdr:cNvPr id="68" name="Chart 67">
          <a:extLst>
            <a:ext uri="{FF2B5EF4-FFF2-40B4-BE49-F238E27FC236}">
              <a16:creationId xmlns:a16="http://schemas.microsoft.com/office/drawing/2014/main" xmlns="" id="{00000000-0008-0000-0E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13</xdr:col>
      <xdr:colOff>248558</xdr:colOff>
      <xdr:row>822</xdr:row>
      <xdr:rowOff>111124</xdr:rowOff>
    </xdr:from>
    <xdr:to>
      <xdr:col>19</xdr:col>
      <xdr:colOff>460375</xdr:colOff>
      <xdr:row>840</xdr:row>
      <xdr:rowOff>132327</xdr:rowOff>
    </xdr:to>
    <xdr:graphicFrame macro="">
      <xdr:nvGraphicFramePr>
        <xdr:cNvPr id="69" name="Chart 68">
          <a:extLst>
            <a:ext uri="{FF2B5EF4-FFF2-40B4-BE49-F238E27FC236}">
              <a16:creationId xmlns:a16="http://schemas.microsoft.com/office/drawing/2014/main" xmlns="" id="{00000000-0008-0000-0E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0</xdr:col>
      <xdr:colOff>311150</xdr:colOff>
      <xdr:row>681</xdr:row>
      <xdr:rowOff>206376</xdr:rowOff>
    </xdr:from>
    <xdr:to>
      <xdr:col>5</xdr:col>
      <xdr:colOff>730250</xdr:colOff>
      <xdr:row>696</xdr:row>
      <xdr:rowOff>15875</xdr:rowOff>
    </xdr:to>
    <xdr:graphicFrame macro="">
      <xdr:nvGraphicFramePr>
        <xdr:cNvPr id="70" name="Chart 69">
          <a:extLst>
            <a:ext uri="{FF2B5EF4-FFF2-40B4-BE49-F238E27FC236}">
              <a16:creationId xmlns:a16="http://schemas.microsoft.com/office/drawing/2014/main" xmlns="" id="{00000000-0008-0000-0E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6</xdr:col>
      <xdr:colOff>130175</xdr:colOff>
      <xdr:row>681</xdr:row>
      <xdr:rowOff>215901</xdr:rowOff>
    </xdr:from>
    <xdr:to>
      <xdr:col>13</xdr:col>
      <xdr:colOff>399142</xdr:colOff>
      <xdr:row>696</xdr:row>
      <xdr:rowOff>72571</xdr:rowOff>
    </xdr:to>
    <xdr:graphicFrame macro="">
      <xdr:nvGraphicFramePr>
        <xdr:cNvPr id="71" name="Chart 70">
          <a:extLst>
            <a:ext uri="{FF2B5EF4-FFF2-40B4-BE49-F238E27FC236}">
              <a16:creationId xmlns:a16="http://schemas.microsoft.com/office/drawing/2014/main" xmlns="" id="{00000000-0008-0000-0E00-00004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xdr:from>
      <xdr:col>15</xdr:col>
      <xdr:colOff>60325</xdr:colOff>
      <xdr:row>681</xdr:row>
      <xdr:rowOff>225426</xdr:rowOff>
    </xdr:from>
    <xdr:to>
      <xdr:col>21</xdr:col>
      <xdr:colOff>812800</xdr:colOff>
      <xdr:row>696</xdr:row>
      <xdr:rowOff>34925</xdr:rowOff>
    </xdr:to>
    <xdr:graphicFrame macro="">
      <xdr:nvGraphicFramePr>
        <xdr:cNvPr id="72" name="Chart 71">
          <a:extLst>
            <a:ext uri="{FF2B5EF4-FFF2-40B4-BE49-F238E27FC236}">
              <a16:creationId xmlns:a16="http://schemas.microsoft.com/office/drawing/2014/main" xmlns="" id="{00000000-0008-0000-0E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1089</xdr:colOff>
      <xdr:row>5</xdr:row>
      <xdr:rowOff>113844</xdr:rowOff>
    </xdr:from>
    <xdr:to>
      <xdr:col>6</xdr:col>
      <xdr:colOff>544284</xdr:colOff>
      <xdr:row>25</xdr:row>
      <xdr:rowOff>102958</xdr:rowOff>
    </xdr:to>
    <xdr:graphicFrame macro="">
      <xdr:nvGraphicFramePr>
        <xdr:cNvPr id="2" name="Chart 1">
          <a:extLst>
            <a:ext uri="{FF2B5EF4-FFF2-40B4-BE49-F238E27FC236}">
              <a16:creationId xmlns:a16="http://schemas.microsoft.com/office/drawing/2014/main" xmlns=""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616857</xdr:colOff>
      <xdr:row>5</xdr:row>
      <xdr:rowOff>80646</xdr:rowOff>
    </xdr:from>
    <xdr:to>
      <xdr:col>11</xdr:col>
      <xdr:colOff>925286</xdr:colOff>
      <xdr:row>25</xdr:row>
      <xdr:rowOff>63501</xdr:rowOff>
    </xdr:to>
    <xdr:graphicFrame macro="">
      <xdr:nvGraphicFramePr>
        <xdr:cNvPr id="3" name="Chart 2">
          <a:extLst>
            <a:ext uri="{FF2B5EF4-FFF2-40B4-BE49-F238E27FC236}">
              <a16:creationId xmlns:a16="http://schemas.microsoft.com/office/drawing/2014/main" xmlns=""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199571</xdr:colOff>
      <xdr:row>5</xdr:row>
      <xdr:rowOff>107860</xdr:rowOff>
    </xdr:from>
    <xdr:to>
      <xdr:col>20</xdr:col>
      <xdr:colOff>87539</xdr:colOff>
      <xdr:row>25</xdr:row>
      <xdr:rowOff>90714</xdr:rowOff>
    </xdr:to>
    <xdr:graphicFrame macro="">
      <xdr:nvGraphicFramePr>
        <xdr:cNvPr id="4" name="Chart 3">
          <a:extLst>
            <a:ext uri="{FF2B5EF4-FFF2-40B4-BE49-F238E27FC236}">
              <a16:creationId xmlns:a16="http://schemas.microsoft.com/office/drawing/2014/main" xmlns=""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583292</xdr:colOff>
      <xdr:row>7</xdr:row>
      <xdr:rowOff>48532</xdr:rowOff>
    </xdr:from>
    <xdr:to>
      <xdr:col>19</xdr:col>
      <xdr:colOff>107043</xdr:colOff>
      <xdr:row>9</xdr:row>
      <xdr:rowOff>100239</xdr:rowOff>
    </xdr:to>
    <xdr:sp macro="" textlink="E28">
      <xdr:nvSpPr>
        <xdr:cNvPr id="5" name="TextBox 1">
          <a:extLst>
            <a:ext uri="{FF2B5EF4-FFF2-40B4-BE49-F238E27FC236}">
              <a16:creationId xmlns:a16="http://schemas.microsoft.com/office/drawing/2014/main" xmlns="" id="{00000000-0008-0000-0F00-000005000000}"/>
            </a:ext>
          </a:extLst>
        </xdr:cNvPr>
        <xdr:cNvSpPr txBox="1"/>
      </xdr:nvSpPr>
      <xdr:spPr>
        <a:xfrm>
          <a:off x="11124292" y="1354818"/>
          <a:ext cx="4431394" cy="37827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fld id="{CE6CCCB1-39A0-4004-8EEC-28CC9929FF8A}" type="TxLink">
            <a:rPr lang="en-US" sz="1800" b="0" i="0" u="none" strike="noStrike">
              <a:solidFill>
                <a:srgbClr val="1F497D"/>
              </a:solidFill>
              <a:latin typeface="Calibri"/>
              <a:cs typeface="Arial"/>
            </a:rPr>
            <a:pPr algn="ctr"/>
            <a:t>10G_300 m_SFP+</a:t>
          </a:fld>
          <a:endParaRPr lang="en-US" sz="800"/>
        </a:p>
      </xdr:txBody>
    </xdr:sp>
    <xdr:clientData/>
  </xdr:twoCellAnchor>
  <xdr:twoCellAnchor editAs="oneCell">
    <xdr:from>
      <xdr:col>13</xdr:col>
      <xdr:colOff>580571</xdr:colOff>
      <xdr:row>0</xdr:row>
      <xdr:rowOff>90714</xdr:rowOff>
    </xdr:from>
    <xdr:to>
      <xdr:col>17</xdr:col>
      <xdr:colOff>412532</xdr:colOff>
      <xdr:row>3</xdr:row>
      <xdr:rowOff>130058</xdr:rowOff>
    </xdr:to>
    <xdr:pic>
      <xdr:nvPicPr>
        <xdr:cNvPr id="7" name="Picture 6">
          <a:extLst>
            <a:ext uri="{FF2B5EF4-FFF2-40B4-BE49-F238E27FC236}">
              <a16:creationId xmlns:a16="http://schemas.microsoft.com/office/drawing/2014/main" xmlns="" id="{00000000-0008-0000-0F00-000007000000}"/>
            </a:ext>
          </a:extLst>
        </xdr:cNvPr>
        <xdr:cNvPicPr>
          <a:picLocks noChangeAspect="1"/>
        </xdr:cNvPicPr>
      </xdr:nvPicPr>
      <xdr:blipFill>
        <a:blip xmlns:r="http://schemas.openxmlformats.org/officeDocument/2006/relationships" r:embed="rId4"/>
        <a:stretch>
          <a:fillRect/>
        </a:stretch>
      </xdr:blipFill>
      <xdr:spPr>
        <a:xfrm>
          <a:off x="12201071" y="90714"/>
          <a:ext cx="2870889" cy="628987"/>
        </a:xfrm>
        <a:prstGeom prst="rect">
          <a:avLst/>
        </a:prstGeom>
      </xdr:spPr>
    </xdr:pic>
    <xdr:clientData/>
  </xdr:twoCellAnchor>
</xdr:wsDr>
</file>

<file path=xl/drawings/drawing6.xml><?xml version="1.0" encoding="utf-8"?>
<c:userShapes xmlns:c="http://schemas.openxmlformats.org/drawingml/2006/chart">
  <cdr:relSizeAnchor xmlns:cdr="http://schemas.openxmlformats.org/drawingml/2006/chartDrawing">
    <cdr:from>
      <cdr:x>0.20163</cdr:x>
      <cdr:y>0.10657</cdr:y>
    </cdr:from>
    <cdr:to>
      <cdr:x>0.82134</cdr:x>
      <cdr:y>0.38807</cdr:y>
    </cdr:to>
    <cdr:sp macro="" textlink="">
      <cdr:nvSpPr>
        <cdr:cNvPr id="2" name="TextBox 1"/>
        <cdr:cNvSpPr txBox="1"/>
      </cdr:nvSpPr>
      <cdr:spPr>
        <a:xfrm xmlns:a="http://schemas.openxmlformats.org/drawingml/2006/main">
          <a:off x="1005839" y="346165"/>
          <a:ext cx="3091543"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0.33255</cdr:x>
      <cdr:y>0.14678</cdr:y>
    </cdr:from>
    <cdr:to>
      <cdr:x>0.66423</cdr:x>
      <cdr:y>0.26072</cdr:y>
    </cdr:to>
    <cdr:sp macro="" textlink="">
      <cdr:nvSpPr>
        <cdr:cNvPr id="3" name="TextBox 2"/>
        <cdr:cNvSpPr txBox="1"/>
      </cdr:nvSpPr>
      <cdr:spPr>
        <a:xfrm xmlns:a="http://schemas.openxmlformats.org/drawingml/2006/main">
          <a:off x="1658983" y="476794"/>
          <a:ext cx="1654628" cy="3701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0.09252</cdr:x>
      <cdr:y>0.09272</cdr:y>
    </cdr:from>
    <cdr:to>
      <cdr:x>0.91299</cdr:x>
      <cdr:y>0.21671</cdr:y>
    </cdr:to>
    <cdr:sp macro="" textlink="Dashboard!$E$28">
      <cdr:nvSpPr>
        <cdr:cNvPr id="4" name="TextBox 3"/>
        <cdr:cNvSpPr txBox="1"/>
      </cdr:nvSpPr>
      <cdr:spPr>
        <a:xfrm xmlns:a="http://schemas.openxmlformats.org/drawingml/2006/main">
          <a:off x="461554" y="343960"/>
          <a:ext cx="4093028" cy="4600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fld id="{AAE3D818-4731-4A2D-8DE9-BB723063640D}" type="TxLink">
            <a:rPr lang="en-US" sz="1800" b="0" i="0" u="none" strike="noStrike">
              <a:solidFill>
                <a:srgbClr val="1F497D"/>
              </a:solidFill>
              <a:latin typeface="Calibri"/>
            </a:rPr>
            <a:pPr algn="ctr"/>
            <a:t>10G_300 m_SFP+</a:t>
          </a:fld>
          <a:endParaRPr lang="en-US" sz="900"/>
        </a:p>
      </cdr:txBody>
    </cdr:sp>
  </cdr:relSizeAnchor>
</c:userShapes>
</file>

<file path=xl/drawings/drawing7.xml><?xml version="1.0" encoding="utf-8"?>
<c:userShapes xmlns:c="http://schemas.openxmlformats.org/drawingml/2006/chart">
  <cdr:relSizeAnchor xmlns:cdr="http://schemas.openxmlformats.org/drawingml/2006/chartDrawing">
    <cdr:from>
      <cdr:x>0.13088</cdr:x>
      <cdr:y>0.08275</cdr:y>
    </cdr:from>
    <cdr:to>
      <cdr:x>0.95771</cdr:x>
      <cdr:y>0.21675</cdr:y>
    </cdr:to>
    <cdr:sp macro="" textlink="Dashboard!$E$28">
      <cdr:nvSpPr>
        <cdr:cNvPr id="2" name="TextBox 1"/>
        <cdr:cNvSpPr txBox="1"/>
      </cdr:nvSpPr>
      <cdr:spPr>
        <a:xfrm xmlns:a="http://schemas.openxmlformats.org/drawingml/2006/main">
          <a:off x="330405" y="268820"/>
          <a:ext cx="2087399" cy="43530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8FE562E-2347-4ED1-A13F-5443EA3EE670}" type="TxLink">
            <a:rPr lang="en-US" sz="1800" b="0" i="0" u="none" strike="noStrike">
              <a:solidFill>
                <a:srgbClr val="1F497D"/>
              </a:solidFill>
              <a:latin typeface="Calibri"/>
            </a:rPr>
            <a:pPr algn="ctr"/>
            <a:t>10G_300 m_SFP+</a:t>
          </a:fld>
          <a:endParaRPr lang="en-US" sz="800"/>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10</xdr:col>
      <xdr:colOff>480785</xdr:colOff>
      <xdr:row>1</xdr:row>
      <xdr:rowOff>75973</xdr:rowOff>
    </xdr:from>
    <xdr:to>
      <xdr:col>14</xdr:col>
      <xdr:colOff>13388</xdr:colOff>
      <xdr:row>3</xdr:row>
      <xdr:rowOff>206032</xdr:rowOff>
    </xdr:to>
    <xdr:pic>
      <xdr:nvPicPr>
        <xdr:cNvPr id="3" name="Picture 2">
          <a:extLst>
            <a:ext uri="{FF2B5EF4-FFF2-40B4-BE49-F238E27FC236}">
              <a16:creationId xmlns:a16="http://schemas.microsoft.com/office/drawing/2014/main" xmlns="" id="{00000000-0008-0000-1000-000003000000}"/>
            </a:ext>
          </a:extLst>
        </xdr:cNvPr>
        <xdr:cNvPicPr>
          <a:picLocks noChangeAspect="1"/>
        </xdr:cNvPicPr>
      </xdr:nvPicPr>
      <xdr:blipFill>
        <a:blip xmlns:r="http://schemas.openxmlformats.org/officeDocument/2006/relationships" r:embed="rId1"/>
        <a:stretch>
          <a:fillRect/>
        </a:stretch>
      </xdr:blipFill>
      <xdr:spPr>
        <a:xfrm>
          <a:off x="9664473" y="242661"/>
          <a:ext cx="2898103" cy="63012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680357</xdr:colOff>
      <xdr:row>0</xdr:row>
      <xdr:rowOff>63500</xdr:rowOff>
    </xdr:from>
    <xdr:to>
      <xdr:col>12</xdr:col>
      <xdr:colOff>212960</xdr:colOff>
      <xdr:row>3</xdr:row>
      <xdr:rowOff>30273</xdr:rowOff>
    </xdr:to>
    <xdr:pic>
      <xdr:nvPicPr>
        <xdr:cNvPr id="3" name="Picture 2">
          <a:extLst>
            <a:ext uri="{FF2B5EF4-FFF2-40B4-BE49-F238E27FC236}">
              <a16:creationId xmlns:a16="http://schemas.microsoft.com/office/drawing/2014/main" xmlns="" id="{00000000-0008-0000-1600-000003000000}"/>
            </a:ext>
          </a:extLst>
        </xdr:cNvPr>
        <xdr:cNvPicPr>
          <a:picLocks noChangeAspect="1"/>
        </xdr:cNvPicPr>
      </xdr:nvPicPr>
      <xdr:blipFill>
        <a:blip xmlns:r="http://schemas.openxmlformats.org/officeDocument/2006/relationships" r:embed="rId1"/>
        <a:stretch>
          <a:fillRect/>
        </a:stretch>
      </xdr:blipFill>
      <xdr:spPr>
        <a:xfrm>
          <a:off x="13489214" y="63500"/>
          <a:ext cx="2870889" cy="6289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LC%20Reports/40-100G%20Data%20Center%20study/2015%20update/Ethernet%20historical%20dat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hernet"/>
    </sheetNames>
    <sheetDataSet>
      <sheetData sheetId="0" refreshError="1">
        <row r="9">
          <cell r="AE9" t="str">
            <v>A_10G_17</v>
          </cell>
        </row>
        <row r="10">
          <cell r="AE10" t="str">
            <v>A_10G_21</v>
          </cell>
        </row>
        <row r="11">
          <cell r="AE11" t="str">
            <v>A_10G_16</v>
          </cell>
        </row>
        <row r="12">
          <cell r="AE12" t="str">
            <v>A_10G_20</v>
          </cell>
        </row>
        <row r="13">
          <cell r="AE13" t="str">
            <v>EoC</v>
          </cell>
        </row>
        <row r="14">
          <cell r="AE14" t="str">
            <v>A_40G_11</v>
          </cell>
        </row>
        <row r="15">
          <cell r="AE15" t="str">
            <v>A_100G_5</v>
          </cell>
        </row>
        <row r="16">
          <cell r="AE16" t="str">
            <v>B_10R_18</v>
          </cell>
        </row>
        <row r="17">
          <cell r="AE17" t="str">
            <v>B_10R_15</v>
          </cell>
        </row>
        <row r="18">
          <cell r="AE18" t="str">
            <v>C_1G_13</v>
          </cell>
        </row>
        <row r="19">
          <cell r="AE19" t="str">
            <v>C_1G_14</v>
          </cell>
        </row>
        <row r="20">
          <cell r="AE20" t="str">
            <v>C_1G_7</v>
          </cell>
        </row>
        <row r="21">
          <cell r="AE21" t="str">
            <v>C_1G_1</v>
          </cell>
        </row>
        <row r="22">
          <cell r="AE22" t="str">
            <v>D_FE_22</v>
          </cell>
        </row>
        <row r="23">
          <cell r="AE23" t="str">
            <v>D_40F_5</v>
          </cell>
        </row>
        <row r="24">
          <cell r="AE24" t="str">
            <v>D_40SS_11</v>
          </cell>
        </row>
        <row r="25">
          <cell r="AE25" t="str">
            <v>E_1G_13</v>
          </cell>
        </row>
        <row r="26">
          <cell r="AE26" t="str">
            <v>E_1G_14</v>
          </cell>
        </row>
        <row r="27">
          <cell r="AE27" t="str">
            <v>E_1G_8</v>
          </cell>
        </row>
        <row r="28">
          <cell r="AE28" t="str">
            <v>E_10G_19</v>
          </cell>
        </row>
        <row r="29">
          <cell r="AE29" t="str">
            <v>E_10G_17</v>
          </cell>
        </row>
        <row r="30">
          <cell r="AE30" t="str">
            <v>E_10G_21</v>
          </cell>
        </row>
        <row r="31">
          <cell r="AE31" t="str">
            <v>E_10G_15</v>
          </cell>
        </row>
        <row r="32">
          <cell r="AE32" t="str">
            <v>E_40G_5</v>
          </cell>
        </row>
        <row r="33">
          <cell r="AE33" t="str">
            <v>E_40G_11</v>
          </cell>
        </row>
        <row r="34">
          <cell r="AE34" t="str">
            <v>E_100G_5</v>
          </cell>
        </row>
        <row r="35">
          <cell r="AE35" t="str">
            <v>E_100G_6</v>
          </cell>
        </row>
        <row r="36">
          <cell r="AE36" t="str">
            <v>F_FE_22</v>
          </cell>
        </row>
        <row r="37">
          <cell r="AE37" t="str">
            <v>G_1G_14</v>
          </cell>
        </row>
        <row r="38">
          <cell r="AE38" t="str">
            <v>G_1G_10</v>
          </cell>
        </row>
        <row r="39">
          <cell r="AE39" t="str">
            <v>G_10G_17</v>
          </cell>
        </row>
        <row r="40">
          <cell r="AE40" t="str">
            <v>G_10G_21</v>
          </cell>
        </row>
        <row r="41">
          <cell r="AE41" t="str">
            <v>G_10G_15</v>
          </cell>
        </row>
        <row r="42">
          <cell r="AE42" t="str">
            <v>H_1G_14</v>
          </cell>
        </row>
        <row r="43">
          <cell r="AE43" t="str">
            <v>H_1G_10</v>
          </cell>
        </row>
        <row r="44">
          <cell r="AE44" t="str">
            <v>H_10G_21</v>
          </cell>
        </row>
        <row r="45">
          <cell r="AE45" t="str">
            <v>H_10G_15</v>
          </cell>
        </row>
        <row r="46">
          <cell r="AE46" t="str">
            <v>MISC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7.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T46"/>
  <sheetViews>
    <sheetView showGridLines="0" tabSelected="1" zoomScale="70" zoomScaleNormal="70" zoomScalePageLayoutView="80" workbookViewId="0">
      <selection activeCell="B3" sqref="B3"/>
    </sheetView>
  </sheetViews>
  <sheetFormatPr defaultColWidth="9.1796875" defaultRowHeight="12.5"/>
  <cols>
    <col min="1" max="1" width="4.453125" style="4" customWidth="1"/>
    <col min="2" max="2" width="36.1796875" style="4" customWidth="1"/>
    <col min="3" max="3" width="41.453125" style="4" customWidth="1"/>
    <col min="4" max="16384" width="9.1796875" style="4"/>
  </cols>
  <sheetData>
    <row r="1" spans="1:20">
      <c r="A1" s="2"/>
      <c r="B1" s="2"/>
      <c r="C1" s="2"/>
      <c r="D1" s="2"/>
      <c r="E1" s="2"/>
      <c r="F1" s="2"/>
      <c r="G1" s="2"/>
      <c r="H1" s="2"/>
      <c r="I1" s="2"/>
      <c r="J1" s="2"/>
      <c r="K1" s="2"/>
      <c r="L1" s="2"/>
      <c r="M1" s="2"/>
      <c r="N1" s="2"/>
      <c r="O1" s="2"/>
      <c r="P1" s="2"/>
      <c r="Q1" s="2"/>
      <c r="R1" s="2"/>
      <c r="S1" s="2"/>
      <c r="T1" s="2"/>
    </row>
    <row r="2" spans="1:20" ht="18">
      <c r="A2" s="2"/>
      <c r="B2" s="6" t="s">
        <v>67</v>
      </c>
      <c r="C2" s="2"/>
      <c r="D2" s="11"/>
      <c r="E2" s="2"/>
      <c r="F2" s="2"/>
      <c r="G2" s="2"/>
      <c r="H2" s="2"/>
      <c r="I2" s="2"/>
      <c r="J2" s="2"/>
      <c r="K2" s="2"/>
      <c r="L2" s="2"/>
      <c r="M2" s="2"/>
      <c r="N2" s="2"/>
      <c r="O2" s="2"/>
      <c r="P2" s="2"/>
      <c r="Q2" s="2"/>
      <c r="R2" s="2"/>
      <c r="S2" s="2"/>
      <c r="T2" s="2"/>
    </row>
    <row r="3" spans="1:20" ht="15.5">
      <c r="A3" s="2"/>
      <c r="B3" s="635" t="s">
        <v>487</v>
      </c>
      <c r="C3" s="2"/>
      <c r="D3" s="2"/>
      <c r="E3" s="2"/>
      <c r="F3" s="2"/>
      <c r="G3" s="2"/>
      <c r="H3" s="2"/>
      <c r="I3" s="2"/>
      <c r="J3" s="2"/>
      <c r="K3" s="2"/>
      <c r="L3" s="2"/>
      <c r="M3" s="2"/>
      <c r="N3" s="2"/>
      <c r="O3" s="2"/>
      <c r="P3" s="2"/>
      <c r="Q3" s="2"/>
      <c r="R3" s="2"/>
      <c r="S3" s="2"/>
      <c r="T3" s="2"/>
    </row>
    <row r="4" spans="1:20" ht="18">
      <c r="A4" s="2"/>
      <c r="B4" s="6" t="s">
        <v>31</v>
      </c>
      <c r="C4" s="2"/>
      <c r="D4" s="2"/>
      <c r="E4" s="2"/>
      <c r="F4" s="2"/>
      <c r="G4" s="2"/>
      <c r="H4" s="2"/>
      <c r="I4" s="2"/>
      <c r="J4" s="2"/>
      <c r="K4" s="2"/>
      <c r="L4" s="2"/>
      <c r="M4" s="2"/>
      <c r="N4" s="2"/>
      <c r="O4" s="2"/>
      <c r="P4" s="2"/>
      <c r="Q4" s="2"/>
      <c r="R4" s="2"/>
      <c r="S4" s="2"/>
      <c r="T4" s="2"/>
    </row>
    <row r="5" spans="1:20">
      <c r="A5" s="2"/>
      <c r="C5" s="2"/>
      <c r="D5" s="2"/>
      <c r="E5" s="2"/>
      <c r="F5" s="2"/>
      <c r="G5" s="2"/>
      <c r="H5" s="2"/>
      <c r="I5" s="2"/>
      <c r="J5" s="2"/>
      <c r="K5" s="2"/>
      <c r="L5" s="2"/>
      <c r="M5" s="2"/>
      <c r="N5" s="2"/>
      <c r="O5" s="2"/>
      <c r="P5" s="2"/>
      <c r="Q5" s="2"/>
      <c r="R5" s="2"/>
      <c r="S5" s="2"/>
      <c r="T5" s="2"/>
    </row>
    <row r="6" spans="1:20" ht="12.75" customHeight="1">
      <c r="A6" s="2"/>
      <c r="B6" s="657" t="s">
        <v>484</v>
      </c>
      <c r="C6" s="657"/>
      <c r="D6" s="657"/>
      <c r="E6" s="657"/>
      <c r="F6" s="657"/>
      <c r="G6" s="657"/>
      <c r="H6" s="657"/>
      <c r="I6" s="657"/>
      <c r="J6" s="657"/>
      <c r="K6" s="657"/>
      <c r="L6" s="657"/>
      <c r="M6" s="657"/>
      <c r="N6" s="2"/>
      <c r="O6" s="2"/>
      <c r="P6" s="2"/>
      <c r="Q6" s="2"/>
      <c r="R6" s="2"/>
      <c r="S6" s="2"/>
      <c r="T6" s="2"/>
    </row>
    <row r="7" spans="1:20">
      <c r="A7" s="2"/>
      <c r="B7" s="657"/>
      <c r="C7" s="657"/>
      <c r="D7" s="657"/>
      <c r="E7" s="657"/>
      <c r="F7" s="657"/>
      <c r="G7" s="657"/>
      <c r="H7" s="657"/>
      <c r="I7" s="657"/>
      <c r="J7" s="657"/>
      <c r="K7" s="657"/>
      <c r="L7" s="657"/>
      <c r="M7" s="657"/>
      <c r="N7" s="2"/>
      <c r="O7" s="2"/>
      <c r="P7" s="2"/>
      <c r="Q7" s="2"/>
      <c r="R7" s="2"/>
      <c r="S7" s="2"/>
      <c r="T7" s="2"/>
    </row>
    <row r="8" spans="1:20">
      <c r="A8" s="2"/>
      <c r="B8" s="657"/>
      <c r="C8" s="657"/>
      <c r="D8" s="657"/>
      <c r="E8" s="657"/>
      <c r="F8" s="657"/>
      <c r="G8" s="657"/>
      <c r="H8" s="657"/>
      <c r="I8" s="657"/>
      <c r="J8" s="657"/>
      <c r="K8" s="657"/>
      <c r="L8" s="657"/>
      <c r="M8" s="657"/>
      <c r="N8" s="2"/>
      <c r="O8" s="2"/>
      <c r="P8" s="2"/>
      <c r="Q8" s="2"/>
      <c r="R8" s="2"/>
      <c r="S8" s="2"/>
      <c r="T8" s="2"/>
    </row>
    <row r="9" spans="1:20">
      <c r="A9" s="2"/>
      <c r="B9" s="657"/>
      <c r="C9" s="657"/>
      <c r="D9" s="657"/>
      <c r="E9" s="657"/>
      <c r="F9" s="657"/>
      <c r="G9" s="657"/>
      <c r="H9" s="657"/>
      <c r="I9" s="657"/>
      <c r="J9" s="657"/>
      <c r="K9" s="657"/>
      <c r="L9" s="657"/>
      <c r="M9" s="657"/>
      <c r="N9" s="2"/>
      <c r="O9" s="2"/>
      <c r="P9" s="2"/>
      <c r="Q9" s="2"/>
      <c r="R9" s="2"/>
      <c r="S9" s="2"/>
      <c r="T9" s="2"/>
    </row>
    <row r="10" spans="1:20">
      <c r="A10" s="2"/>
      <c r="B10" s="657"/>
      <c r="C10" s="657"/>
      <c r="D10" s="657"/>
      <c r="E10" s="657"/>
      <c r="F10" s="657"/>
      <c r="G10" s="657"/>
      <c r="H10" s="657"/>
      <c r="I10" s="657"/>
      <c r="J10" s="657"/>
      <c r="K10" s="657"/>
      <c r="L10" s="657"/>
      <c r="M10" s="657"/>
      <c r="N10" s="2"/>
      <c r="O10" s="2"/>
      <c r="P10" s="2"/>
      <c r="Q10" s="2"/>
      <c r="R10" s="2"/>
      <c r="S10" s="2"/>
      <c r="T10" s="2"/>
    </row>
    <row r="11" spans="1:20" ht="24" customHeight="1">
      <c r="A11" s="2"/>
      <c r="B11" s="37" t="s">
        <v>483</v>
      </c>
      <c r="C11" s="36"/>
      <c r="D11" s="2"/>
      <c r="E11" s="2"/>
      <c r="F11" s="2"/>
      <c r="G11" s="2"/>
      <c r="H11" s="2"/>
      <c r="I11" s="2"/>
      <c r="J11" s="2"/>
      <c r="K11" s="2"/>
      <c r="L11" s="2"/>
      <c r="M11" s="2"/>
      <c r="N11" s="2"/>
      <c r="O11" s="2"/>
      <c r="P11" s="2"/>
      <c r="Q11" s="2"/>
      <c r="R11" s="2"/>
      <c r="S11" s="2"/>
      <c r="T11" s="2"/>
    </row>
    <row r="12" spans="1:20" ht="24" customHeight="1">
      <c r="A12" s="2"/>
      <c r="B12" s="36" t="s">
        <v>27</v>
      </c>
      <c r="C12" s="36"/>
      <c r="D12" s="2"/>
      <c r="E12" s="2"/>
      <c r="F12" s="2"/>
      <c r="G12" s="2"/>
      <c r="H12" s="2"/>
      <c r="I12" s="2"/>
      <c r="J12" s="2"/>
      <c r="K12" s="2"/>
      <c r="L12" s="2"/>
      <c r="M12" s="2"/>
      <c r="N12" s="2"/>
      <c r="O12" s="2"/>
      <c r="P12" s="2"/>
      <c r="Q12" s="2"/>
      <c r="R12" s="2"/>
      <c r="S12" s="2"/>
      <c r="T12" s="2"/>
    </row>
    <row r="13" spans="1:20" ht="24" customHeight="1">
      <c r="A13" s="2"/>
      <c r="B13" s="426"/>
      <c r="C13" s="2"/>
      <c r="D13" s="2"/>
      <c r="E13" s="2"/>
      <c r="F13" s="2"/>
      <c r="G13" s="2"/>
      <c r="H13" s="2"/>
      <c r="I13" s="2"/>
      <c r="J13" s="2"/>
      <c r="K13" s="2"/>
      <c r="L13" s="2"/>
      <c r="M13" s="2"/>
      <c r="N13" s="2"/>
      <c r="O13" s="2"/>
      <c r="P13" s="2"/>
      <c r="Q13" s="2"/>
      <c r="R13" s="2"/>
      <c r="S13" s="2"/>
      <c r="T13" s="2"/>
    </row>
    <row r="14" spans="1:20" ht="15.5">
      <c r="A14" s="2"/>
      <c r="B14" s="426"/>
      <c r="C14" s="7"/>
      <c r="D14" s="2"/>
      <c r="E14" s="2"/>
      <c r="F14" s="2"/>
      <c r="G14" s="2"/>
      <c r="H14" s="2"/>
      <c r="I14" s="2"/>
      <c r="J14" s="2"/>
      <c r="K14" s="2"/>
      <c r="L14" s="2"/>
      <c r="M14" s="2"/>
      <c r="N14" s="2"/>
      <c r="O14" s="2"/>
      <c r="P14" s="2"/>
      <c r="Q14" s="2"/>
      <c r="R14" s="2"/>
      <c r="S14" s="2"/>
      <c r="T14" s="2"/>
    </row>
    <row r="15" spans="1:20" ht="15.5">
      <c r="A15" s="2"/>
      <c r="B15" s="557" t="s">
        <v>485</v>
      </c>
      <c r="C15" s="2"/>
      <c r="D15" s="2"/>
      <c r="E15" s="2"/>
      <c r="F15" s="2"/>
      <c r="G15" s="2"/>
      <c r="H15" s="2"/>
      <c r="I15" s="2"/>
      <c r="J15" s="2"/>
      <c r="K15" s="2"/>
      <c r="L15" s="2"/>
      <c r="M15" s="2"/>
      <c r="N15" s="2"/>
      <c r="O15" s="2"/>
      <c r="P15" s="2"/>
      <c r="Q15" s="2"/>
      <c r="R15" s="2"/>
      <c r="S15" s="2"/>
      <c r="T15" s="2"/>
    </row>
    <row r="16" spans="1:20" ht="18.75" customHeight="1">
      <c r="A16" s="2"/>
      <c r="D16" s="2"/>
      <c r="E16" s="2"/>
      <c r="F16" s="2"/>
      <c r="G16" s="2"/>
      <c r="H16" s="2"/>
      <c r="I16" s="2"/>
      <c r="J16" s="2"/>
      <c r="K16" s="2"/>
      <c r="L16" s="2"/>
      <c r="M16" s="2"/>
      <c r="N16" s="2"/>
      <c r="O16" s="2"/>
      <c r="P16" s="2"/>
      <c r="Q16" s="2"/>
      <c r="R16" s="2"/>
      <c r="S16" s="2"/>
      <c r="T16" s="2"/>
    </row>
    <row r="17" spans="1:20">
      <c r="A17" s="2"/>
      <c r="B17" s="424"/>
      <c r="C17" s="2"/>
      <c r="D17" s="2"/>
      <c r="E17" s="2"/>
      <c r="F17" s="2"/>
      <c r="G17" s="2"/>
      <c r="H17" s="2"/>
      <c r="I17" s="2"/>
      <c r="J17" s="2"/>
      <c r="K17" s="2"/>
      <c r="L17" s="2"/>
      <c r="M17" s="2"/>
      <c r="N17" s="2"/>
      <c r="O17" s="2"/>
      <c r="P17" s="2"/>
      <c r="Q17" s="2"/>
      <c r="R17" s="2"/>
      <c r="S17" s="2"/>
      <c r="T17" s="2"/>
    </row>
    <row r="18" spans="1:20">
      <c r="A18" s="2"/>
      <c r="D18" s="2"/>
      <c r="E18" s="2"/>
      <c r="F18" s="2"/>
      <c r="G18" s="2"/>
      <c r="H18" s="2"/>
      <c r="I18" s="2"/>
      <c r="J18" s="2"/>
      <c r="K18" s="2"/>
      <c r="L18" s="2"/>
      <c r="M18" s="2"/>
      <c r="N18" s="2"/>
      <c r="O18" s="2"/>
      <c r="P18" s="2"/>
      <c r="Q18" s="2"/>
      <c r="R18" s="2"/>
      <c r="S18" s="2"/>
      <c r="T18" s="2"/>
    </row>
    <row r="19" spans="1:20">
      <c r="A19" s="2"/>
      <c r="D19" s="2"/>
      <c r="E19" s="2"/>
      <c r="F19" s="2"/>
      <c r="G19" s="2"/>
      <c r="H19" s="2"/>
      <c r="I19" s="2"/>
      <c r="J19" s="2"/>
      <c r="K19" s="2"/>
      <c r="L19" s="2"/>
      <c r="M19" s="2"/>
      <c r="N19" s="2"/>
      <c r="O19" s="2"/>
      <c r="P19" s="2"/>
      <c r="Q19" s="2"/>
      <c r="R19" s="2"/>
      <c r="S19" s="2"/>
      <c r="T19" s="2"/>
    </row>
    <row r="20" spans="1:20">
      <c r="A20" s="2"/>
      <c r="B20" s="2"/>
      <c r="C20" s="2"/>
      <c r="D20" s="2"/>
      <c r="E20" s="2"/>
      <c r="F20" s="2"/>
      <c r="G20" s="2"/>
      <c r="H20" s="2"/>
      <c r="I20" s="2"/>
      <c r="J20" s="2"/>
      <c r="K20" s="2"/>
      <c r="L20" s="2"/>
      <c r="M20" s="2"/>
      <c r="N20" s="2"/>
      <c r="O20" s="2"/>
      <c r="P20" s="2"/>
      <c r="Q20" s="2"/>
      <c r="R20" s="2"/>
      <c r="S20" s="2"/>
      <c r="T20" s="2"/>
    </row>
    <row r="21" spans="1:20">
      <c r="A21" s="2"/>
      <c r="B21" s="2"/>
      <c r="C21" s="2"/>
      <c r="D21" s="2"/>
      <c r="E21" s="2"/>
      <c r="F21" s="2"/>
      <c r="G21" s="2"/>
      <c r="H21" s="2"/>
      <c r="I21" s="2"/>
      <c r="J21" s="2"/>
      <c r="K21" s="2"/>
      <c r="L21" s="2"/>
      <c r="M21" s="2"/>
      <c r="N21" s="2"/>
      <c r="O21" s="2"/>
      <c r="P21" s="2"/>
      <c r="Q21" s="2"/>
      <c r="R21" s="2"/>
      <c r="S21" s="2"/>
      <c r="T21" s="2"/>
    </row>
    <row r="22" spans="1:20">
      <c r="A22" s="2"/>
      <c r="B22" s="2"/>
      <c r="C22" s="2"/>
      <c r="D22" s="2"/>
      <c r="E22" s="2"/>
      <c r="F22" s="2"/>
      <c r="G22" s="2"/>
      <c r="H22" s="2"/>
      <c r="I22" s="2"/>
      <c r="J22" s="2"/>
      <c r="K22" s="2"/>
      <c r="L22" s="2"/>
      <c r="M22" s="2"/>
      <c r="N22" s="2"/>
      <c r="O22" s="2"/>
      <c r="P22" s="2"/>
      <c r="Q22" s="2"/>
      <c r="R22" s="2"/>
      <c r="S22" s="2"/>
      <c r="T22" s="2"/>
    </row>
    <row r="23" spans="1:20">
      <c r="A23" s="2"/>
      <c r="B23" s="2"/>
      <c r="C23" s="2"/>
      <c r="D23" s="2"/>
      <c r="E23" s="2"/>
      <c r="F23" s="2"/>
      <c r="G23" s="2"/>
      <c r="H23" s="2"/>
      <c r="I23" s="2"/>
      <c r="J23" s="2"/>
      <c r="K23" s="2"/>
      <c r="L23" s="2"/>
      <c r="M23" s="2"/>
      <c r="N23" s="2"/>
      <c r="O23" s="2"/>
      <c r="P23" s="2"/>
      <c r="Q23" s="2"/>
      <c r="R23" s="2"/>
      <c r="S23" s="2"/>
      <c r="T23" s="2"/>
    </row>
    <row r="24" spans="1:20">
      <c r="A24" s="2"/>
      <c r="B24" s="2"/>
      <c r="C24" s="2"/>
      <c r="D24" s="2"/>
      <c r="E24" s="2"/>
      <c r="F24" s="2"/>
      <c r="G24" s="2"/>
      <c r="H24" s="2"/>
      <c r="I24" s="2"/>
      <c r="J24" s="2"/>
      <c r="K24" s="2"/>
      <c r="L24" s="2"/>
      <c r="M24" s="2"/>
      <c r="N24" s="2"/>
      <c r="O24" s="2"/>
      <c r="P24" s="2"/>
      <c r="Q24" s="2"/>
      <c r="R24" s="2"/>
      <c r="S24" s="2"/>
      <c r="T24" s="2"/>
    </row>
    <row r="25" spans="1:20">
      <c r="A25" s="2"/>
      <c r="B25" s="2"/>
      <c r="C25" s="2"/>
      <c r="D25" s="2"/>
      <c r="E25" s="2"/>
      <c r="F25" s="2"/>
      <c r="G25" s="2"/>
      <c r="H25" s="2"/>
      <c r="I25" s="2"/>
      <c r="J25" s="2"/>
      <c r="K25" s="2"/>
      <c r="L25" s="2"/>
      <c r="M25" s="2"/>
      <c r="N25" s="2"/>
      <c r="O25" s="2"/>
      <c r="P25" s="2"/>
      <c r="Q25" s="2"/>
      <c r="R25" s="2"/>
      <c r="S25" s="2"/>
      <c r="T25" s="2"/>
    </row>
    <row r="26" spans="1:20">
      <c r="A26" s="2"/>
      <c r="B26" s="2"/>
      <c r="C26" s="2"/>
      <c r="D26" s="2"/>
      <c r="E26" s="2"/>
      <c r="F26" s="2"/>
      <c r="G26" s="2"/>
      <c r="H26" s="2"/>
      <c r="I26" s="2"/>
      <c r="J26" s="2"/>
      <c r="K26" s="2"/>
      <c r="L26" s="2"/>
      <c r="M26" s="2"/>
      <c r="N26" s="2"/>
      <c r="O26" s="2"/>
      <c r="P26" s="2"/>
      <c r="Q26" s="2"/>
      <c r="R26" s="2"/>
      <c r="S26" s="2"/>
      <c r="T26" s="2"/>
    </row>
    <row r="27" spans="1:20">
      <c r="A27" s="2"/>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29" spans="1:20">
      <c r="A29" s="2"/>
      <c r="B29" s="2"/>
      <c r="C29" s="2"/>
      <c r="D29" s="2"/>
      <c r="E29" s="2"/>
      <c r="F29" s="2"/>
      <c r="G29" s="2"/>
      <c r="H29" s="2"/>
      <c r="I29" s="2"/>
      <c r="J29" s="2"/>
      <c r="K29" s="2"/>
      <c r="L29" s="2"/>
      <c r="M29" s="2"/>
      <c r="N29" s="2"/>
      <c r="O29" s="2"/>
      <c r="P29" s="2"/>
      <c r="Q29" s="2"/>
      <c r="R29" s="2"/>
      <c r="S29" s="2"/>
      <c r="T29" s="2"/>
    </row>
    <row r="30" spans="1:20">
      <c r="A30" s="2"/>
      <c r="B30" s="2"/>
      <c r="C30" s="2"/>
      <c r="D30" s="2"/>
      <c r="E30" s="2"/>
      <c r="F30" s="2"/>
      <c r="G30" s="2"/>
      <c r="H30" s="2"/>
      <c r="I30" s="2"/>
      <c r="J30" s="2"/>
      <c r="K30" s="2"/>
      <c r="L30" s="2"/>
      <c r="M30" s="2"/>
      <c r="N30" s="2"/>
      <c r="O30" s="2"/>
      <c r="P30" s="2"/>
      <c r="Q30" s="2"/>
      <c r="R30" s="2"/>
      <c r="S30" s="2"/>
      <c r="T30" s="2"/>
    </row>
    <row r="31" spans="1:20">
      <c r="A31" s="2"/>
      <c r="B31" s="2"/>
      <c r="C31" s="2"/>
      <c r="D31" s="2"/>
      <c r="E31" s="2"/>
      <c r="F31" s="2"/>
      <c r="G31" s="2"/>
      <c r="H31" s="2"/>
      <c r="I31" s="2"/>
      <c r="J31" s="2"/>
      <c r="K31" s="2"/>
      <c r="L31" s="2"/>
      <c r="M31" s="2"/>
      <c r="N31" s="2"/>
      <c r="O31" s="2"/>
      <c r="P31" s="2"/>
      <c r="Q31" s="2"/>
      <c r="R31" s="2"/>
      <c r="S31" s="2"/>
      <c r="T31" s="2"/>
    </row>
    <row r="32" spans="1:20">
      <c r="A32" s="2"/>
      <c r="B32" s="2"/>
      <c r="C32" s="2"/>
      <c r="D32" s="2"/>
      <c r="E32" s="2"/>
      <c r="F32" s="2"/>
      <c r="G32" s="2"/>
      <c r="H32" s="2"/>
      <c r="I32" s="2"/>
      <c r="J32" s="2"/>
      <c r="K32" s="2"/>
      <c r="L32" s="2"/>
      <c r="M32" s="2"/>
      <c r="N32" s="2"/>
      <c r="O32" s="2"/>
      <c r="P32" s="2"/>
      <c r="Q32" s="2"/>
      <c r="R32" s="2"/>
      <c r="S32" s="2"/>
      <c r="T32" s="2"/>
    </row>
    <row r="33" spans="1:20">
      <c r="A33" s="2"/>
      <c r="B33" s="2"/>
      <c r="C33" s="2"/>
      <c r="D33" s="2"/>
      <c r="E33" s="2"/>
      <c r="F33" s="2"/>
      <c r="G33" s="2"/>
      <c r="H33" s="2"/>
      <c r="I33" s="2"/>
      <c r="J33" s="2"/>
      <c r="K33" s="2"/>
      <c r="L33" s="2"/>
      <c r="M33" s="2"/>
      <c r="N33" s="2"/>
      <c r="O33" s="2"/>
      <c r="P33" s="2"/>
      <c r="Q33" s="2"/>
      <c r="R33" s="2"/>
      <c r="S33" s="2"/>
      <c r="T33" s="2"/>
    </row>
    <row r="34" spans="1:20">
      <c r="A34" s="2"/>
      <c r="B34" s="2"/>
      <c r="C34" s="2"/>
      <c r="D34" s="2"/>
      <c r="E34" s="2"/>
      <c r="F34" s="2"/>
      <c r="G34" s="2"/>
      <c r="H34" s="2"/>
      <c r="I34" s="2"/>
      <c r="J34" s="2"/>
      <c r="K34" s="2"/>
      <c r="L34" s="2"/>
      <c r="M34" s="2"/>
      <c r="N34" s="2"/>
      <c r="O34" s="2"/>
      <c r="P34" s="2"/>
      <c r="Q34" s="2"/>
      <c r="R34" s="2"/>
      <c r="S34" s="2"/>
      <c r="T34" s="2"/>
    </row>
    <row r="35" spans="1:20">
      <c r="A35" s="2"/>
      <c r="B35" s="2"/>
      <c r="C35" s="2"/>
      <c r="D35" s="2"/>
      <c r="E35" s="2"/>
      <c r="F35" s="2"/>
      <c r="G35" s="2"/>
      <c r="H35" s="2"/>
      <c r="I35" s="2"/>
      <c r="J35" s="2"/>
      <c r="K35" s="2"/>
      <c r="L35" s="2"/>
      <c r="M35" s="2"/>
      <c r="N35" s="2"/>
      <c r="O35" s="2"/>
      <c r="P35" s="2"/>
      <c r="Q35" s="2"/>
      <c r="R35" s="2"/>
      <c r="S35" s="2"/>
      <c r="T35" s="2"/>
    </row>
    <row r="36" spans="1:20">
      <c r="A36" s="2"/>
      <c r="B36" s="2"/>
      <c r="C36" s="2"/>
      <c r="D36" s="2"/>
      <c r="E36" s="2"/>
      <c r="F36" s="2"/>
      <c r="G36" s="2"/>
      <c r="H36" s="2"/>
      <c r="I36" s="2"/>
      <c r="J36" s="2"/>
      <c r="K36" s="2"/>
      <c r="L36" s="2"/>
      <c r="M36" s="2"/>
      <c r="N36" s="2"/>
      <c r="O36" s="2"/>
      <c r="P36" s="2"/>
      <c r="Q36" s="2"/>
      <c r="R36" s="2"/>
      <c r="S36" s="2"/>
      <c r="T36" s="2"/>
    </row>
    <row r="37" spans="1:20">
      <c r="A37" s="2"/>
      <c r="B37" s="2"/>
      <c r="C37" s="2"/>
      <c r="D37" s="2"/>
      <c r="E37" s="2"/>
      <c r="F37" s="2"/>
      <c r="G37" s="2"/>
      <c r="H37" s="2"/>
      <c r="I37" s="2"/>
      <c r="J37" s="2"/>
      <c r="K37" s="2"/>
      <c r="L37" s="2"/>
      <c r="M37" s="2"/>
      <c r="N37" s="2"/>
      <c r="O37" s="2"/>
      <c r="P37" s="2"/>
      <c r="Q37" s="2"/>
      <c r="R37" s="2"/>
      <c r="S37" s="2"/>
      <c r="T37" s="2"/>
    </row>
    <row r="38" spans="1:20">
      <c r="A38" s="2"/>
      <c r="B38" s="2"/>
      <c r="C38" s="2"/>
      <c r="D38" s="2"/>
      <c r="E38" s="2"/>
      <c r="F38" s="2"/>
      <c r="G38" s="2"/>
      <c r="H38" s="2"/>
      <c r="I38" s="2"/>
      <c r="J38" s="2"/>
      <c r="K38" s="2"/>
      <c r="L38" s="2"/>
      <c r="M38" s="2"/>
      <c r="N38" s="2"/>
      <c r="O38" s="2"/>
      <c r="P38" s="2"/>
      <c r="Q38" s="2"/>
      <c r="R38" s="2"/>
      <c r="S38" s="2"/>
      <c r="T38" s="2"/>
    </row>
    <row r="39" spans="1:20">
      <c r="A39" s="2"/>
      <c r="B39" s="2"/>
      <c r="C39" s="2"/>
      <c r="D39" s="2"/>
      <c r="E39" s="2"/>
      <c r="F39" s="2"/>
      <c r="G39" s="2"/>
      <c r="H39" s="2"/>
      <c r="I39" s="2"/>
      <c r="J39" s="2"/>
      <c r="K39" s="2"/>
      <c r="L39" s="2"/>
      <c r="M39" s="2"/>
      <c r="N39" s="2"/>
      <c r="O39" s="2"/>
      <c r="P39" s="2"/>
      <c r="Q39" s="2"/>
      <c r="R39" s="2"/>
      <c r="S39" s="2"/>
      <c r="T39" s="2"/>
    </row>
    <row r="40" spans="1:20">
      <c r="A40" s="2"/>
      <c r="B40" s="2"/>
      <c r="C40" s="2"/>
      <c r="D40" s="2"/>
      <c r="E40" s="2"/>
      <c r="F40" s="2"/>
      <c r="G40" s="2"/>
      <c r="H40" s="2"/>
      <c r="I40" s="2"/>
      <c r="J40" s="2"/>
      <c r="K40" s="2"/>
      <c r="L40" s="2"/>
      <c r="M40" s="2"/>
      <c r="N40" s="2"/>
      <c r="O40" s="2"/>
      <c r="P40" s="2"/>
      <c r="Q40" s="2"/>
      <c r="R40" s="2"/>
      <c r="S40" s="2"/>
      <c r="T40" s="2"/>
    </row>
    <row r="41" spans="1:20">
      <c r="A41" s="2"/>
      <c r="B41" s="2"/>
      <c r="C41" s="2"/>
      <c r="D41" s="2"/>
      <c r="E41" s="2"/>
      <c r="F41" s="2"/>
      <c r="G41" s="2"/>
      <c r="H41" s="2"/>
      <c r="I41" s="2"/>
      <c r="J41" s="2"/>
      <c r="K41" s="2"/>
      <c r="L41" s="2"/>
      <c r="M41" s="2"/>
      <c r="N41" s="2"/>
      <c r="O41" s="2"/>
      <c r="P41" s="2"/>
      <c r="Q41" s="2"/>
      <c r="R41" s="2"/>
      <c r="S41" s="2"/>
      <c r="T41" s="2"/>
    </row>
    <row r="42" spans="1:20">
      <c r="A42" s="2"/>
      <c r="B42" s="2"/>
      <c r="C42" s="2"/>
      <c r="D42" s="2"/>
      <c r="E42" s="2"/>
      <c r="F42" s="2"/>
      <c r="G42" s="2"/>
      <c r="H42" s="2"/>
      <c r="I42" s="2"/>
      <c r="J42" s="2"/>
      <c r="K42" s="2"/>
      <c r="L42" s="2"/>
      <c r="M42" s="2"/>
      <c r="N42" s="2"/>
      <c r="O42" s="2"/>
      <c r="P42" s="2"/>
      <c r="Q42" s="2"/>
      <c r="R42" s="2"/>
      <c r="S42" s="2"/>
      <c r="T42" s="2"/>
    </row>
    <row r="43" spans="1:20">
      <c r="A43" s="2"/>
      <c r="B43" s="2"/>
      <c r="C43" s="2"/>
      <c r="D43" s="2"/>
      <c r="E43" s="2"/>
      <c r="F43" s="2"/>
      <c r="G43" s="2"/>
      <c r="H43" s="2"/>
      <c r="I43" s="2"/>
      <c r="J43" s="2"/>
      <c r="K43" s="2"/>
      <c r="L43" s="2"/>
      <c r="M43" s="2"/>
      <c r="N43" s="2"/>
      <c r="O43" s="2"/>
      <c r="P43" s="2"/>
      <c r="Q43" s="2"/>
      <c r="R43" s="2"/>
      <c r="S43" s="2"/>
      <c r="T43" s="2"/>
    </row>
    <row r="44" spans="1:20">
      <c r="A44" s="2"/>
      <c r="B44" s="2"/>
      <c r="C44" s="2"/>
      <c r="D44" s="2"/>
      <c r="E44" s="2"/>
      <c r="F44" s="2"/>
      <c r="G44" s="2"/>
      <c r="H44" s="2"/>
      <c r="I44" s="2"/>
      <c r="J44" s="2"/>
      <c r="K44" s="2"/>
      <c r="L44" s="2"/>
      <c r="M44" s="2"/>
      <c r="N44" s="2"/>
      <c r="O44" s="2"/>
      <c r="P44" s="2"/>
      <c r="Q44" s="2"/>
      <c r="R44" s="2"/>
      <c r="S44" s="2"/>
      <c r="T44" s="2"/>
    </row>
    <row r="45" spans="1:20">
      <c r="A45" s="2"/>
      <c r="B45" s="2"/>
      <c r="C45" s="2"/>
      <c r="D45" s="2"/>
      <c r="E45" s="2"/>
      <c r="F45" s="2"/>
      <c r="G45" s="2"/>
      <c r="H45" s="2"/>
      <c r="I45" s="2"/>
      <c r="J45" s="2"/>
      <c r="K45" s="2"/>
      <c r="L45" s="2"/>
      <c r="M45" s="2"/>
      <c r="N45" s="2"/>
      <c r="O45" s="2"/>
      <c r="P45" s="2"/>
      <c r="Q45" s="2"/>
      <c r="R45" s="2"/>
      <c r="S45" s="2"/>
      <c r="T45" s="2"/>
    </row>
    <row r="46" spans="1:20">
      <c r="A46" s="2"/>
      <c r="B46" s="2"/>
      <c r="C46" s="2"/>
      <c r="D46" s="2"/>
      <c r="E46" s="2"/>
      <c r="F46" s="2"/>
      <c r="G46" s="2"/>
      <c r="H46" s="2"/>
      <c r="I46" s="2"/>
      <c r="J46" s="2"/>
      <c r="K46" s="2"/>
      <c r="L46" s="2"/>
      <c r="M46" s="2"/>
      <c r="N46" s="2"/>
      <c r="O46" s="2"/>
      <c r="P46" s="2"/>
      <c r="Q46" s="2"/>
      <c r="R46" s="2"/>
      <c r="S46" s="2"/>
      <c r="T46" s="2"/>
    </row>
  </sheetData>
  <mergeCells count="1">
    <mergeCell ref="B6:M10"/>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N341"/>
  <sheetViews>
    <sheetView showGridLines="0" zoomScale="70" zoomScaleNormal="70" zoomScalePageLayoutView="80" workbookViewId="0">
      <selection activeCell="M58" sqref="M58"/>
    </sheetView>
  </sheetViews>
  <sheetFormatPr defaultColWidth="8.81640625" defaultRowHeight="13" outlineLevelRow="1"/>
  <cols>
    <col min="1" max="1" width="4.453125" style="135" customWidth="1"/>
    <col min="2" max="2" width="25.453125" style="135" customWidth="1"/>
    <col min="3" max="3" width="13.453125" style="135" customWidth="1"/>
    <col min="4" max="7" width="14.453125" style="135" customWidth="1"/>
    <col min="8" max="9" width="14.453125" style="135" bestFit="1" customWidth="1"/>
    <col min="10" max="13" width="14.453125" style="135" customWidth="1"/>
    <col min="14" max="14" width="13.81640625" style="135" customWidth="1"/>
    <col min="15" max="15" width="10" style="135" customWidth="1"/>
    <col min="16" max="16384" width="8.81640625" style="135"/>
  </cols>
  <sheetData>
    <row r="2" spans="1:7" ht="18.5">
      <c r="A2" s="62"/>
      <c r="B2" s="6" t="str">
        <f>Introduction!$B$2</f>
        <v>LightCounting Ethernet Transceivers Forecast</v>
      </c>
    </row>
    <row r="3" spans="1:7" ht="15.5">
      <c r="B3" s="43" t="str">
        <f>Introduction!B3</f>
        <v xml:space="preserve">Sample template for forecast published 31 March 2021 </v>
      </c>
    </row>
    <row r="4" spans="1:7" ht="18.5">
      <c r="A4" s="62"/>
      <c r="B4" s="6" t="s">
        <v>119</v>
      </c>
      <c r="C4" s="134"/>
      <c r="D4" s="134"/>
      <c r="E4" s="134"/>
      <c r="F4" s="134"/>
      <c r="G4" s="134"/>
    </row>
    <row r="5" spans="1:7" ht="21">
      <c r="A5" s="138"/>
      <c r="B5" s="202"/>
      <c r="C5" s="134"/>
      <c r="D5" s="134"/>
    </row>
    <row r="7" spans="1:7" ht="21">
      <c r="B7" s="17" t="s">
        <v>155</v>
      </c>
    </row>
    <row r="9" spans="1:7">
      <c r="A9" s="50"/>
      <c r="B9" s="50"/>
      <c r="C9" s="50"/>
      <c r="D9" s="50"/>
      <c r="E9" s="50"/>
      <c r="F9" s="50"/>
      <c r="G9" s="50"/>
    </row>
    <row r="10" spans="1:7">
      <c r="A10" s="50"/>
      <c r="B10" s="50"/>
      <c r="C10" s="50"/>
      <c r="D10" s="50"/>
      <c r="E10" s="50"/>
      <c r="F10" s="50"/>
      <c r="G10" s="50"/>
    </row>
    <row r="11" spans="1:7">
      <c r="A11" s="50"/>
      <c r="B11" s="50"/>
      <c r="C11" s="50"/>
      <c r="D11" s="50"/>
      <c r="E11" s="50"/>
      <c r="F11" s="50"/>
      <c r="G11" s="50"/>
    </row>
    <row r="12" spans="1:7">
      <c r="A12" s="50"/>
      <c r="B12" s="50"/>
      <c r="C12" s="50"/>
      <c r="D12" s="50"/>
      <c r="E12" s="50"/>
      <c r="F12" s="50"/>
      <c r="G12" s="50"/>
    </row>
    <row r="13" spans="1:7">
      <c r="A13" s="50"/>
      <c r="B13" s="50"/>
      <c r="C13" s="50"/>
      <c r="D13" s="50"/>
      <c r="E13" s="50"/>
      <c r="F13" s="50"/>
      <c r="G13" s="50"/>
    </row>
    <row r="14" spans="1:7">
      <c r="A14" s="50"/>
      <c r="B14" s="50"/>
      <c r="C14" s="50"/>
      <c r="D14" s="50"/>
      <c r="E14" s="50"/>
      <c r="F14" s="50"/>
      <c r="G14" s="50"/>
    </row>
    <row r="15" spans="1:7">
      <c r="A15" s="50"/>
      <c r="B15" s="50"/>
      <c r="C15" s="50"/>
      <c r="D15" s="50"/>
      <c r="E15" s="50"/>
      <c r="F15" s="50"/>
      <c r="G15" s="50"/>
    </row>
    <row r="16" spans="1:7">
      <c r="A16" s="50"/>
      <c r="B16" s="50"/>
      <c r="C16" s="50"/>
      <c r="D16" s="50"/>
      <c r="E16" s="50"/>
      <c r="F16" s="50"/>
      <c r="G16" s="50"/>
    </row>
    <row r="17" spans="1:14">
      <c r="A17" s="50"/>
      <c r="B17" s="50"/>
      <c r="C17" s="50"/>
      <c r="D17" s="50"/>
      <c r="E17" s="50"/>
      <c r="F17" s="50"/>
      <c r="G17" s="50"/>
    </row>
    <row r="18" spans="1:14">
      <c r="A18" s="50"/>
      <c r="B18" s="50"/>
      <c r="C18" s="50"/>
      <c r="D18" s="50"/>
      <c r="E18" s="50"/>
      <c r="F18" s="50"/>
      <c r="G18" s="50"/>
    </row>
    <row r="19" spans="1:14">
      <c r="A19" s="50"/>
      <c r="B19" s="50"/>
      <c r="C19" s="50"/>
      <c r="D19" s="50"/>
      <c r="E19" s="50"/>
      <c r="F19" s="50"/>
      <c r="G19" s="50"/>
    </row>
    <row r="20" spans="1:14">
      <c r="A20" s="50"/>
      <c r="B20" s="50"/>
      <c r="C20" s="50"/>
      <c r="D20" s="50"/>
      <c r="E20" s="50"/>
      <c r="F20" s="50"/>
      <c r="G20" s="50"/>
    </row>
    <row r="21" spans="1:14">
      <c r="A21" s="50"/>
      <c r="B21" s="50"/>
      <c r="C21" s="50"/>
      <c r="D21" s="50"/>
      <c r="E21" s="50"/>
      <c r="F21" s="50"/>
      <c r="G21" s="50"/>
    </row>
    <row r="22" spans="1:14">
      <c r="A22" s="50"/>
      <c r="B22" s="50"/>
      <c r="C22" s="50"/>
      <c r="D22" s="50"/>
      <c r="E22" s="50"/>
      <c r="F22" s="50"/>
      <c r="G22" s="50"/>
    </row>
    <row r="23" spans="1:14">
      <c r="A23" s="50"/>
      <c r="B23" s="50"/>
      <c r="C23" s="50"/>
      <c r="D23" s="50"/>
      <c r="E23" s="50"/>
      <c r="F23" s="50"/>
      <c r="G23" s="50"/>
    </row>
    <row r="24" spans="1:14">
      <c r="A24" s="50"/>
      <c r="B24" s="50"/>
      <c r="C24" s="50"/>
      <c r="D24" s="50"/>
      <c r="E24" s="50"/>
      <c r="F24" s="50"/>
      <c r="G24" s="50"/>
    </row>
    <row r="25" spans="1:14">
      <c r="A25" s="50"/>
      <c r="B25" s="50"/>
      <c r="C25" s="50"/>
      <c r="D25" s="50"/>
      <c r="E25" s="50"/>
      <c r="F25" s="50"/>
      <c r="G25" s="50"/>
    </row>
    <row r="26" spans="1:14">
      <c r="A26" s="50"/>
      <c r="B26" s="50"/>
      <c r="C26" s="50"/>
      <c r="D26" s="50"/>
      <c r="E26" s="50"/>
      <c r="F26" s="50"/>
      <c r="G26" s="50"/>
    </row>
    <row r="27" spans="1:14">
      <c r="A27" s="50"/>
      <c r="B27" s="50"/>
      <c r="C27" s="50"/>
      <c r="D27" s="50"/>
      <c r="E27" s="50"/>
      <c r="F27" s="50"/>
      <c r="G27" s="50"/>
    </row>
    <row r="28" spans="1:14">
      <c r="A28" s="50"/>
      <c r="B28" s="50"/>
      <c r="C28" s="50"/>
      <c r="D28" s="50"/>
      <c r="E28" s="50"/>
      <c r="F28" s="50"/>
      <c r="G28" s="50"/>
    </row>
    <row r="29" spans="1:14">
      <c r="A29" s="50"/>
      <c r="C29" s="50"/>
      <c r="D29" s="50"/>
      <c r="E29" s="50"/>
      <c r="F29" s="50"/>
      <c r="G29" s="50"/>
    </row>
    <row r="30" spans="1:14" ht="21">
      <c r="A30" s="50"/>
      <c r="B30" s="17" t="s">
        <v>105</v>
      </c>
      <c r="C30" s="50"/>
      <c r="D30" s="50"/>
      <c r="E30" s="50"/>
      <c r="F30" s="50"/>
      <c r="G30" s="50"/>
    </row>
    <row r="31" spans="1:14">
      <c r="C31" s="203">
        <v>2016</v>
      </c>
      <c r="D31" s="144">
        <v>2017</v>
      </c>
      <c r="E31" s="144">
        <v>2018</v>
      </c>
      <c r="F31" s="144">
        <v>2019</v>
      </c>
      <c r="G31" s="144">
        <v>2020</v>
      </c>
      <c r="H31" s="144">
        <v>2021</v>
      </c>
      <c r="I31" s="144">
        <v>2022</v>
      </c>
      <c r="J31" s="144">
        <v>2023</v>
      </c>
      <c r="K31" s="144">
        <v>2024</v>
      </c>
      <c r="L31" s="144">
        <v>2025</v>
      </c>
      <c r="M31" s="144">
        <v>2026</v>
      </c>
      <c r="N31" s="331" t="s">
        <v>449</v>
      </c>
    </row>
    <row r="32" spans="1:14">
      <c r="B32" s="200" t="s">
        <v>97</v>
      </c>
      <c r="C32" s="141">
        <f>Telecom!E70</f>
        <v>4365629.053513201</v>
      </c>
      <c r="D32" s="142">
        <f>Telecom!F70</f>
        <v>3892074.9984692554</v>
      </c>
      <c r="E32" s="142">
        <f>Telecom!G70</f>
        <v>0</v>
      </c>
      <c r="F32" s="142">
        <f>Telecom!H70</f>
        <v>0</v>
      </c>
      <c r="G32" s="142">
        <f>Telecom!I70</f>
        <v>0</v>
      </c>
      <c r="H32" s="142">
        <f>Telecom!J70</f>
        <v>0</v>
      </c>
      <c r="I32" s="142">
        <f>Telecom!K70</f>
        <v>0</v>
      </c>
      <c r="J32" s="142">
        <f>Telecom!L70</f>
        <v>0</v>
      </c>
      <c r="K32" s="142">
        <f>Telecom!M70</f>
        <v>0</v>
      </c>
      <c r="L32" s="142">
        <f>Telecom!N70</f>
        <v>0</v>
      </c>
      <c r="M32" s="142">
        <f>Telecom!O70</f>
        <v>0</v>
      </c>
      <c r="N32" s="134">
        <f>SUM(H32:M32)</f>
        <v>0</v>
      </c>
    </row>
    <row r="33" spans="1:14">
      <c r="B33" s="279" t="s">
        <v>147</v>
      </c>
      <c r="C33" s="139">
        <f>Cloud!E70</f>
        <v>10649308.537719864</v>
      </c>
      <c r="D33" s="140">
        <f>Cloud!F70</f>
        <v>13336049.134659462</v>
      </c>
      <c r="E33" s="140">
        <f>Cloud!G70</f>
        <v>0</v>
      </c>
      <c r="F33" s="140">
        <f>Cloud!H70</f>
        <v>0</v>
      </c>
      <c r="G33" s="140">
        <f>Cloud!I70</f>
        <v>0</v>
      </c>
      <c r="H33" s="140">
        <f>Cloud!J70</f>
        <v>0</v>
      </c>
      <c r="I33" s="140">
        <f>Cloud!K70</f>
        <v>0</v>
      </c>
      <c r="J33" s="140">
        <f>Cloud!L70</f>
        <v>0</v>
      </c>
      <c r="K33" s="140">
        <f>Cloud!M70</f>
        <v>0</v>
      </c>
      <c r="L33" s="140">
        <f>Cloud!N70</f>
        <v>0</v>
      </c>
      <c r="M33" s="140">
        <f>Cloud!O70</f>
        <v>0</v>
      </c>
      <c r="N33" s="134">
        <f>SUM(H33:M33)</f>
        <v>0</v>
      </c>
    </row>
    <row r="34" spans="1:14" ht="13.5" customHeight="1">
      <c r="B34" s="279" t="s">
        <v>115</v>
      </c>
      <c r="C34" s="139">
        <f>Enterprise!E70</f>
        <v>21153423.44376694</v>
      </c>
      <c r="D34" s="140">
        <f>Enterprise!F70</f>
        <v>20849659.016871281</v>
      </c>
      <c r="E34" s="140">
        <f>Enterprise!G70</f>
        <v>0</v>
      </c>
      <c r="F34" s="140">
        <f>Enterprise!H70</f>
        <v>0</v>
      </c>
      <c r="G34" s="140">
        <f>Enterprise!I70</f>
        <v>0</v>
      </c>
      <c r="H34" s="140">
        <f>Enterprise!J70</f>
        <v>0</v>
      </c>
      <c r="I34" s="140">
        <f>Enterprise!K70</f>
        <v>0</v>
      </c>
      <c r="J34" s="140">
        <f>Enterprise!L70</f>
        <v>0</v>
      </c>
      <c r="K34" s="140">
        <f>Enterprise!M70</f>
        <v>0</v>
      </c>
      <c r="L34" s="140">
        <f>Enterprise!N70</f>
        <v>0</v>
      </c>
      <c r="M34" s="140">
        <f>Enterprise!O70</f>
        <v>0</v>
      </c>
      <c r="N34" s="134">
        <f>SUM(H34:M34)</f>
        <v>0</v>
      </c>
    </row>
    <row r="35" spans="1:14">
      <c r="B35" s="145" t="s">
        <v>13</v>
      </c>
      <c r="C35" s="157">
        <f t="shared" ref="C35:L35" si="0">SUM(C32:C34)</f>
        <v>36168361.035000004</v>
      </c>
      <c r="D35" s="158">
        <f t="shared" si="0"/>
        <v>38077783.149999999</v>
      </c>
      <c r="E35" s="158">
        <f t="shared" si="0"/>
        <v>0</v>
      </c>
      <c r="F35" s="158">
        <f t="shared" si="0"/>
        <v>0</v>
      </c>
      <c r="G35" s="158">
        <f t="shared" si="0"/>
        <v>0</v>
      </c>
      <c r="H35" s="158">
        <f t="shared" si="0"/>
        <v>0</v>
      </c>
      <c r="I35" s="158">
        <f t="shared" si="0"/>
        <v>0</v>
      </c>
      <c r="J35" s="158">
        <f t="shared" si="0"/>
        <v>0</v>
      </c>
      <c r="K35" s="158">
        <f t="shared" si="0"/>
        <v>0</v>
      </c>
      <c r="L35" s="158">
        <f t="shared" si="0"/>
        <v>0</v>
      </c>
      <c r="M35" s="158">
        <f t="shared" ref="M35" si="1">SUM(M32:M34)</f>
        <v>0</v>
      </c>
    </row>
    <row r="36" spans="1:14">
      <c r="B36" s="178" t="s">
        <v>91</v>
      </c>
      <c r="C36" s="179"/>
      <c r="D36" s="179">
        <f t="shared" ref="D36:L36" si="2">D35/C35-1</f>
        <v>5.2792608245429085E-2</v>
      </c>
      <c r="E36" s="179">
        <f t="shared" si="2"/>
        <v>-1</v>
      </c>
      <c r="F36" s="179" t="e">
        <f t="shared" si="2"/>
        <v>#DIV/0!</v>
      </c>
      <c r="G36" s="179" t="e">
        <f t="shared" si="2"/>
        <v>#DIV/0!</v>
      </c>
      <c r="H36" s="179" t="e">
        <f t="shared" si="2"/>
        <v>#DIV/0!</v>
      </c>
      <c r="I36" s="179" t="e">
        <f t="shared" si="2"/>
        <v>#DIV/0!</v>
      </c>
      <c r="J36" s="179" t="e">
        <f t="shared" si="2"/>
        <v>#DIV/0!</v>
      </c>
      <c r="K36" s="179" t="e">
        <f t="shared" si="2"/>
        <v>#DIV/0!</v>
      </c>
      <c r="L36" s="179" t="e">
        <f t="shared" si="2"/>
        <v>#DIV/0!</v>
      </c>
      <c r="M36" s="179" t="e">
        <f t="shared" ref="M36" si="3">M35/L35-1</f>
        <v>#DIV/0!</v>
      </c>
      <c r="N36" s="69"/>
    </row>
    <row r="37" spans="1:14">
      <c r="B37" s="69"/>
      <c r="C37" s="69"/>
      <c r="D37" s="69"/>
      <c r="E37" s="69"/>
      <c r="F37" s="69"/>
      <c r="G37" s="69"/>
      <c r="H37" s="69"/>
      <c r="I37" s="69"/>
      <c r="J37" s="69"/>
      <c r="K37" s="69"/>
      <c r="L37" s="69"/>
      <c r="M37" s="69"/>
      <c r="N37" s="69"/>
    </row>
    <row r="38" spans="1:14" ht="14.5">
      <c r="B38" s="16"/>
      <c r="N38" s="69"/>
    </row>
    <row r="39" spans="1:14" ht="21">
      <c r="A39" s="50"/>
      <c r="B39" s="17" t="s">
        <v>106</v>
      </c>
    </row>
    <row r="40" spans="1:14">
      <c r="C40" s="203">
        <v>2016</v>
      </c>
      <c r="D40" s="144">
        <v>2017</v>
      </c>
      <c r="E40" s="144">
        <v>2018</v>
      </c>
      <c r="F40" s="144">
        <v>2019</v>
      </c>
      <c r="G40" s="144">
        <v>2020</v>
      </c>
      <c r="H40" s="144">
        <v>2021</v>
      </c>
      <c r="I40" s="144">
        <v>2022</v>
      </c>
      <c r="J40" s="144">
        <v>2023</v>
      </c>
      <c r="K40" s="144">
        <v>2024</v>
      </c>
      <c r="L40" s="144">
        <v>2025</v>
      </c>
      <c r="M40" s="144">
        <v>2026</v>
      </c>
      <c r="N40" s="331" t="str">
        <f>N31</f>
        <v>6-yr total</v>
      </c>
    </row>
    <row r="41" spans="1:14">
      <c r="B41" s="200" t="str">
        <f>B32</f>
        <v>Telecom</v>
      </c>
      <c r="C41" s="147">
        <f>Telecom!E202</f>
        <v>979.3450860199066</v>
      </c>
      <c r="D41" s="148">
        <f>Telecom!F202</f>
        <v>698.26493765037605</v>
      </c>
      <c r="E41" s="148">
        <f>Telecom!G202</f>
        <v>0</v>
      </c>
      <c r="F41" s="148">
        <f>Telecom!H202</f>
        <v>0</v>
      </c>
      <c r="G41" s="148">
        <f>Telecom!I202</f>
        <v>0</v>
      </c>
      <c r="H41" s="148">
        <f>Telecom!J202</f>
        <v>0</v>
      </c>
      <c r="I41" s="148">
        <f>Telecom!K202</f>
        <v>0</v>
      </c>
      <c r="J41" s="148">
        <f>Telecom!L202</f>
        <v>0</v>
      </c>
      <c r="K41" s="148">
        <f>Telecom!M202</f>
        <v>0</v>
      </c>
      <c r="L41" s="148">
        <f>Telecom!N202</f>
        <v>0</v>
      </c>
      <c r="M41" s="148">
        <f>Telecom!O202</f>
        <v>0</v>
      </c>
      <c r="N41" s="137">
        <f>SUM(H41:M41)</f>
        <v>0</v>
      </c>
    </row>
    <row r="42" spans="1:14">
      <c r="B42" s="201" t="str">
        <f>B33</f>
        <v>Cloud</v>
      </c>
      <c r="C42" s="149">
        <f>Cloud!E202</f>
        <v>1117.8845272480094</v>
      </c>
      <c r="D42" s="150">
        <f>Cloud!F202</f>
        <v>1907.9773712813274</v>
      </c>
      <c r="E42" s="150">
        <f>Cloud!G202</f>
        <v>0</v>
      </c>
      <c r="F42" s="150">
        <f>Cloud!H202</f>
        <v>0</v>
      </c>
      <c r="G42" s="150">
        <f>Cloud!I202</f>
        <v>0</v>
      </c>
      <c r="H42" s="150">
        <f>Cloud!J202</f>
        <v>0</v>
      </c>
      <c r="I42" s="150">
        <f>Cloud!K202</f>
        <v>0</v>
      </c>
      <c r="J42" s="150">
        <f>Cloud!L202</f>
        <v>0</v>
      </c>
      <c r="K42" s="150">
        <f>Cloud!M202</f>
        <v>0</v>
      </c>
      <c r="L42" s="150">
        <f>Cloud!N202</f>
        <v>0</v>
      </c>
      <c r="M42" s="150">
        <f>Cloud!O202</f>
        <v>0</v>
      </c>
      <c r="N42" s="137">
        <f>SUM(H42:M42)</f>
        <v>0</v>
      </c>
    </row>
    <row r="43" spans="1:14">
      <c r="B43" s="201" t="str">
        <f>B34</f>
        <v>Enterprise</v>
      </c>
      <c r="C43" s="149">
        <f>Enterprise!E202</f>
        <v>580.33948534727051</v>
      </c>
      <c r="D43" s="150">
        <f>Enterprise!F202</f>
        <v>569.77721715707139</v>
      </c>
      <c r="E43" s="150">
        <f>Enterprise!G202</f>
        <v>0</v>
      </c>
      <c r="F43" s="150">
        <f>Enterprise!H202</f>
        <v>0</v>
      </c>
      <c r="G43" s="150">
        <f>Enterprise!I202</f>
        <v>0</v>
      </c>
      <c r="H43" s="150">
        <f>Enterprise!J202</f>
        <v>0</v>
      </c>
      <c r="I43" s="150">
        <f>Enterprise!K202</f>
        <v>0</v>
      </c>
      <c r="J43" s="150">
        <f>Enterprise!L202</f>
        <v>0</v>
      </c>
      <c r="K43" s="150">
        <f>Enterprise!M202</f>
        <v>0</v>
      </c>
      <c r="L43" s="150">
        <f>Enterprise!N202</f>
        <v>0</v>
      </c>
      <c r="M43" s="150">
        <f>Enterprise!O202</f>
        <v>0</v>
      </c>
      <c r="N43" s="137">
        <f>SUM(H43:M43)</f>
        <v>0</v>
      </c>
    </row>
    <row r="44" spans="1:14">
      <c r="B44" s="145" t="str">
        <f>B35</f>
        <v>Total</v>
      </c>
      <c r="C44" s="159">
        <f t="shared" ref="C44:L44" si="4">SUM(C41:C43)</f>
        <v>2677.5690986151862</v>
      </c>
      <c r="D44" s="160">
        <f t="shared" si="4"/>
        <v>3176.0195260887749</v>
      </c>
      <c r="E44" s="160">
        <f t="shared" si="4"/>
        <v>0</v>
      </c>
      <c r="F44" s="160">
        <f t="shared" si="4"/>
        <v>0</v>
      </c>
      <c r="G44" s="160">
        <f t="shared" si="4"/>
        <v>0</v>
      </c>
      <c r="H44" s="160">
        <f t="shared" si="4"/>
        <v>0</v>
      </c>
      <c r="I44" s="160">
        <f t="shared" si="4"/>
        <v>0</v>
      </c>
      <c r="J44" s="160">
        <f t="shared" si="4"/>
        <v>0</v>
      </c>
      <c r="K44" s="160">
        <f t="shared" si="4"/>
        <v>0</v>
      </c>
      <c r="L44" s="160">
        <f t="shared" si="4"/>
        <v>0</v>
      </c>
      <c r="M44" s="160">
        <f t="shared" ref="M44" si="5">SUM(M41:M43)</f>
        <v>0</v>
      </c>
    </row>
    <row r="45" spans="1:14">
      <c r="B45" s="178" t="s">
        <v>91</v>
      </c>
      <c r="C45" s="179"/>
      <c r="D45" s="179">
        <f>D44/C44-1</f>
        <v>0.18615782043921203</v>
      </c>
      <c r="E45" s="179">
        <f>E44/D44-1</f>
        <v>-1</v>
      </c>
      <c r="F45" s="179" t="e">
        <f t="shared" ref="F45:L45" si="6">F44/E44-1</f>
        <v>#DIV/0!</v>
      </c>
      <c r="G45" s="179" t="e">
        <f t="shared" si="6"/>
        <v>#DIV/0!</v>
      </c>
      <c r="H45" s="179" t="e">
        <f t="shared" si="6"/>
        <v>#DIV/0!</v>
      </c>
      <c r="I45" s="179" t="e">
        <f t="shared" si="6"/>
        <v>#DIV/0!</v>
      </c>
      <c r="J45" s="179" t="e">
        <f t="shared" si="6"/>
        <v>#DIV/0!</v>
      </c>
      <c r="K45" s="179" t="e">
        <f t="shared" si="6"/>
        <v>#DIV/0!</v>
      </c>
      <c r="L45" s="179" t="e">
        <f t="shared" si="6"/>
        <v>#DIV/0!</v>
      </c>
      <c r="M45" s="179" t="e">
        <f t="shared" ref="M45" si="7">M44/L44-1</f>
        <v>#DIV/0!</v>
      </c>
      <c r="N45" s="156"/>
    </row>
    <row r="46" spans="1:14">
      <c r="B46" s="156"/>
      <c r="C46" s="156"/>
      <c r="D46" s="156"/>
      <c r="E46" s="156"/>
      <c r="F46" s="156"/>
      <c r="G46" s="156"/>
      <c r="H46" s="156"/>
      <c r="I46" s="156"/>
      <c r="J46" s="156"/>
      <c r="K46" s="156"/>
      <c r="L46" s="156"/>
      <c r="M46" s="156"/>
      <c r="N46" s="156"/>
    </row>
    <row r="47" spans="1:14">
      <c r="N47" s="156"/>
    </row>
    <row r="48" spans="1:14" outlineLevel="1"/>
    <row r="49" outlineLevel="1"/>
    <row r="50" outlineLevel="1"/>
    <row r="51" outlineLevel="1"/>
    <row r="52" outlineLevel="1"/>
    <row r="53" outlineLevel="1"/>
    <row r="54" outlineLevel="1"/>
    <row r="55" outlineLevel="1"/>
    <row r="56" outlineLevel="1"/>
    <row r="57" outlineLevel="1"/>
    <row r="58" outlineLevel="1"/>
    <row r="59" outlineLevel="1"/>
    <row r="60" outlineLevel="1"/>
    <row r="61" outlineLevel="1"/>
    <row r="62" outlineLevel="1"/>
    <row r="63" outlineLevel="1"/>
    <row r="64" outlineLevel="1"/>
    <row r="65" outlineLevel="1"/>
    <row r="66" outlineLevel="1"/>
    <row r="67" outlineLevel="1"/>
    <row r="68" outlineLevel="1"/>
    <row r="69" outlineLevel="1"/>
    <row r="70" outlineLevel="1"/>
    <row r="71" outlineLevel="1"/>
    <row r="72" outlineLevel="1"/>
    <row r="73" outlineLevel="1"/>
    <row r="74" outlineLevel="1"/>
    <row r="75" outlineLevel="1"/>
    <row r="76" outlineLevel="1"/>
    <row r="77" outlineLevel="1"/>
    <row r="78" outlineLevel="1"/>
    <row r="79" outlineLevel="1"/>
    <row r="80" outlineLevel="1"/>
    <row r="81" spans="1:7" outlineLevel="1"/>
    <row r="82" spans="1:7" outlineLevel="1"/>
    <row r="83" spans="1:7" outlineLevel="1"/>
    <row r="84" spans="1:7" outlineLevel="1"/>
    <row r="85" spans="1:7" outlineLevel="1"/>
    <row r="86" spans="1:7" outlineLevel="1"/>
    <row r="87" spans="1:7" outlineLevel="1"/>
    <row r="88" spans="1:7" outlineLevel="1"/>
    <row r="89" spans="1:7" outlineLevel="1"/>
    <row r="90" spans="1:7" outlineLevel="1"/>
    <row r="91" spans="1:7" outlineLevel="1"/>
    <row r="93" spans="1:7" ht="21">
      <c r="B93" s="451" t="s">
        <v>62</v>
      </c>
    </row>
    <row r="95" spans="1:7">
      <c r="A95" s="50"/>
      <c r="B95" s="50"/>
      <c r="C95" s="50"/>
      <c r="D95" s="50"/>
      <c r="E95" s="50"/>
      <c r="F95" s="50"/>
      <c r="G95" s="50"/>
    </row>
    <row r="96" spans="1:7">
      <c r="A96" s="50"/>
      <c r="B96" s="50"/>
      <c r="C96" s="50"/>
      <c r="D96" s="50"/>
      <c r="E96" s="50"/>
      <c r="F96" s="50"/>
      <c r="G96" s="50"/>
    </row>
    <row r="97" spans="1:7">
      <c r="A97" s="50"/>
      <c r="B97" s="50"/>
      <c r="C97" s="50"/>
      <c r="D97" s="50"/>
      <c r="E97" s="50"/>
      <c r="F97" s="50"/>
      <c r="G97" s="50"/>
    </row>
    <row r="98" spans="1:7">
      <c r="A98" s="50"/>
      <c r="B98" s="50"/>
      <c r="C98" s="50"/>
      <c r="D98" s="50"/>
      <c r="E98" s="50"/>
      <c r="F98" s="50"/>
      <c r="G98" s="50"/>
    </row>
    <row r="99" spans="1:7">
      <c r="A99" s="50"/>
      <c r="B99" s="50"/>
      <c r="C99" s="50"/>
      <c r="D99" s="50"/>
      <c r="E99" s="50"/>
      <c r="F99" s="50"/>
      <c r="G99" s="50"/>
    </row>
    <row r="100" spans="1:7">
      <c r="A100" s="50"/>
      <c r="B100" s="50"/>
      <c r="C100" s="50"/>
      <c r="D100" s="50"/>
      <c r="E100" s="50"/>
      <c r="F100" s="50"/>
      <c r="G100" s="50"/>
    </row>
    <row r="101" spans="1:7">
      <c r="A101" s="50"/>
      <c r="B101" s="50"/>
      <c r="C101" s="50"/>
      <c r="D101" s="50"/>
      <c r="E101" s="50"/>
      <c r="F101" s="50"/>
      <c r="G101" s="50"/>
    </row>
    <row r="102" spans="1:7">
      <c r="A102" s="50"/>
      <c r="B102" s="50"/>
      <c r="C102" s="50"/>
      <c r="D102" s="50"/>
      <c r="E102" s="50"/>
      <c r="F102" s="50"/>
      <c r="G102" s="50"/>
    </row>
    <row r="103" spans="1:7">
      <c r="A103" s="50"/>
      <c r="B103" s="50"/>
      <c r="C103" s="50"/>
      <c r="D103" s="50"/>
      <c r="E103" s="50"/>
      <c r="F103" s="50"/>
      <c r="G103" s="50"/>
    </row>
    <row r="104" spans="1:7">
      <c r="A104" s="50"/>
      <c r="B104" s="50"/>
      <c r="C104" s="50"/>
      <c r="D104" s="50"/>
      <c r="E104" s="50"/>
      <c r="F104" s="50"/>
      <c r="G104" s="50"/>
    </row>
    <row r="105" spans="1:7">
      <c r="A105" s="50"/>
      <c r="B105" s="50"/>
      <c r="C105" s="50"/>
      <c r="D105" s="50"/>
      <c r="E105" s="50"/>
      <c r="F105" s="50"/>
      <c r="G105" s="50"/>
    </row>
    <row r="106" spans="1:7">
      <c r="A106" s="50"/>
      <c r="B106" s="50"/>
      <c r="C106" s="50"/>
      <c r="D106" s="50"/>
      <c r="E106" s="50"/>
      <c r="F106" s="50"/>
      <c r="G106" s="50"/>
    </row>
    <row r="107" spans="1:7">
      <c r="A107" s="50"/>
      <c r="B107" s="50"/>
      <c r="C107" s="50"/>
      <c r="D107" s="50"/>
      <c r="E107" s="50"/>
      <c r="F107" s="50"/>
      <c r="G107" s="50"/>
    </row>
    <row r="108" spans="1:7">
      <c r="A108" s="50"/>
      <c r="B108" s="50"/>
      <c r="C108" s="50"/>
      <c r="D108" s="50"/>
      <c r="E108" s="50"/>
      <c r="F108" s="50"/>
      <c r="G108" s="50"/>
    </row>
    <row r="109" spans="1:7">
      <c r="A109" s="50"/>
      <c r="B109" s="50"/>
      <c r="C109" s="50"/>
      <c r="D109" s="50"/>
      <c r="E109" s="50"/>
      <c r="F109" s="50"/>
      <c r="G109" s="50"/>
    </row>
    <row r="110" spans="1:7">
      <c r="A110" s="50"/>
      <c r="B110" s="50"/>
      <c r="C110" s="50"/>
      <c r="D110" s="50"/>
      <c r="E110" s="50"/>
      <c r="F110" s="50"/>
      <c r="G110" s="50"/>
    </row>
    <row r="111" spans="1:7">
      <c r="A111" s="50"/>
      <c r="B111" s="50"/>
      <c r="C111" s="50"/>
      <c r="D111" s="50"/>
      <c r="E111" s="50"/>
      <c r="F111" s="50"/>
      <c r="G111" s="50"/>
    </row>
    <row r="112" spans="1:7">
      <c r="A112" s="50"/>
      <c r="B112" s="50"/>
      <c r="C112" s="50"/>
      <c r="D112" s="50"/>
      <c r="E112" s="50"/>
      <c r="F112" s="50"/>
      <c r="G112" s="50"/>
    </row>
    <row r="113" spans="1:13">
      <c r="A113" s="50"/>
      <c r="B113" s="50"/>
      <c r="C113" s="50"/>
      <c r="D113" s="50"/>
      <c r="E113" s="50"/>
      <c r="F113" s="50"/>
      <c r="G113" s="50"/>
    </row>
    <row r="114" spans="1:13">
      <c r="A114" s="50"/>
      <c r="B114" s="50"/>
      <c r="C114" s="50"/>
      <c r="D114" s="50"/>
      <c r="E114" s="50"/>
      <c r="F114" s="50"/>
      <c r="G114" s="50"/>
    </row>
    <row r="115" spans="1:13">
      <c r="A115" s="50"/>
      <c r="C115" s="50"/>
      <c r="D115" s="50"/>
      <c r="E115" s="50"/>
      <c r="F115" s="50"/>
      <c r="G115" s="50"/>
    </row>
    <row r="116" spans="1:13" ht="21">
      <c r="A116" s="50"/>
      <c r="B116" s="17" t="s">
        <v>105</v>
      </c>
      <c r="C116" s="50"/>
      <c r="D116" s="50"/>
      <c r="E116" s="50"/>
      <c r="F116" s="50"/>
      <c r="G116" s="50"/>
    </row>
    <row r="117" spans="1:13">
      <c r="C117" s="143">
        <v>2016</v>
      </c>
      <c r="D117" s="144">
        <v>2017</v>
      </c>
      <c r="E117" s="144">
        <v>2018</v>
      </c>
      <c r="F117" s="144">
        <v>2019</v>
      </c>
      <c r="G117" s="144">
        <v>2020</v>
      </c>
      <c r="H117" s="144">
        <v>2021</v>
      </c>
      <c r="I117" s="144">
        <v>2022</v>
      </c>
      <c r="J117" s="144">
        <v>2023</v>
      </c>
      <c r="K117" s="144">
        <v>2024</v>
      </c>
      <c r="L117" s="144">
        <v>2025</v>
      </c>
      <c r="M117" s="144">
        <v>2026</v>
      </c>
    </row>
    <row r="118" spans="1:13">
      <c r="B118" s="210" t="s">
        <v>97</v>
      </c>
      <c r="C118" s="141">
        <f>SUM(Telecom!E39:E57)</f>
        <v>246906.6</v>
      </c>
      <c r="D118" s="142">
        <f>SUM(Telecom!F39:F57)</f>
        <v>273710.59999999998</v>
      </c>
      <c r="E118" s="142">
        <f>SUM(Telecom!G39:G57)</f>
        <v>0</v>
      </c>
      <c r="F118" s="142">
        <f>SUM(Telecom!H39:H57)</f>
        <v>0</v>
      </c>
      <c r="G118" s="142">
        <f>SUM(Telecom!I39:I57)</f>
        <v>0</v>
      </c>
      <c r="H118" s="142">
        <f>SUM(Telecom!J39:J57)</f>
        <v>0</v>
      </c>
      <c r="I118" s="142">
        <f>SUM(Telecom!K39:K57)</f>
        <v>0</v>
      </c>
      <c r="J118" s="142">
        <f>SUM(Telecom!L39:L57)</f>
        <v>0</v>
      </c>
      <c r="K118" s="142">
        <f>SUM(Telecom!M39:M57)</f>
        <v>0</v>
      </c>
      <c r="L118" s="142">
        <f>SUM(Telecom!N39:N57)</f>
        <v>0</v>
      </c>
      <c r="M118" s="142">
        <f>SUM(Telecom!O39:O57)</f>
        <v>0</v>
      </c>
    </row>
    <row r="119" spans="1:13">
      <c r="B119" s="290" t="s">
        <v>147</v>
      </c>
      <c r="C119" s="139">
        <f>SUM(Cloud!E39:E57)</f>
        <v>672463.4</v>
      </c>
      <c r="D119" s="140">
        <f>SUM(Cloud!F39:F57)</f>
        <v>2603279.4</v>
      </c>
      <c r="E119" s="140">
        <f>SUM(Cloud!G39:G57)</f>
        <v>0</v>
      </c>
      <c r="F119" s="140">
        <f>SUM(Cloud!H39:H57)</f>
        <v>0</v>
      </c>
      <c r="G119" s="140">
        <f>SUM(Cloud!I39:I57)</f>
        <v>0</v>
      </c>
      <c r="H119" s="140">
        <f>SUM(Cloud!J39:J57)</f>
        <v>0</v>
      </c>
      <c r="I119" s="140">
        <f>SUM(Cloud!K39:K57)</f>
        <v>0</v>
      </c>
      <c r="J119" s="140">
        <f>SUM(Cloud!L39:L57)</f>
        <v>0</v>
      </c>
      <c r="K119" s="140">
        <f>SUM(Cloud!M39:M57)</f>
        <v>0</v>
      </c>
      <c r="L119" s="140">
        <f>SUM(Cloud!N39:N57)</f>
        <v>0</v>
      </c>
      <c r="M119" s="140">
        <f>SUM(Cloud!O39:O57)</f>
        <v>0</v>
      </c>
    </row>
    <row r="120" spans="1:13" ht="13.5" customHeight="1">
      <c r="B120" s="381" t="s">
        <v>115</v>
      </c>
      <c r="C120" s="215">
        <f>SUM(Enterprise!E39:E57)</f>
        <v>0</v>
      </c>
      <c r="D120" s="216">
        <f>SUM(Enterprise!F39:F57)</f>
        <v>4499.9999999999991</v>
      </c>
      <c r="E120" s="216">
        <f>SUM(Enterprise!G39:G57)</f>
        <v>0</v>
      </c>
      <c r="F120" s="216">
        <f>SUM(Enterprise!H39:H57)</f>
        <v>0</v>
      </c>
      <c r="G120" s="216">
        <f>SUM(Enterprise!I39:I57)</f>
        <v>0</v>
      </c>
      <c r="H120" s="216">
        <f>SUM(Enterprise!J39:J57)</f>
        <v>0</v>
      </c>
      <c r="I120" s="216">
        <f>SUM(Enterprise!K39:K57)</f>
        <v>0</v>
      </c>
      <c r="J120" s="216">
        <f>SUM(Enterprise!L39:L57)</f>
        <v>0</v>
      </c>
      <c r="K120" s="216">
        <f>SUM(Enterprise!M39:M57)</f>
        <v>0</v>
      </c>
      <c r="L120" s="216">
        <f>SUM(Enterprise!N39:N57)</f>
        <v>0</v>
      </c>
      <c r="M120" s="216">
        <f>SUM(Enterprise!O39:O57)</f>
        <v>0</v>
      </c>
    </row>
    <row r="121" spans="1:13">
      <c r="B121" s="145" t="s">
        <v>13</v>
      </c>
      <c r="C121" s="157">
        <f t="shared" ref="C121:I121" si="8">SUM(C118:C120)</f>
        <v>919370</v>
      </c>
      <c r="D121" s="158">
        <f t="shared" si="8"/>
        <v>2881490</v>
      </c>
      <c r="E121" s="158">
        <f t="shared" si="8"/>
        <v>0</v>
      </c>
      <c r="F121" s="158">
        <f t="shared" si="8"/>
        <v>0</v>
      </c>
      <c r="G121" s="158">
        <f t="shared" si="8"/>
        <v>0</v>
      </c>
      <c r="H121" s="158">
        <f t="shared" si="8"/>
        <v>0</v>
      </c>
      <c r="I121" s="158">
        <f t="shared" si="8"/>
        <v>0</v>
      </c>
      <c r="J121" s="158">
        <f>SUM(J118:J120)</f>
        <v>0</v>
      </c>
      <c r="K121" s="158">
        <f>SUM(K118:K120)</f>
        <v>0</v>
      </c>
      <c r="L121" s="158">
        <f>SUM(L118:L120)</f>
        <v>0</v>
      </c>
      <c r="M121" s="158">
        <f t="shared" ref="M121" si="9">SUM(M118:M120)</f>
        <v>0</v>
      </c>
    </row>
    <row r="122" spans="1:13">
      <c r="B122" s="178" t="s">
        <v>91</v>
      </c>
      <c r="C122" s="179"/>
      <c r="D122" s="179">
        <f t="shared" ref="D122:L122" si="10">D121/C121-1</f>
        <v>2.1342005938849429</v>
      </c>
      <c r="E122" s="179">
        <f t="shared" si="10"/>
        <v>-1</v>
      </c>
      <c r="F122" s="179" t="e">
        <f t="shared" si="10"/>
        <v>#DIV/0!</v>
      </c>
      <c r="G122" s="179" t="e">
        <f t="shared" si="10"/>
        <v>#DIV/0!</v>
      </c>
      <c r="H122" s="179" t="e">
        <f t="shared" si="10"/>
        <v>#DIV/0!</v>
      </c>
      <c r="I122" s="179" t="e">
        <f t="shared" si="10"/>
        <v>#DIV/0!</v>
      </c>
      <c r="J122" s="179" t="e">
        <f t="shared" si="10"/>
        <v>#DIV/0!</v>
      </c>
      <c r="K122" s="179" t="e">
        <f t="shared" si="10"/>
        <v>#DIV/0!</v>
      </c>
      <c r="L122" s="179" t="e">
        <f t="shared" si="10"/>
        <v>#DIV/0!</v>
      </c>
      <c r="M122" s="179" t="e">
        <f t="shared" ref="M122" si="11">M121/L121-1</f>
        <v>#DIV/0!</v>
      </c>
    </row>
    <row r="123" spans="1:13" ht="14.5">
      <c r="B123" s="16"/>
      <c r="C123" s="16"/>
      <c r="D123" s="16"/>
      <c r="E123" s="16"/>
      <c r="F123" s="16"/>
      <c r="G123" s="16"/>
      <c r="H123" s="16"/>
      <c r="I123" s="16"/>
      <c r="J123" s="16"/>
      <c r="K123" s="16"/>
      <c r="L123" s="16"/>
      <c r="M123" s="16"/>
    </row>
    <row r="125" spans="1:13" ht="21">
      <c r="A125" s="50"/>
      <c r="B125" s="17" t="s">
        <v>106</v>
      </c>
    </row>
    <row r="126" spans="1:13">
      <c r="C126" s="143">
        <v>2016</v>
      </c>
      <c r="D126" s="144">
        <v>2017</v>
      </c>
      <c r="E126" s="144">
        <v>2018</v>
      </c>
      <c r="F126" s="144">
        <v>2019</v>
      </c>
      <c r="G126" s="144">
        <v>2020</v>
      </c>
      <c r="H126" s="144">
        <v>2021</v>
      </c>
      <c r="I126" s="144">
        <v>2022</v>
      </c>
      <c r="J126" s="144">
        <v>2023</v>
      </c>
      <c r="K126" s="144">
        <v>2024</v>
      </c>
      <c r="L126" s="144">
        <v>2025</v>
      </c>
      <c r="M126" s="144">
        <v>2026</v>
      </c>
    </row>
    <row r="127" spans="1:13">
      <c r="B127" s="210" t="str">
        <f>B118</f>
        <v>Telecom</v>
      </c>
      <c r="C127" s="141">
        <f>SUM(Telecom!E171:E189)</f>
        <v>782.17839145655785</v>
      </c>
      <c r="D127" s="142">
        <f>SUM(Telecom!F171:F189)</f>
        <v>557.7278515934338</v>
      </c>
      <c r="E127" s="142">
        <f>SUM(Telecom!G171:G189)</f>
        <v>0</v>
      </c>
      <c r="F127" s="142">
        <f>SUM(Telecom!H171:H189)</f>
        <v>0</v>
      </c>
      <c r="G127" s="142">
        <f>SUM(Telecom!I171:I189)</f>
        <v>0</v>
      </c>
      <c r="H127" s="142">
        <f>SUM(Telecom!J171:J189)</f>
        <v>0</v>
      </c>
      <c r="I127" s="142">
        <f>SUM(Telecom!K171:K189)</f>
        <v>0</v>
      </c>
      <c r="J127" s="142">
        <f>SUM(Telecom!L171:L189)</f>
        <v>0</v>
      </c>
      <c r="K127" s="142">
        <f>SUM(Telecom!M171:M189)</f>
        <v>0</v>
      </c>
      <c r="L127" s="142">
        <f>SUM(Telecom!N171:N189)</f>
        <v>0</v>
      </c>
      <c r="M127" s="142">
        <f>SUM(Telecom!O171:O189)</f>
        <v>0</v>
      </c>
    </row>
    <row r="128" spans="1:13">
      <c r="B128" s="449" t="str">
        <f>B119</f>
        <v>Cloud</v>
      </c>
      <c r="C128" s="139">
        <f>SUM(Cloud!E171:E189)</f>
        <v>360.98057201309041</v>
      </c>
      <c r="D128" s="140">
        <f>SUM(Cloud!F171:F189)</f>
        <v>1093.99654038072</v>
      </c>
      <c r="E128" s="140">
        <f>SUM(Cloud!G171:G189)</f>
        <v>0</v>
      </c>
      <c r="F128" s="140">
        <f>SUM(Cloud!H171:H189)</f>
        <v>0</v>
      </c>
      <c r="G128" s="140">
        <f>SUM(Cloud!I171:I189)</f>
        <v>0</v>
      </c>
      <c r="H128" s="140">
        <f>SUM(Cloud!J171:J189)</f>
        <v>0</v>
      </c>
      <c r="I128" s="140">
        <f>SUM(Cloud!K171:K189)</f>
        <v>0</v>
      </c>
      <c r="J128" s="140">
        <f>SUM(Cloud!L171:L189)</f>
        <v>0</v>
      </c>
      <c r="K128" s="140">
        <f>SUM(Cloud!M171:M189)</f>
        <v>0</v>
      </c>
      <c r="L128" s="140">
        <f>SUM(Cloud!N171:N189)</f>
        <v>0</v>
      </c>
      <c r="M128" s="140">
        <f>SUM(Cloud!O171:O189)</f>
        <v>0</v>
      </c>
    </row>
    <row r="129" spans="1:13">
      <c r="B129" s="211" t="str">
        <f>B120</f>
        <v>Enterprise</v>
      </c>
      <c r="C129" s="215">
        <f>SUM(Enterprise!E171:E189)</f>
        <v>0</v>
      </c>
      <c r="D129" s="216">
        <f>SUM(Enterprise!F171:F189)</f>
        <v>2.2499999999999996</v>
      </c>
      <c r="E129" s="216">
        <f>SUM(Enterprise!G171:G189)</f>
        <v>0</v>
      </c>
      <c r="F129" s="216">
        <f>SUM(Enterprise!H171:H189)</f>
        <v>0</v>
      </c>
      <c r="G129" s="216">
        <f>SUM(Enterprise!I171:I189)</f>
        <v>0</v>
      </c>
      <c r="H129" s="216">
        <f>SUM(Enterprise!J171:J189)</f>
        <v>0</v>
      </c>
      <c r="I129" s="216">
        <f>SUM(Enterprise!K171:K189)</f>
        <v>0</v>
      </c>
      <c r="J129" s="216">
        <f>SUM(Enterprise!L171:L189)</f>
        <v>0</v>
      </c>
      <c r="K129" s="216">
        <f>SUM(Enterprise!M171:M189)</f>
        <v>0</v>
      </c>
      <c r="L129" s="216">
        <f>SUM(Enterprise!N171:N189)</f>
        <v>0</v>
      </c>
      <c r="M129" s="216">
        <f>SUM(Enterprise!O171:O189)</f>
        <v>0</v>
      </c>
    </row>
    <row r="130" spans="1:13">
      <c r="B130" s="145" t="str">
        <f>B121</f>
        <v>Total</v>
      </c>
      <c r="C130" s="159">
        <f t="shared" ref="C130:L130" si="12">SUM(C127:C129)</f>
        <v>1143.1589634696484</v>
      </c>
      <c r="D130" s="160">
        <f t="shared" si="12"/>
        <v>1653.9743919741538</v>
      </c>
      <c r="E130" s="160">
        <f t="shared" si="12"/>
        <v>0</v>
      </c>
      <c r="F130" s="160">
        <f t="shared" si="12"/>
        <v>0</v>
      </c>
      <c r="G130" s="160">
        <f t="shared" si="12"/>
        <v>0</v>
      </c>
      <c r="H130" s="160">
        <f t="shared" si="12"/>
        <v>0</v>
      </c>
      <c r="I130" s="160">
        <f t="shared" si="12"/>
        <v>0</v>
      </c>
      <c r="J130" s="160">
        <f t="shared" si="12"/>
        <v>0</v>
      </c>
      <c r="K130" s="160">
        <f t="shared" si="12"/>
        <v>0</v>
      </c>
      <c r="L130" s="160">
        <f t="shared" si="12"/>
        <v>0</v>
      </c>
      <c r="M130" s="160">
        <f t="shared" ref="M130" si="13">SUM(M127:M129)</f>
        <v>0</v>
      </c>
    </row>
    <row r="131" spans="1:13">
      <c r="B131" s="178" t="s">
        <v>91</v>
      </c>
      <c r="C131" s="179" t="e">
        <f>C130/#REF!-1</f>
        <v>#REF!</v>
      </c>
      <c r="D131" s="179">
        <f t="shared" ref="D131:L131" si="14">D130/C130-1</f>
        <v>0.4468454911590849</v>
      </c>
      <c r="E131" s="179">
        <f t="shared" si="14"/>
        <v>-1</v>
      </c>
      <c r="F131" s="179" t="e">
        <f t="shared" si="14"/>
        <v>#DIV/0!</v>
      </c>
      <c r="G131" s="179" t="e">
        <f t="shared" si="14"/>
        <v>#DIV/0!</v>
      </c>
      <c r="H131" s="179" t="e">
        <f t="shared" si="14"/>
        <v>#DIV/0!</v>
      </c>
      <c r="I131" s="179" t="e">
        <f t="shared" si="14"/>
        <v>#DIV/0!</v>
      </c>
      <c r="J131" s="179" t="e">
        <f t="shared" si="14"/>
        <v>#DIV/0!</v>
      </c>
      <c r="K131" s="179" t="e">
        <f t="shared" si="14"/>
        <v>#DIV/0!</v>
      </c>
      <c r="L131" s="179" t="e">
        <f t="shared" si="14"/>
        <v>#DIV/0!</v>
      </c>
      <c r="M131" s="179" t="e">
        <f t="shared" ref="M131" si="15">M130/L130-1</f>
        <v>#DIV/0!</v>
      </c>
    </row>
    <row r="135" spans="1:13" ht="21">
      <c r="B135" s="451" t="s">
        <v>139</v>
      </c>
    </row>
    <row r="137" spans="1:13">
      <c r="A137" s="50"/>
      <c r="B137" s="50"/>
      <c r="C137" s="50"/>
      <c r="D137" s="50"/>
      <c r="E137" s="50"/>
      <c r="F137" s="50"/>
      <c r="G137" s="50"/>
    </row>
    <row r="138" spans="1:13">
      <c r="A138" s="50"/>
      <c r="B138" s="50"/>
      <c r="C138" s="50"/>
      <c r="D138" s="50"/>
      <c r="E138" s="50"/>
      <c r="F138" s="50"/>
      <c r="G138" s="50"/>
    </row>
    <row r="139" spans="1:13">
      <c r="A139" s="50"/>
      <c r="B139" s="50"/>
      <c r="C139" s="50"/>
      <c r="D139" s="50"/>
      <c r="E139" s="50"/>
      <c r="F139" s="50"/>
      <c r="G139" s="50"/>
    </row>
    <row r="140" spans="1:13">
      <c r="A140" s="50"/>
      <c r="B140" s="50"/>
      <c r="C140" s="50"/>
      <c r="D140" s="50"/>
      <c r="E140" s="50"/>
      <c r="F140" s="50"/>
      <c r="G140" s="50"/>
    </row>
    <row r="141" spans="1:13">
      <c r="A141" s="50"/>
      <c r="B141" s="50"/>
      <c r="C141" s="50"/>
      <c r="D141" s="50"/>
      <c r="E141" s="50"/>
      <c r="F141" s="50"/>
      <c r="G141" s="50"/>
    </row>
    <row r="142" spans="1:13">
      <c r="A142" s="50"/>
      <c r="B142" s="50"/>
      <c r="C142" s="50"/>
      <c r="D142" s="50"/>
      <c r="E142" s="50"/>
      <c r="F142" s="50"/>
      <c r="G142" s="50"/>
    </row>
    <row r="143" spans="1:13">
      <c r="A143" s="50"/>
      <c r="B143" s="50"/>
      <c r="C143" s="50"/>
      <c r="D143" s="50"/>
      <c r="E143" s="50"/>
      <c r="F143" s="50"/>
      <c r="G143" s="50"/>
    </row>
    <row r="144" spans="1:13">
      <c r="A144" s="50"/>
      <c r="B144" s="50"/>
      <c r="C144" s="50"/>
      <c r="D144" s="50"/>
      <c r="E144" s="50"/>
      <c r="F144" s="50"/>
      <c r="G144" s="50"/>
    </row>
    <row r="145" spans="1:13">
      <c r="A145" s="50"/>
      <c r="B145" s="50"/>
      <c r="C145" s="50"/>
      <c r="D145" s="50"/>
      <c r="E145" s="50"/>
      <c r="F145" s="50"/>
      <c r="G145" s="50"/>
    </row>
    <row r="146" spans="1:13">
      <c r="A146" s="50"/>
      <c r="B146" s="50"/>
      <c r="C146" s="50"/>
      <c r="D146" s="50"/>
      <c r="E146" s="50"/>
      <c r="F146" s="50"/>
      <c r="G146" s="50"/>
    </row>
    <row r="147" spans="1:13">
      <c r="A147" s="50"/>
      <c r="B147" s="50"/>
      <c r="C147" s="50"/>
      <c r="D147" s="50"/>
      <c r="E147" s="50"/>
      <c r="F147" s="50"/>
      <c r="G147" s="50"/>
    </row>
    <row r="148" spans="1:13">
      <c r="A148" s="50"/>
      <c r="B148" s="50"/>
      <c r="C148" s="50"/>
      <c r="D148" s="50"/>
      <c r="E148" s="50"/>
      <c r="F148" s="50"/>
      <c r="G148" s="50"/>
    </row>
    <row r="149" spans="1:13">
      <c r="A149" s="50"/>
      <c r="B149" s="50"/>
      <c r="C149" s="50"/>
      <c r="D149" s="50"/>
      <c r="E149" s="50"/>
      <c r="F149" s="50"/>
      <c r="G149" s="50"/>
    </row>
    <row r="150" spans="1:13">
      <c r="A150" s="50"/>
      <c r="B150" s="50"/>
      <c r="C150" s="50"/>
      <c r="D150" s="50"/>
      <c r="E150" s="50"/>
      <c r="F150" s="50"/>
      <c r="G150" s="50"/>
    </row>
    <row r="151" spans="1:13">
      <c r="A151" s="50"/>
      <c r="B151" s="50"/>
      <c r="C151" s="50"/>
      <c r="D151" s="50"/>
      <c r="E151" s="50"/>
      <c r="F151" s="50"/>
      <c r="G151" s="50"/>
    </row>
    <row r="152" spans="1:13">
      <c r="A152" s="50"/>
      <c r="B152" s="50"/>
      <c r="C152" s="50"/>
      <c r="D152" s="50"/>
      <c r="E152" s="50"/>
      <c r="F152" s="50"/>
      <c r="G152" s="50"/>
    </row>
    <row r="153" spans="1:13">
      <c r="A153" s="50"/>
      <c r="B153" s="50"/>
      <c r="C153" s="50"/>
      <c r="D153" s="50"/>
      <c r="E153" s="50"/>
      <c r="F153" s="50"/>
      <c r="G153" s="50"/>
    </row>
    <row r="154" spans="1:13">
      <c r="A154" s="50"/>
      <c r="B154" s="50"/>
      <c r="C154" s="50"/>
      <c r="D154" s="50"/>
      <c r="E154" s="50"/>
      <c r="F154" s="50"/>
      <c r="G154" s="50"/>
    </row>
    <row r="155" spans="1:13">
      <c r="A155" s="50"/>
      <c r="B155" s="50"/>
      <c r="C155" s="50"/>
      <c r="D155" s="50"/>
      <c r="E155" s="50"/>
      <c r="F155" s="50"/>
      <c r="G155" s="50"/>
    </row>
    <row r="156" spans="1:13">
      <c r="A156" s="50"/>
      <c r="B156" s="50"/>
      <c r="C156" s="50"/>
      <c r="D156" s="50"/>
      <c r="E156" s="50"/>
      <c r="F156" s="50"/>
      <c r="G156" s="50"/>
    </row>
    <row r="157" spans="1:13">
      <c r="A157" s="50"/>
      <c r="C157" s="50"/>
      <c r="D157" s="50"/>
      <c r="E157" s="50"/>
      <c r="F157" s="50"/>
      <c r="G157" s="50"/>
    </row>
    <row r="158" spans="1:13" ht="21">
      <c r="A158" s="50"/>
      <c r="B158" s="17" t="s">
        <v>105</v>
      </c>
      <c r="C158" s="50"/>
      <c r="D158" s="50"/>
      <c r="E158" s="50"/>
      <c r="F158" s="50"/>
      <c r="G158" s="50"/>
    </row>
    <row r="159" spans="1:13">
      <c r="C159" s="203">
        <v>2016</v>
      </c>
      <c r="D159" s="204">
        <v>2017</v>
      </c>
      <c r="E159" s="204">
        <v>2018</v>
      </c>
      <c r="F159" s="204">
        <v>2019</v>
      </c>
      <c r="G159" s="204">
        <v>2020</v>
      </c>
      <c r="H159" s="204">
        <v>2021</v>
      </c>
      <c r="I159" s="204">
        <v>2022</v>
      </c>
      <c r="J159" s="204">
        <v>2023</v>
      </c>
      <c r="K159" s="204">
        <v>2024</v>
      </c>
      <c r="L159" s="204">
        <v>2025</v>
      </c>
      <c r="M159" s="204">
        <v>2026</v>
      </c>
    </row>
    <row r="160" spans="1:13">
      <c r="B160" s="210" t="s">
        <v>97</v>
      </c>
      <c r="C160" s="141">
        <f>SUM(Telecom!E58:E61)</f>
        <v>0</v>
      </c>
      <c r="D160" s="142">
        <f>SUM(Telecom!F58:F61)</f>
        <v>0</v>
      </c>
      <c r="E160" s="136">
        <f>SUM(Telecom!G58:G61)</f>
        <v>0</v>
      </c>
      <c r="F160" s="136">
        <f>SUM(Telecom!H58:H61)</f>
        <v>0</v>
      </c>
      <c r="G160" s="136">
        <f>SUM(Telecom!I58:I61)</f>
        <v>0</v>
      </c>
      <c r="H160" s="136">
        <f>SUM(Telecom!J58:J61)</f>
        <v>0</v>
      </c>
      <c r="I160" s="136">
        <f>SUM(Telecom!K58:K61)</f>
        <v>0</v>
      </c>
      <c r="J160" s="136">
        <f>SUM(Telecom!L58:L61)</f>
        <v>0</v>
      </c>
      <c r="K160" s="136">
        <f>SUM(Telecom!M58:M61)</f>
        <v>0</v>
      </c>
      <c r="L160" s="136">
        <f>SUM(Telecom!N58:N61)</f>
        <v>0</v>
      </c>
      <c r="M160" s="136">
        <f>SUM(Telecom!O58:O61)</f>
        <v>0</v>
      </c>
    </row>
    <row r="161" spans="1:13">
      <c r="B161" s="290" t="s">
        <v>147</v>
      </c>
      <c r="C161" s="139">
        <f>SUM(Cloud!E58:E61)</f>
        <v>0</v>
      </c>
      <c r="D161" s="140">
        <f>SUM(Cloud!F58:F61)</f>
        <v>0</v>
      </c>
      <c r="E161" s="136">
        <f>SUM(Cloud!G58:G61)</f>
        <v>0</v>
      </c>
      <c r="F161" s="136">
        <f>SUM(Cloud!H58:H61)</f>
        <v>0</v>
      </c>
      <c r="G161" s="136">
        <f>SUM(Cloud!I58:I61)</f>
        <v>0</v>
      </c>
      <c r="H161" s="136">
        <f>SUM(Cloud!J58:J61)</f>
        <v>0</v>
      </c>
      <c r="I161" s="136">
        <f>SUM(Cloud!K58:K61)</f>
        <v>0</v>
      </c>
      <c r="J161" s="136">
        <f>SUM(Cloud!L58:L61)</f>
        <v>0</v>
      </c>
      <c r="K161" s="136">
        <f>SUM(Cloud!M58:M61)</f>
        <v>0</v>
      </c>
      <c r="L161" s="136">
        <f>SUM(Cloud!N58:N61)</f>
        <v>0</v>
      </c>
      <c r="M161" s="136">
        <f>SUM(Cloud!O58:O61)</f>
        <v>0</v>
      </c>
    </row>
    <row r="162" spans="1:13" ht="13.5" customHeight="1">
      <c r="B162" s="381" t="s">
        <v>115</v>
      </c>
      <c r="C162" s="215">
        <f>SUM(Enterprise!E58:E61)</f>
        <v>0</v>
      </c>
      <c r="D162" s="216">
        <f>SUM(Enterprise!F58:F61)</f>
        <v>0</v>
      </c>
      <c r="E162" s="136">
        <f>SUM(Enterprise!G58:G61)</f>
        <v>0</v>
      </c>
      <c r="F162" s="136">
        <f>SUM(Enterprise!H58:H61)</f>
        <v>0</v>
      </c>
      <c r="G162" s="136">
        <f>SUM(Enterprise!I58:I61)</f>
        <v>0</v>
      </c>
      <c r="H162" s="136">
        <f>SUM(Enterprise!J58:J61)</f>
        <v>0</v>
      </c>
      <c r="I162" s="136">
        <f>SUM(Enterprise!K58:K61)</f>
        <v>0</v>
      </c>
      <c r="J162" s="136">
        <f>SUM(Enterprise!L58:L61)</f>
        <v>0</v>
      </c>
      <c r="K162" s="136">
        <f>SUM(Enterprise!M58:M61)</f>
        <v>0</v>
      </c>
      <c r="L162" s="136">
        <f>SUM(Enterprise!N58:N61)</f>
        <v>0</v>
      </c>
      <c r="M162" s="136">
        <f>SUM(Enterprise!O58:O61)</f>
        <v>0</v>
      </c>
    </row>
    <row r="163" spans="1:13">
      <c r="B163" s="145" t="s">
        <v>13</v>
      </c>
      <c r="C163" s="157">
        <f t="shared" ref="C163:I163" si="16">SUM(C160:C162)</f>
        <v>0</v>
      </c>
      <c r="D163" s="158">
        <f t="shared" si="16"/>
        <v>0</v>
      </c>
      <c r="E163" s="158">
        <f t="shared" si="16"/>
        <v>0</v>
      </c>
      <c r="F163" s="158">
        <f t="shared" si="16"/>
        <v>0</v>
      </c>
      <c r="G163" s="158">
        <f t="shared" si="16"/>
        <v>0</v>
      </c>
      <c r="H163" s="158">
        <f t="shared" si="16"/>
        <v>0</v>
      </c>
      <c r="I163" s="158">
        <f t="shared" si="16"/>
        <v>0</v>
      </c>
      <c r="J163" s="158">
        <f>SUM(J160:J162)</f>
        <v>0</v>
      </c>
      <c r="K163" s="158">
        <f>SUM(K160:K162)</f>
        <v>0</v>
      </c>
      <c r="L163" s="158">
        <f>SUM(L160:L162)</f>
        <v>0</v>
      </c>
      <c r="M163" s="158">
        <f t="shared" ref="M163" si="17">SUM(M160:M162)</f>
        <v>0</v>
      </c>
    </row>
    <row r="164" spans="1:13">
      <c r="B164" s="178" t="s">
        <v>91</v>
      </c>
      <c r="C164" s="179"/>
      <c r="D164" s="179"/>
      <c r="E164" s="179"/>
      <c r="F164" s="179" t="e">
        <f t="shared" ref="F164:L164" si="18">F163/E163-1</f>
        <v>#DIV/0!</v>
      </c>
      <c r="G164" s="179" t="e">
        <f t="shared" si="18"/>
        <v>#DIV/0!</v>
      </c>
      <c r="H164" s="179" t="e">
        <f t="shared" si="18"/>
        <v>#DIV/0!</v>
      </c>
      <c r="I164" s="179" t="e">
        <f t="shared" si="18"/>
        <v>#DIV/0!</v>
      </c>
      <c r="J164" s="179" t="e">
        <f t="shared" si="18"/>
        <v>#DIV/0!</v>
      </c>
      <c r="K164" s="179" t="e">
        <f t="shared" si="18"/>
        <v>#DIV/0!</v>
      </c>
      <c r="L164" s="179" t="e">
        <f t="shared" si="18"/>
        <v>#DIV/0!</v>
      </c>
      <c r="M164" s="179" t="e">
        <f t="shared" ref="M164" si="19">M163/L163-1</f>
        <v>#DIV/0!</v>
      </c>
    </row>
    <row r="167" spans="1:13" ht="21">
      <c r="A167" s="50"/>
      <c r="B167" s="17" t="s">
        <v>106</v>
      </c>
    </row>
    <row r="168" spans="1:13">
      <c r="C168" s="143">
        <v>2016</v>
      </c>
      <c r="D168" s="144">
        <v>2017</v>
      </c>
      <c r="E168" s="144">
        <v>2018</v>
      </c>
      <c r="F168" s="144">
        <v>2019</v>
      </c>
      <c r="G168" s="144">
        <v>2020</v>
      </c>
      <c r="H168" s="144">
        <v>2021</v>
      </c>
      <c r="I168" s="144">
        <v>2022</v>
      </c>
      <c r="J168" s="144">
        <v>2023</v>
      </c>
      <c r="K168" s="144">
        <v>2024</v>
      </c>
      <c r="L168" s="144">
        <v>2025</v>
      </c>
      <c r="M168" s="144">
        <v>2026</v>
      </c>
    </row>
    <row r="169" spans="1:13">
      <c r="B169" s="210" t="str">
        <f>B160</f>
        <v>Telecom</v>
      </c>
      <c r="C169" s="147">
        <f>SUM(Telecom!E190:E193)</f>
        <v>0</v>
      </c>
      <c r="D169" s="148">
        <f>SUM(Telecom!F190:F193)</f>
        <v>0</v>
      </c>
      <c r="E169" s="148">
        <f>SUM(Telecom!G190:G193)</f>
        <v>0</v>
      </c>
      <c r="F169" s="148">
        <f>SUM(Telecom!H190:H193)</f>
        <v>0</v>
      </c>
      <c r="G169" s="148">
        <f>SUM(Telecom!I190:I193)</f>
        <v>0</v>
      </c>
      <c r="H169" s="148">
        <f>SUM(Telecom!J190:J193)</f>
        <v>0</v>
      </c>
      <c r="I169" s="148">
        <f>SUM(Telecom!K190:K193)</f>
        <v>0</v>
      </c>
      <c r="J169" s="148">
        <f>SUM(Telecom!L190:L193)</f>
        <v>0</v>
      </c>
      <c r="K169" s="148">
        <f>SUM(Telecom!M190:M193)</f>
        <v>0</v>
      </c>
      <c r="L169" s="148">
        <f>SUM(Telecom!N190:N193)</f>
        <v>0</v>
      </c>
      <c r="M169" s="148">
        <f>SUM(Telecom!O190:O193)</f>
        <v>0</v>
      </c>
    </row>
    <row r="170" spans="1:13">
      <c r="B170" s="449" t="str">
        <f>B161</f>
        <v>Cloud</v>
      </c>
      <c r="C170" s="149">
        <f>SUM(Cloud!E190:E193)</f>
        <v>0</v>
      </c>
      <c r="D170" s="150">
        <f>SUM(Cloud!F190:F193)</f>
        <v>0</v>
      </c>
      <c r="E170" s="150">
        <f>SUM(Cloud!G190:G193)</f>
        <v>0</v>
      </c>
      <c r="F170" s="150">
        <f>SUM(Cloud!H190:H193)</f>
        <v>0</v>
      </c>
      <c r="G170" s="150">
        <f>SUM(Cloud!I190:I193)</f>
        <v>0</v>
      </c>
      <c r="H170" s="150">
        <f>SUM(Cloud!J190:J193)</f>
        <v>0</v>
      </c>
      <c r="I170" s="150">
        <f>SUM(Cloud!K190:K193)</f>
        <v>0</v>
      </c>
      <c r="J170" s="150">
        <f>SUM(Cloud!L190:L193)</f>
        <v>0</v>
      </c>
      <c r="K170" s="150">
        <f>SUM(Cloud!M190:M193)</f>
        <v>0</v>
      </c>
      <c r="L170" s="150">
        <f>SUM(Cloud!N190:N193)</f>
        <v>0</v>
      </c>
      <c r="M170" s="150">
        <f>SUM(Cloud!O190:O193)</f>
        <v>0</v>
      </c>
    </row>
    <row r="171" spans="1:13">
      <c r="B171" s="211" t="str">
        <f>B162</f>
        <v>Enterprise</v>
      </c>
      <c r="C171" s="571">
        <f>SUM(Enterprise!E190:E193)</f>
        <v>0</v>
      </c>
      <c r="D171" s="450">
        <f>SUM(Enterprise!F190:F193)</f>
        <v>0</v>
      </c>
      <c r="E171" s="450">
        <f>SUM(Enterprise!G190:G193)</f>
        <v>0</v>
      </c>
      <c r="F171" s="450">
        <f>SUM(Enterprise!H190:H193)</f>
        <v>0</v>
      </c>
      <c r="G171" s="450">
        <f>SUM(Enterprise!I190:I193)</f>
        <v>0</v>
      </c>
      <c r="H171" s="450">
        <f>SUM(Enterprise!J190:J193)</f>
        <v>0</v>
      </c>
      <c r="I171" s="450">
        <f>SUM(Enterprise!K190:K193)</f>
        <v>0</v>
      </c>
      <c r="J171" s="450">
        <f>SUM(Enterprise!L190:L193)</f>
        <v>0</v>
      </c>
      <c r="K171" s="450">
        <f>SUM(Enterprise!M190:M193)</f>
        <v>0</v>
      </c>
      <c r="L171" s="450">
        <f>SUM(Enterprise!N190:N193)</f>
        <v>0</v>
      </c>
      <c r="M171" s="450">
        <f>SUM(Enterprise!O190:O193)</f>
        <v>0</v>
      </c>
    </row>
    <row r="172" spans="1:13">
      <c r="B172" s="145" t="str">
        <f>B163</f>
        <v>Total</v>
      </c>
      <c r="C172" s="159">
        <f t="shared" ref="C172:I172" si="20">SUM(C169:C171)</f>
        <v>0</v>
      </c>
      <c r="D172" s="160">
        <f t="shared" si="20"/>
        <v>0</v>
      </c>
      <c r="E172" s="160">
        <f t="shared" si="20"/>
        <v>0</v>
      </c>
      <c r="F172" s="160">
        <f t="shared" si="20"/>
        <v>0</v>
      </c>
      <c r="G172" s="160">
        <f t="shared" si="20"/>
        <v>0</v>
      </c>
      <c r="H172" s="160">
        <f t="shared" si="20"/>
        <v>0</v>
      </c>
      <c r="I172" s="160">
        <f t="shared" si="20"/>
        <v>0</v>
      </c>
      <c r="J172" s="160">
        <f>SUM(J169:J171)</f>
        <v>0</v>
      </c>
      <c r="K172" s="160">
        <f>SUM(K169:K171)</f>
        <v>0</v>
      </c>
      <c r="L172" s="160">
        <f>SUM(L169:L171)</f>
        <v>0</v>
      </c>
      <c r="M172" s="160">
        <f t="shared" ref="M172" si="21">SUM(M169:M171)</f>
        <v>0</v>
      </c>
    </row>
    <row r="173" spans="1:13">
      <c r="B173" s="178" t="s">
        <v>91</v>
      </c>
      <c r="C173" s="179"/>
      <c r="D173" s="179"/>
      <c r="E173" s="179"/>
      <c r="F173" s="179" t="e">
        <f t="shared" ref="F173:L173" si="22">F172/E172-1</f>
        <v>#DIV/0!</v>
      </c>
      <c r="G173" s="179" t="e">
        <f t="shared" si="22"/>
        <v>#DIV/0!</v>
      </c>
      <c r="H173" s="179" t="e">
        <f t="shared" si="22"/>
        <v>#DIV/0!</v>
      </c>
      <c r="I173" s="179" t="e">
        <f t="shared" si="22"/>
        <v>#DIV/0!</v>
      </c>
      <c r="J173" s="179" t="e">
        <f t="shared" si="22"/>
        <v>#DIV/0!</v>
      </c>
      <c r="K173" s="179" t="e">
        <f t="shared" si="22"/>
        <v>#DIV/0!</v>
      </c>
      <c r="L173" s="179" t="e">
        <f t="shared" si="22"/>
        <v>#DIV/0!</v>
      </c>
      <c r="M173" s="179" t="e">
        <f t="shared" ref="M173" si="23">M172/L172-1</f>
        <v>#DIV/0!</v>
      </c>
    </row>
    <row r="177" spans="1:7" ht="21">
      <c r="B177" s="451" t="s">
        <v>128</v>
      </c>
    </row>
    <row r="179" spans="1:7">
      <c r="A179" s="50"/>
      <c r="B179" s="50"/>
      <c r="C179" s="50"/>
      <c r="D179" s="50"/>
      <c r="E179" s="50"/>
      <c r="F179" s="50"/>
      <c r="G179" s="50"/>
    </row>
    <row r="180" spans="1:7">
      <c r="A180" s="50"/>
      <c r="B180" s="50"/>
      <c r="C180" s="50"/>
      <c r="D180" s="50"/>
      <c r="E180" s="50"/>
      <c r="F180" s="50"/>
      <c r="G180" s="50"/>
    </row>
    <row r="181" spans="1:7">
      <c r="A181" s="50"/>
      <c r="B181" s="50"/>
      <c r="C181" s="50"/>
      <c r="D181" s="50"/>
      <c r="E181" s="50"/>
      <c r="F181" s="50"/>
      <c r="G181" s="50"/>
    </row>
    <row r="182" spans="1:7">
      <c r="A182" s="50"/>
      <c r="B182" s="50"/>
      <c r="C182" s="50"/>
      <c r="D182" s="50"/>
      <c r="E182" s="50"/>
      <c r="F182" s="50"/>
      <c r="G182" s="50"/>
    </row>
    <row r="183" spans="1:7">
      <c r="A183" s="50"/>
      <c r="B183" s="50"/>
      <c r="C183" s="50"/>
      <c r="D183" s="50"/>
      <c r="E183" s="50"/>
      <c r="F183" s="50"/>
      <c r="G183" s="50"/>
    </row>
    <row r="184" spans="1:7">
      <c r="A184" s="50"/>
      <c r="B184" s="50"/>
      <c r="C184" s="50"/>
      <c r="D184" s="50"/>
      <c r="E184" s="50"/>
      <c r="F184" s="50"/>
      <c r="G184" s="50"/>
    </row>
    <row r="185" spans="1:7">
      <c r="A185" s="50"/>
      <c r="B185" s="50"/>
      <c r="C185" s="50"/>
      <c r="D185" s="50"/>
      <c r="E185" s="50"/>
      <c r="F185" s="50"/>
      <c r="G185" s="50"/>
    </row>
    <row r="186" spans="1:7">
      <c r="A186" s="50"/>
      <c r="B186" s="50"/>
      <c r="C186" s="50"/>
      <c r="D186" s="50"/>
      <c r="E186" s="50"/>
      <c r="F186" s="50"/>
      <c r="G186" s="50"/>
    </row>
    <row r="187" spans="1:7">
      <c r="A187" s="50"/>
      <c r="B187" s="50"/>
      <c r="C187" s="50"/>
      <c r="D187" s="50"/>
      <c r="E187" s="50"/>
      <c r="F187" s="50"/>
      <c r="G187" s="50"/>
    </row>
    <row r="188" spans="1:7">
      <c r="A188" s="50"/>
      <c r="B188" s="50"/>
      <c r="C188" s="50"/>
      <c r="D188" s="50"/>
      <c r="E188" s="50"/>
      <c r="F188" s="50"/>
      <c r="G188" s="50"/>
    </row>
    <row r="189" spans="1:7">
      <c r="A189" s="50"/>
      <c r="B189" s="50"/>
      <c r="C189" s="50"/>
      <c r="D189" s="50"/>
      <c r="E189" s="50"/>
      <c r="F189" s="50"/>
      <c r="G189" s="50"/>
    </row>
    <row r="190" spans="1:7">
      <c r="A190" s="50"/>
      <c r="B190" s="50"/>
      <c r="C190" s="50"/>
      <c r="D190" s="50"/>
      <c r="E190" s="50"/>
      <c r="F190" s="50"/>
      <c r="G190" s="50"/>
    </row>
    <row r="191" spans="1:7">
      <c r="A191" s="50"/>
      <c r="B191" s="50"/>
      <c r="C191" s="50"/>
      <c r="D191" s="50"/>
      <c r="E191" s="50"/>
      <c r="F191" s="50"/>
      <c r="G191" s="50"/>
    </row>
    <row r="192" spans="1:7">
      <c r="A192" s="50"/>
      <c r="B192" s="50"/>
      <c r="C192" s="50"/>
      <c r="D192" s="50"/>
      <c r="E192" s="50"/>
      <c r="F192" s="50"/>
      <c r="G192" s="50"/>
    </row>
    <row r="193" spans="1:13">
      <c r="A193" s="50"/>
      <c r="B193" s="50"/>
      <c r="C193" s="50"/>
      <c r="D193" s="50"/>
      <c r="E193" s="50"/>
      <c r="F193" s="50"/>
      <c r="G193" s="50"/>
    </row>
    <row r="194" spans="1:13">
      <c r="A194" s="50"/>
      <c r="B194" s="50"/>
      <c r="C194" s="50"/>
      <c r="D194" s="50"/>
      <c r="E194" s="50"/>
      <c r="F194" s="50"/>
      <c r="G194" s="50"/>
    </row>
    <row r="195" spans="1:13">
      <c r="A195" s="50"/>
      <c r="B195" s="50"/>
      <c r="C195" s="50"/>
      <c r="D195" s="50"/>
      <c r="E195" s="50"/>
      <c r="F195" s="50"/>
      <c r="G195" s="50"/>
    </row>
    <row r="196" spans="1:13">
      <c r="A196" s="50"/>
      <c r="B196" s="50"/>
      <c r="C196" s="50"/>
      <c r="D196" s="50"/>
      <c r="E196" s="50"/>
      <c r="F196" s="50"/>
      <c r="G196" s="50"/>
    </row>
    <row r="197" spans="1:13">
      <c r="A197" s="50"/>
      <c r="B197" s="50"/>
      <c r="C197" s="50"/>
      <c r="D197" s="50"/>
      <c r="E197" s="50"/>
      <c r="F197" s="50"/>
      <c r="G197" s="50"/>
    </row>
    <row r="198" spans="1:13">
      <c r="A198" s="50"/>
      <c r="B198" s="50"/>
      <c r="C198" s="50"/>
      <c r="D198" s="50"/>
      <c r="E198" s="50"/>
      <c r="F198" s="50"/>
      <c r="G198" s="50"/>
    </row>
    <row r="199" spans="1:13">
      <c r="A199" s="50"/>
      <c r="C199" s="50"/>
      <c r="D199" s="50"/>
      <c r="E199" s="50"/>
      <c r="F199" s="50"/>
      <c r="G199" s="50"/>
    </row>
    <row r="200" spans="1:13" ht="21">
      <c r="A200" s="50"/>
      <c r="B200" s="17" t="s">
        <v>105</v>
      </c>
      <c r="C200" s="50"/>
      <c r="D200" s="50"/>
      <c r="E200" s="50"/>
      <c r="F200" s="50"/>
      <c r="G200" s="50"/>
    </row>
    <row r="201" spans="1:13">
      <c r="C201" s="143">
        <v>2016</v>
      </c>
      <c r="D201" s="144">
        <v>2017</v>
      </c>
      <c r="E201" s="144">
        <v>2018</v>
      </c>
      <c r="F201" s="144">
        <v>2019</v>
      </c>
      <c r="G201" s="144">
        <v>2020</v>
      </c>
      <c r="H201" s="144">
        <v>2021</v>
      </c>
      <c r="I201" s="144">
        <v>2022</v>
      </c>
      <c r="J201" s="144">
        <v>2023</v>
      </c>
      <c r="K201" s="144">
        <v>2024</v>
      </c>
      <c r="L201" s="144">
        <v>2025</v>
      </c>
      <c r="M201" s="144">
        <v>2026</v>
      </c>
    </row>
    <row r="202" spans="1:13">
      <c r="B202" s="210" t="s">
        <v>97</v>
      </c>
      <c r="C202" s="141">
        <f>SUM(Telecom!E62:E65)</f>
        <v>0</v>
      </c>
      <c r="D202" s="142">
        <f>SUM(Telecom!F62:F65)</f>
        <v>82</v>
      </c>
      <c r="E202" s="142">
        <f>SUM(Telecom!G62:G65)</f>
        <v>0</v>
      </c>
      <c r="F202" s="142">
        <f>SUM(Telecom!H62:H65)</f>
        <v>0</v>
      </c>
      <c r="G202" s="142">
        <f>SUM(Telecom!I62:I65)</f>
        <v>0</v>
      </c>
      <c r="H202" s="142">
        <f>SUM(Telecom!J62:J65)</f>
        <v>0</v>
      </c>
      <c r="I202" s="142">
        <f>SUM(Telecom!K62:K65)</f>
        <v>0</v>
      </c>
      <c r="J202" s="142">
        <f>SUM(Telecom!L62:L65)</f>
        <v>0</v>
      </c>
      <c r="K202" s="142">
        <f>SUM(Telecom!M62:M65)</f>
        <v>0</v>
      </c>
      <c r="L202" s="142">
        <f>SUM(Telecom!N62:N65)</f>
        <v>0</v>
      </c>
      <c r="M202" s="142">
        <f>SUM(Telecom!O62:O65)</f>
        <v>0</v>
      </c>
    </row>
    <row r="203" spans="1:13">
      <c r="B203" s="290" t="s">
        <v>147</v>
      </c>
      <c r="C203" s="139">
        <f>SUM(Cloud!E62:E65)</f>
        <v>0</v>
      </c>
      <c r="D203" s="140">
        <f>SUM(Cloud!F62:F65)</f>
        <v>7</v>
      </c>
      <c r="E203" s="140">
        <f>SUM(Cloud!G62:G65)</f>
        <v>0</v>
      </c>
      <c r="F203" s="140">
        <f>SUM(Cloud!H62:H65)</f>
        <v>0</v>
      </c>
      <c r="G203" s="140">
        <f>SUM(Cloud!I62:I65)</f>
        <v>0</v>
      </c>
      <c r="H203" s="140">
        <f>SUM(Cloud!J62:J65)</f>
        <v>0</v>
      </c>
      <c r="I203" s="140">
        <f>SUM(Cloud!K62:K65)</f>
        <v>0</v>
      </c>
      <c r="J203" s="140">
        <f>SUM(Cloud!L62:L65)</f>
        <v>0</v>
      </c>
      <c r="K203" s="140">
        <f>SUM(Cloud!M62:M65)</f>
        <v>0</v>
      </c>
      <c r="L203" s="140">
        <f>SUM(Cloud!N62:N65)</f>
        <v>0</v>
      </c>
      <c r="M203" s="140">
        <f>SUM(Cloud!O62:O65)</f>
        <v>0</v>
      </c>
    </row>
    <row r="204" spans="1:13" ht="13.5" customHeight="1">
      <c r="B204" s="381" t="s">
        <v>115</v>
      </c>
      <c r="C204" s="215">
        <f>SUM(Enterprise!E62:E65)</f>
        <v>0</v>
      </c>
      <c r="D204" s="216">
        <f>SUM(Enterprise!F62:F65)</f>
        <v>0</v>
      </c>
      <c r="E204" s="216">
        <f>SUM(Enterprise!G62:G65)</f>
        <v>0</v>
      </c>
      <c r="F204" s="216">
        <f>SUM(Enterprise!H62:H65)</f>
        <v>0</v>
      </c>
      <c r="G204" s="216">
        <f>SUM(Enterprise!I62:I65)</f>
        <v>0</v>
      </c>
      <c r="H204" s="216">
        <f>SUM(Enterprise!J62:J65)</f>
        <v>0</v>
      </c>
      <c r="I204" s="216">
        <f>SUM(Enterprise!K62:K65)</f>
        <v>0</v>
      </c>
      <c r="J204" s="216">
        <f>SUM(Enterprise!L62:L65)</f>
        <v>0</v>
      </c>
      <c r="K204" s="216">
        <f>SUM(Enterprise!M62:M65)</f>
        <v>0</v>
      </c>
      <c r="L204" s="216">
        <f>SUM(Enterprise!N62:N65)</f>
        <v>0</v>
      </c>
      <c r="M204" s="216">
        <f>SUM(Enterprise!O62:O65)</f>
        <v>0</v>
      </c>
    </row>
    <row r="205" spans="1:13">
      <c r="B205" s="145" t="s">
        <v>13</v>
      </c>
      <c r="C205" s="157">
        <f t="shared" ref="C205:I205" si="24">SUM(C202:C204)</f>
        <v>0</v>
      </c>
      <c r="D205" s="158">
        <f t="shared" si="24"/>
        <v>89</v>
      </c>
      <c r="E205" s="158">
        <f t="shared" si="24"/>
        <v>0</v>
      </c>
      <c r="F205" s="158">
        <f t="shared" si="24"/>
        <v>0</v>
      </c>
      <c r="G205" s="158">
        <f t="shared" si="24"/>
        <v>0</v>
      </c>
      <c r="H205" s="158">
        <f t="shared" si="24"/>
        <v>0</v>
      </c>
      <c r="I205" s="158">
        <f t="shared" si="24"/>
        <v>0</v>
      </c>
      <c r="J205" s="158">
        <f>SUM(J202:J204)</f>
        <v>0</v>
      </c>
      <c r="K205" s="158">
        <f>SUM(K202:K204)</f>
        <v>0</v>
      </c>
      <c r="L205" s="158">
        <f>SUM(L202:L204)</f>
        <v>0</v>
      </c>
      <c r="M205" s="158">
        <f t="shared" ref="M205" si="25">SUM(M202:M204)</f>
        <v>0</v>
      </c>
    </row>
    <row r="206" spans="1:13">
      <c r="B206" s="178" t="s">
        <v>91</v>
      </c>
      <c r="C206" s="179"/>
      <c r="D206" s="179"/>
      <c r="E206" s="179"/>
      <c r="F206" s="179" t="e">
        <f t="shared" ref="F206:L206" si="26">F205/E205-1</f>
        <v>#DIV/0!</v>
      </c>
      <c r="G206" s="179" t="e">
        <f t="shared" si="26"/>
        <v>#DIV/0!</v>
      </c>
      <c r="H206" s="179" t="e">
        <f t="shared" si="26"/>
        <v>#DIV/0!</v>
      </c>
      <c r="I206" s="179" t="e">
        <f t="shared" si="26"/>
        <v>#DIV/0!</v>
      </c>
      <c r="J206" s="179" t="e">
        <f t="shared" si="26"/>
        <v>#DIV/0!</v>
      </c>
      <c r="K206" s="179" t="e">
        <f t="shared" si="26"/>
        <v>#DIV/0!</v>
      </c>
      <c r="L206" s="179" t="e">
        <f t="shared" si="26"/>
        <v>#DIV/0!</v>
      </c>
      <c r="M206" s="179" t="e">
        <f t="shared" ref="M206" si="27">M205/L205-1</f>
        <v>#DIV/0!</v>
      </c>
    </row>
    <row r="209" spans="1:13" ht="21">
      <c r="A209" s="50"/>
      <c r="B209" s="17" t="s">
        <v>106</v>
      </c>
    </row>
    <row r="210" spans="1:13">
      <c r="C210" s="143">
        <v>2016</v>
      </c>
      <c r="D210" s="144">
        <v>2017</v>
      </c>
      <c r="E210" s="144">
        <v>2018</v>
      </c>
      <c r="F210" s="144">
        <v>2019</v>
      </c>
      <c r="G210" s="144">
        <v>2020</v>
      </c>
      <c r="H210" s="144">
        <v>2021</v>
      </c>
      <c r="I210" s="144">
        <v>2022</v>
      </c>
      <c r="J210" s="144">
        <v>2023</v>
      </c>
      <c r="K210" s="144">
        <v>2024</v>
      </c>
      <c r="L210" s="144">
        <v>2025</v>
      </c>
      <c r="M210" s="144">
        <v>2026</v>
      </c>
    </row>
    <row r="211" spans="1:13">
      <c r="B211" s="210" t="str">
        <f>B202</f>
        <v>Telecom</v>
      </c>
      <c r="C211" s="141">
        <f>SUM(Telecom!E194:E197)</f>
        <v>0</v>
      </c>
      <c r="D211" s="142">
        <f>SUM(Telecom!F194:F197)</f>
        <v>1.2669999999999999</v>
      </c>
      <c r="E211" s="142">
        <f>SUM(Telecom!G194:G197)</f>
        <v>0</v>
      </c>
      <c r="F211" s="142">
        <f>SUM(Telecom!H194:H197)</f>
        <v>0</v>
      </c>
      <c r="G211" s="142">
        <f>SUM(Telecom!I194:I197)</f>
        <v>0</v>
      </c>
      <c r="H211" s="142">
        <f>SUM(Telecom!J194:J197)</f>
        <v>0</v>
      </c>
      <c r="I211" s="142">
        <f>SUM(Telecom!K194:K197)</f>
        <v>0</v>
      </c>
      <c r="J211" s="142">
        <f>SUM(Telecom!L194:L197)</f>
        <v>0</v>
      </c>
      <c r="K211" s="142">
        <f>SUM(Telecom!M194:M197)</f>
        <v>0</v>
      </c>
      <c r="L211" s="142">
        <f>SUM(Telecom!N194:N197)</f>
        <v>0</v>
      </c>
      <c r="M211" s="142">
        <f>SUM(Telecom!O194:O197)</f>
        <v>0</v>
      </c>
    </row>
    <row r="212" spans="1:13">
      <c r="B212" s="449" t="str">
        <f>B203</f>
        <v>Cloud</v>
      </c>
      <c r="C212" s="139">
        <f>SUM(Cloud!E194:E197)</f>
        <v>0</v>
      </c>
      <c r="D212" s="140">
        <f>SUM(Cloud!F194:F197)</f>
        <v>8.1299999999999997E-2</v>
      </c>
      <c r="E212" s="140">
        <f>SUM(Cloud!G194:G197)</f>
        <v>0</v>
      </c>
      <c r="F212" s="140">
        <f>SUM(Cloud!H194:H197)</f>
        <v>0</v>
      </c>
      <c r="G212" s="140">
        <f>SUM(Cloud!I194:I197)</f>
        <v>0</v>
      </c>
      <c r="H212" s="140">
        <f>SUM(Cloud!J194:J197)</f>
        <v>0</v>
      </c>
      <c r="I212" s="140">
        <f>SUM(Cloud!K194:K197)</f>
        <v>0</v>
      </c>
      <c r="J212" s="140">
        <f>SUM(Cloud!L194:L197)</f>
        <v>0</v>
      </c>
      <c r="K212" s="140">
        <f>SUM(Cloud!M194:M197)</f>
        <v>0</v>
      </c>
      <c r="L212" s="140">
        <f>SUM(Cloud!N194:N197)</f>
        <v>0</v>
      </c>
      <c r="M212" s="140">
        <f>SUM(Cloud!O194:O197)</f>
        <v>0</v>
      </c>
    </row>
    <row r="213" spans="1:13">
      <c r="B213" s="211" t="str">
        <f>B204</f>
        <v>Enterprise</v>
      </c>
      <c r="C213" s="215">
        <f>SUM(Enterprise!E194:E197)</f>
        <v>0</v>
      </c>
      <c r="D213" s="216">
        <f>SUM(Enterprise!F194:F197)</f>
        <v>0</v>
      </c>
      <c r="E213" s="216">
        <f>SUM(Enterprise!G194:G197)</f>
        <v>0</v>
      </c>
      <c r="F213" s="216">
        <f>SUM(Enterprise!H194:H197)</f>
        <v>0</v>
      </c>
      <c r="G213" s="216">
        <f>SUM(Enterprise!I194:I197)</f>
        <v>0</v>
      </c>
      <c r="H213" s="216">
        <f>SUM(Enterprise!J194:J197)</f>
        <v>0</v>
      </c>
      <c r="I213" s="216">
        <f>SUM(Enterprise!K194:K197)</f>
        <v>0</v>
      </c>
      <c r="J213" s="216">
        <f>SUM(Enterprise!L194:L197)</f>
        <v>0</v>
      </c>
      <c r="K213" s="216">
        <f>SUM(Enterprise!M194:M197)</f>
        <v>0</v>
      </c>
      <c r="L213" s="216">
        <f>SUM(Enterprise!N194:N197)</f>
        <v>0</v>
      </c>
      <c r="M213" s="216">
        <f>SUM(Enterprise!O194:O197)</f>
        <v>0</v>
      </c>
    </row>
    <row r="214" spans="1:13">
      <c r="B214" s="145" t="str">
        <f>B205</f>
        <v>Total</v>
      </c>
      <c r="C214" s="159">
        <f t="shared" ref="C214:L214" si="28">SUM(C211:C213)</f>
        <v>0</v>
      </c>
      <c r="D214" s="160">
        <f t="shared" si="28"/>
        <v>1.3482999999999998</v>
      </c>
      <c r="E214" s="160">
        <f t="shared" si="28"/>
        <v>0</v>
      </c>
      <c r="F214" s="160">
        <f t="shared" si="28"/>
        <v>0</v>
      </c>
      <c r="G214" s="160">
        <f t="shared" si="28"/>
        <v>0</v>
      </c>
      <c r="H214" s="160">
        <f t="shared" si="28"/>
        <v>0</v>
      </c>
      <c r="I214" s="160">
        <f t="shared" si="28"/>
        <v>0</v>
      </c>
      <c r="J214" s="160">
        <f t="shared" si="28"/>
        <v>0</v>
      </c>
      <c r="K214" s="160">
        <f t="shared" si="28"/>
        <v>0</v>
      </c>
      <c r="L214" s="160">
        <f t="shared" si="28"/>
        <v>0</v>
      </c>
      <c r="M214" s="160">
        <f t="shared" ref="M214" si="29">SUM(M211:M213)</f>
        <v>0</v>
      </c>
    </row>
    <row r="215" spans="1:13">
      <c r="B215" s="178" t="s">
        <v>91</v>
      </c>
      <c r="C215" s="179"/>
      <c r="D215" s="179"/>
      <c r="E215" s="179"/>
      <c r="F215" s="179" t="e">
        <f t="shared" ref="F215:L215" si="30">F214/E214-1</f>
        <v>#DIV/0!</v>
      </c>
      <c r="G215" s="179" t="e">
        <f t="shared" si="30"/>
        <v>#DIV/0!</v>
      </c>
      <c r="H215" s="179" t="e">
        <f t="shared" si="30"/>
        <v>#DIV/0!</v>
      </c>
      <c r="I215" s="179" t="e">
        <f t="shared" si="30"/>
        <v>#DIV/0!</v>
      </c>
      <c r="J215" s="179" t="e">
        <f t="shared" si="30"/>
        <v>#DIV/0!</v>
      </c>
      <c r="K215" s="179" t="e">
        <f t="shared" si="30"/>
        <v>#DIV/0!</v>
      </c>
      <c r="L215" s="179" t="e">
        <f t="shared" si="30"/>
        <v>#DIV/0!</v>
      </c>
      <c r="M215" s="179" t="e">
        <f t="shared" ref="M215" si="31">M214/L214-1</f>
        <v>#DIV/0!</v>
      </c>
    </row>
    <row r="220" spans="1:13" ht="21">
      <c r="B220" s="17" t="s">
        <v>113</v>
      </c>
    </row>
    <row r="222" spans="1:13">
      <c r="A222" s="50"/>
      <c r="B222" s="50"/>
      <c r="C222" s="50"/>
      <c r="D222" s="50"/>
      <c r="E222" s="50"/>
      <c r="F222" s="50"/>
      <c r="G222" s="50"/>
    </row>
    <row r="223" spans="1:13">
      <c r="A223" s="50"/>
      <c r="B223" s="50"/>
      <c r="C223" s="50"/>
      <c r="D223" s="50"/>
      <c r="E223" s="50"/>
      <c r="F223" s="50"/>
      <c r="G223" s="50"/>
    </row>
    <row r="224" spans="1:13">
      <c r="A224" s="50"/>
      <c r="B224" s="50"/>
      <c r="C224" s="50"/>
      <c r="D224" s="50"/>
      <c r="E224" s="50"/>
      <c r="F224" s="50"/>
      <c r="G224" s="50"/>
    </row>
    <row r="225" spans="1:7">
      <c r="A225" s="50"/>
      <c r="B225" s="50"/>
      <c r="C225" s="50"/>
      <c r="D225" s="50"/>
      <c r="E225" s="50"/>
      <c r="F225" s="50"/>
      <c r="G225" s="50"/>
    </row>
    <row r="226" spans="1:7">
      <c r="A226" s="50"/>
      <c r="B226" s="50"/>
      <c r="C226" s="50"/>
      <c r="D226" s="50"/>
      <c r="E226" s="50"/>
      <c r="F226" s="50"/>
      <c r="G226" s="50"/>
    </row>
    <row r="227" spans="1:7">
      <c r="A227" s="50"/>
      <c r="B227" s="50"/>
      <c r="C227" s="50"/>
      <c r="D227" s="50"/>
      <c r="E227" s="50"/>
      <c r="F227" s="50"/>
      <c r="G227" s="50"/>
    </row>
    <row r="228" spans="1:7">
      <c r="A228" s="50"/>
      <c r="B228" s="50"/>
      <c r="C228" s="50"/>
      <c r="D228" s="50"/>
      <c r="E228" s="50"/>
      <c r="F228" s="50"/>
      <c r="G228" s="50"/>
    </row>
    <row r="229" spans="1:7">
      <c r="A229" s="50"/>
      <c r="B229" s="50"/>
      <c r="C229" s="50"/>
      <c r="D229" s="50"/>
      <c r="E229" s="50"/>
      <c r="F229" s="50"/>
      <c r="G229" s="50"/>
    </row>
    <row r="230" spans="1:7">
      <c r="A230" s="50"/>
      <c r="B230" s="50"/>
      <c r="C230" s="50"/>
      <c r="D230" s="50"/>
      <c r="E230" s="50"/>
      <c r="F230" s="50"/>
      <c r="G230" s="50"/>
    </row>
    <row r="231" spans="1:7">
      <c r="A231" s="50"/>
      <c r="B231" s="50"/>
      <c r="C231" s="50"/>
      <c r="D231" s="50"/>
      <c r="E231" s="50"/>
      <c r="F231" s="50"/>
      <c r="G231" s="50"/>
    </row>
    <row r="232" spans="1:7">
      <c r="A232" s="50"/>
      <c r="B232" s="50"/>
      <c r="C232" s="50"/>
      <c r="D232" s="50"/>
      <c r="E232" s="50"/>
      <c r="F232" s="50"/>
      <c r="G232" s="50"/>
    </row>
    <row r="233" spans="1:7">
      <c r="A233" s="50"/>
      <c r="B233" s="50"/>
      <c r="C233" s="50"/>
      <c r="D233" s="50"/>
      <c r="E233" s="50"/>
      <c r="F233" s="50"/>
      <c r="G233" s="50"/>
    </row>
    <row r="234" spans="1:7">
      <c r="A234" s="50"/>
      <c r="B234" s="50"/>
      <c r="C234" s="50"/>
      <c r="D234" s="50"/>
      <c r="E234" s="50"/>
      <c r="F234" s="50"/>
      <c r="G234" s="50"/>
    </row>
    <row r="235" spans="1:7">
      <c r="A235" s="50"/>
      <c r="B235" s="50"/>
      <c r="C235" s="50"/>
      <c r="D235" s="50"/>
      <c r="E235" s="50"/>
      <c r="F235" s="50"/>
      <c r="G235" s="50"/>
    </row>
    <row r="236" spans="1:7">
      <c r="A236" s="50"/>
      <c r="B236" s="50"/>
      <c r="C236" s="50"/>
      <c r="D236" s="50"/>
      <c r="E236" s="50"/>
      <c r="F236" s="50"/>
      <c r="G236" s="50"/>
    </row>
    <row r="237" spans="1:7">
      <c r="A237" s="50"/>
      <c r="B237" s="50"/>
      <c r="C237" s="50"/>
      <c r="D237" s="50"/>
      <c r="E237" s="50"/>
      <c r="F237" s="50"/>
      <c r="G237" s="50"/>
    </row>
    <row r="238" spans="1:7">
      <c r="A238" s="50"/>
      <c r="B238" s="50"/>
      <c r="C238" s="50"/>
      <c r="D238" s="50"/>
      <c r="E238" s="50"/>
      <c r="F238" s="50"/>
      <c r="G238" s="50"/>
    </row>
    <row r="239" spans="1:7">
      <c r="A239" s="50"/>
      <c r="B239" s="50"/>
      <c r="C239" s="50"/>
      <c r="D239" s="50"/>
      <c r="E239" s="50"/>
      <c r="F239" s="50"/>
      <c r="G239" s="50"/>
    </row>
    <row r="240" spans="1:7">
      <c r="A240" s="50"/>
      <c r="B240" s="50"/>
      <c r="C240" s="50"/>
      <c r="D240" s="50"/>
      <c r="E240" s="50"/>
      <c r="F240" s="50"/>
      <c r="G240" s="50"/>
    </row>
    <row r="241" spans="1:14">
      <c r="A241" s="50"/>
      <c r="B241" s="50"/>
      <c r="C241" s="50"/>
      <c r="D241" s="50"/>
      <c r="E241" s="50"/>
      <c r="F241" s="50"/>
      <c r="G241" s="50"/>
    </row>
    <row r="242" spans="1:14">
      <c r="A242" s="50"/>
      <c r="C242" s="50"/>
      <c r="D242" s="50"/>
      <c r="E242" s="50"/>
      <c r="F242" s="50"/>
      <c r="G242" s="50"/>
    </row>
    <row r="243" spans="1:14" ht="21">
      <c r="A243" s="50"/>
      <c r="B243" s="17" t="s">
        <v>22</v>
      </c>
      <c r="C243" s="50"/>
      <c r="D243" s="50"/>
      <c r="E243" s="50"/>
      <c r="F243" s="50"/>
      <c r="G243" s="50"/>
    </row>
    <row r="244" spans="1:14">
      <c r="C244" s="204">
        <v>2016</v>
      </c>
      <c r="D244" s="204">
        <v>2017</v>
      </c>
      <c r="E244" s="204">
        <v>2018</v>
      </c>
      <c r="F244" s="204">
        <v>2019</v>
      </c>
      <c r="G244" s="204">
        <v>2020</v>
      </c>
      <c r="H244" s="204">
        <v>2021</v>
      </c>
      <c r="I244" s="204">
        <v>2022</v>
      </c>
      <c r="J244" s="204">
        <v>2023</v>
      </c>
      <c r="K244" s="204">
        <v>2024</v>
      </c>
      <c r="L244" s="204">
        <v>2025</v>
      </c>
      <c r="M244" s="204">
        <v>2026</v>
      </c>
    </row>
    <row r="245" spans="1:14">
      <c r="B245" s="210" t="s">
        <v>103</v>
      </c>
      <c r="C245" s="140" t="e">
        <f xml:space="preserve"> SUMIF(#REF!, "MMF",#REF!)</f>
        <v>#REF!</v>
      </c>
      <c r="D245" s="140" t="e">
        <f xml:space="preserve"> SUMIF(#REF!, "MMF",#REF!)</f>
        <v>#REF!</v>
      </c>
      <c r="E245" s="140" t="e">
        <f xml:space="preserve"> SUMIF(#REF!, "MMF",#REF!)</f>
        <v>#REF!</v>
      </c>
      <c r="F245" s="140" t="e">
        <f xml:space="preserve"> SUMIF(#REF!, "MMF",#REF!)</f>
        <v>#REF!</v>
      </c>
      <c r="G245" s="140" t="e">
        <f xml:space="preserve"> SUMIF(#REF!, "MMF",#REF!)</f>
        <v>#REF!</v>
      </c>
      <c r="H245" s="140" t="e">
        <f xml:space="preserve"> SUMIF(#REF!, "MMF",#REF!)</f>
        <v>#REF!</v>
      </c>
      <c r="I245" s="140" t="e">
        <f xml:space="preserve"> SUMIF(#REF!, "MMF",#REF!)</f>
        <v>#REF!</v>
      </c>
      <c r="J245" s="140" t="e">
        <f xml:space="preserve"> SUMIF(#REF!, "MMF",#REF!)</f>
        <v>#REF!</v>
      </c>
      <c r="K245" s="140" t="e">
        <f xml:space="preserve"> SUMIF(#REF!, "MMF",#REF!)</f>
        <v>#REF!</v>
      </c>
      <c r="L245" s="140" t="e">
        <f xml:space="preserve"> SUMIF(#REF!, "MMF",#REF!)</f>
        <v>#REF!</v>
      </c>
      <c r="M245" s="140" t="e">
        <f xml:space="preserve"> SUMIF(#REF!, "MMF",#REF!)</f>
        <v>#REF!</v>
      </c>
    </row>
    <row r="246" spans="1:14">
      <c r="B246" s="211" t="s">
        <v>104</v>
      </c>
      <c r="C246" s="216" t="e">
        <f xml:space="preserve"> SUMIF(#REF!, "SMF",#REF!)</f>
        <v>#REF!</v>
      </c>
      <c r="D246" s="216" t="e">
        <f xml:space="preserve"> SUMIF(#REF!, "SMF",#REF!)</f>
        <v>#REF!</v>
      </c>
      <c r="E246" s="216" t="e">
        <f xml:space="preserve"> SUMIF(#REF!, "SMF",#REF!)</f>
        <v>#REF!</v>
      </c>
      <c r="F246" s="216" t="e">
        <f xml:space="preserve"> SUMIF(#REF!, "SMF",#REF!)</f>
        <v>#REF!</v>
      </c>
      <c r="G246" s="216" t="e">
        <f xml:space="preserve"> SUMIF(#REF!, "SMF",#REF!)</f>
        <v>#REF!</v>
      </c>
      <c r="H246" s="216" t="e">
        <f xml:space="preserve"> SUMIF(#REF!, "SMF",#REF!)</f>
        <v>#REF!</v>
      </c>
      <c r="I246" s="216" t="e">
        <f xml:space="preserve"> SUMIF(#REF!, "SMF",#REF!)</f>
        <v>#REF!</v>
      </c>
      <c r="J246" s="216" t="e">
        <f xml:space="preserve"> SUMIF(#REF!, "SMF",#REF!)</f>
        <v>#REF!</v>
      </c>
      <c r="K246" s="216" t="e">
        <f xml:space="preserve"> SUMIF(#REF!, "SMF",#REF!)</f>
        <v>#REF!</v>
      </c>
      <c r="L246" s="216" t="e">
        <f xml:space="preserve"> SUMIF(#REF!, "SMF",#REF!)</f>
        <v>#REF!</v>
      </c>
      <c r="M246" s="216" t="e">
        <f xml:space="preserve"> SUMIF(#REF!, "SMF",#REF!)</f>
        <v>#REF!</v>
      </c>
    </row>
    <row r="247" spans="1:14">
      <c r="B247" s="145" t="s">
        <v>13</v>
      </c>
      <c r="C247" s="157" t="e">
        <f t="shared" ref="C247:L247" si="32">SUM(C245:C246)</f>
        <v>#REF!</v>
      </c>
      <c r="D247" s="216" t="e">
        <f t="shared" si="32"/>
        <v>#REF!</v>
      </c>
      <c r="E247" s="216" t="e">
        <f t="shared" si="32"/>
        <v>#REF!</v>
      </c>
      <c r="F247" s="216" t="e">
        <f t="shared" si="32"/>
        <v>#REF!</v>
      </c>
      <c r="G247" s="216" t="e">
        <f t="shared" si="32"/>
        <v>#REF!</v>
      </c>
      <c r="H247" s="216" t="e">
        <f t="shared" si="32"/>
        <v>#REF!</v>
      </c>
      <c r="I247" s="216" t="e">
        <f t="shared" si="32"/>
        <v>#REF!</v>
      </c>
      <c r="J247" s="216" t="e">
        <f t="shared" si="32"/>
        <v>#REF!</v>
      </c>
      <c r="K247" s="216" t="e">
        <f t="shared" si="32"/>
        <v>#REF!</v>
      </c>
      <c r="L247" s="216" t="e">
        <f t="shared" si="32"/>
        <v>#REF!</v>
      </c>
      <c r="M247" s="216" t="e">
        <f t="shared" ref="M247" si="33">SUM(M245:M246)</f>
        <v>#REF!</v>
      </c>
    </row>
    <row r="248" spans="1:14">
      <c r="B248" s="178" t="s">
        <v>91</v>
      </c>
      <c r="C248" s="179" t="e">
        <f>C247/#REF!-1</f>
        <v>#REF!</v>
      </c>
      <c r="D248" s="179" t="e">
        <f t="shared" ref="D248:L248" si="34">D247/C247-1</f>
        <v>#REF!</v>
      </c>
      <c r="E248" s="179" t="e">
        <f t="shared" si="34"/>
        <v>#REF!</v>
      </c>
      <c r="F248" s="179" t="e">
        <f t="shared" si="34"/>
        <v>#REF!</v>
      </c>
      <c r="G248" s="179" t="e">
        <f t="shared" si="34"/>
        <v>#REF!</v>
      </c>
      <c r="H248" s="179" t="e">
        <f t="shared" si="34"/>
        <v>#REF!</v>
      </c>
      <c r="I248" s="179" t="e">
        <f t="shared" si="34"/>
        <v>#REF!</v>
      </c>
      <c r="J248" s="179" t="e">
        <f t="shared" si="34"/>
        <v>#REF!</v>
      </c>
      <c r="K248" s="179" t="e">
        <f t="shared" si="34"/>
        <v>#REF!</v>
      </c>
      <c r="L248" s="179" t="e">
        <f t="shared" si="34"/>
        <v>#REF!</v>
      </c>
      <c r="M248" s="179" t="e">
        <f t="shared" ref="M248" si="35">M247/L247-1</f>
        <v>#REF!</v>
      </c>
    </row>
    <row r="251" spans="1:14" ht="21">
      <c r="A251" s="50"/>
      <c r="B251" s="17" t="s">
        <v>15</v>
      </c>
    </row>
    <row r="252" spans="1:14">
      <c r="C252" s="203">
        <v>2016</v>
      </c>
      <c r="D252" s="204">
        <v>2017</v>
      </c>
      <c r="E252" s="204">
        <v>2018</v>
      </c>
      <c r="F252" s="204">
        <v>2019</v>
      </c>
      <c r="G252" s="204">
        <v>2020</v>
      </c>
      <c r="H252" s="204">
        <v>2021</v>
      </c>
      <c r="I252" s="204">
        <v>2022</v>
      </c>
      <c r="J252" s="204">
        <v>2023</v>
      </c>
      <c r="K252" s="204">
        <v>2024</v>
      </c>
      <c r="L252" s="204">
        <v>2025</v>
      </c>
      <c r="M252" s="204">
        <v>2026</v>
      </c>
    </row>
    <row r="253" spans="1:14">
      <c r="B253" s="200" t="str">
        <f>B245</f>
        <v>MMF</v>
      </c>
      <c r="C253" s="149" t="e">
        <f xml:space="preserve"> SUMIF(#REF!, "MMF",#REF!)</f>
        <v>#REF!</v>
      </c>
      <c r="D253" s="150" t="e">
        <f xml:space="preserve"> SUMIF(#REF!, "MMF",#REF!)</f>
        <v>#REF!</v>
      </c>
      <c r="E253" s="150" t="e">
        <f xml:space="preserve"> SUMIF(#REF!, "MMF",#REF!)</f>
        <v>#REF!</v>
      </c>
      <c r="F253" s="150" t="e">
        <f xml:space="preserve"> SUMIF(#REF!, "MMF",#REF!)</f>
        <v>#REF!</v>
      </c>
      <c r="G253" s="150" t="e">
        <f xml:space="preserve"> SUMIF(#REF!, "MMF",#REF!)</f>
        <v>#REF!</v>
      </c>
      <c r="H253" s="150" t="e">
        <f xml:space="preserve"> SUMIF(#REF!, "MMF",#REF!)</f>
        <v>#REF!</v>
      </c>
      <c r="I253" s="150" t="e">
        <f xml:space="preserve"> SUMIF(#REF!, "MMF",#REF!)</f>
        <v>#REF!</v>
      </c>
      <c r="J253" s="150" t="e">
        <f xml:space="preserve"> SUMIF(#REF!, "MMF",#REF!)</f>
        <v>#REF!</v>
      </c>
      <c r="K253" s="150" t="e">
        <f xml:space="preserve"> SUMIF(#REF!, "MMF",#REF!)</f>
        <v>#REF!</v>
      </c>
      <c r="L253" s="150" t="e">
        <f xml:space="preserve"> SUMIF(#REF!, "MMF",#REF!)</f>
        <v>#REF!</v>
      </c>
      <c r="M253" s="150" t="e">
        <f xml:space="preserve"> SUMIF(#REF!, "MMF",#REF!)</f>
        <v>#REF!</v>
      </c>
    </row>
    <row r="254" spans="1:14">
      <c r="B254" s="201" t="str">
        <f>B246</f>
        <v>SMF</v>
      </c>
      <c r="C254" s="149" t="e">
        <f xml:space="preserve"> SUMIF(#REF!, "SMF",#REF!)</f>
        <v>#REF!</v>
      </c>
      <c r="D254" s="150" t="e">
        <f xml:space="preserve"> SUMIF(#REF!, "SMF",#REF!)</f>
        <v>#REF!</v>
      </c>
      <c r="E254" s="150" t="e">
        <f xml:space="preserve"> SUMIF(#REF!, "SMF",#REF!)</f>
        <v>#REF!</v>
      </c>
      <c r="F254" s="150" t="e">
        <f xml:space="preserve"> SUMIF(#REF!, "SMF",#REF!)</f>
        <v>#REF!</v>
      </c>
      <c r="G254" s="150" t="e">
        <f xml:space="preserve"> SUMIF(#REF!, "SMF",#REF!)</f>
        <v>#REF!</v>
      </c>
      <c r="H254" s="150" t="e">
        <f xml:space="preserve"> SUMIF(#REF!, "SMF",#REF!)</f>
        <v>#REF!</v>
      </c>
      <c r="I254" s="150" t="e">
        <f xml:space="preserve"> SUMIF(#REF!, "SMF",#REF!)</f>
        <v>#REF!</v>
      </c>
      <c r="J254" s="150" t="e">
        <f xml:space="preserve"> SUMIF(#REF!, "SMF",#REF!)</f>
        <v>#REF!</v>
      </c>
      <c r="K254" s="150" t="e">
        <f xml:space="preserve"> SUMIF(#REF!, "SMF",#REF!)</f>
        <v>#REF!</v>
      </c>
      <c r="L254" s="150" t="e">
        <f xml:space="preserve"> SUMIF(#REF!, "SMF",#REF!)</f>
        <v>#REF!</v>
      </c>
      <c r="M254" s="150" t="e">
        <f xml:space="preserve"> SUMIF(#REF!, "SMF",#REF!)</f>
        <v>#REF!</v>
      </c>
    </row>
    <row r="255" spans="1:14">
      <c r="B255" s="145" t="str">
        <f>B247</f>
        <v>Total</v>
      </c>
      <c r="C255" s="159" t="e">
        <f t="shared" ref="C255:L255" si="36">SUM(C253:C254)</f>
        <v>#REF!</v>
      </c>
      <c r="D255" s="160" t="e">
        <f t="shared" si="36"/>
        <v>#REF!</v>
      </c>
      <c r="E255" s="160" t="e">
        <f t="shared" si="36"/>
        <v>#REF!</v>
      </c>
      <c r="F255" s="160" t="e">
        <f t="shared" si="36"/>
        <v>#REF!</v>
      </c>
      <c r="G255" s="160" t="e">
        <f t="shared" si="36"/>
        <v>#REF!</v>
      </c>
      <c r="H255" s="160" t="e">
        <f t="shared" si="36"/>
        <v>#REF!</v>
      </c>
      <c r="I255" s="160" t="e">
        <f t="shared" si="36"/>
        <v>#REF!</v>
      </c>
      <c r="J255" s="160" t="e">
        <f t="shared" si="36"/>
        <v>#REF!</v>
      </c>
      <c r="K255" s="160" t="e">
        <f t="shared" si="36"/>
        <v>#REF!</v>
      </c>
      <c r="L255" s="160" t="e">
        <f t="shared" si="36"/>
        <v>#REF!</v>
      </c>
      <c r="M255" s="160" t="e">
        <f t="shared" ref="M255" si="37">SUM(M253:M254)</f>
        <v>#REF!</v>
      </c>
    </row>
    <row r="256" spans="1:14">
      <c r="B256" s="178" t="s">
        <v>91</v>
      </c>
      <c r="C256" s="179"/>
      <c r="D256" s="179" t="e">
        <f t="shared" ref="D256:L256" si="38">D255/C255-1</f>
        <v>#REF!</v>
      </c>
      <c r="E256" s="179" t="e">
        <f t="shared" si="38"/>
        <v>#REF!</v>
      </c>
      <c r="F256" s="179" t="e">
        <f t="shared" si="38"/>
        <v>#REF!</v>
      </c>
      <c r="G256" s="179" t="e">
        <f t="shared" si="38"/>
        <v>#REF!</v>
      </c>
      <c r="H256" s="179" t="e">
        <f t="shared" si="38"/>
        <v>#REF!</v>
      </c>
      <c r="I256" s="179" t="e">
        <f t="shared" si="38"/>
        <v>#REF!</v>
      </c>
      <c r="J256" s="179" t="e">
        <f t="shared" si="38"/>
        <v>#REF!</v>
      </c>
      <c r="K256" s="179" t="e">
        <f t="shared" si="38"/>
        <v>#REF!</v>
      </c>
      <c r="L256" s="179" t="e">
        <f t="shared" si="38"/>
        <v>#REF!</v>
      </c>
      <c r="M256" s="179" t="e">
        <f t="shared" ref="M256" si="39">M255/L255-1</f>
        <v>#REF!</v>
      </c>
      <c r="N256" s="217"/>
    </row>
    <row r="257" spans="2:14">
      <c r="N257" s="213"/>
    </row>
    <row r="259" spans="2:14" ht="21">
      <c r="B259" s="17" t="s">
        <v>99</v>
      </c>
    </row>
    <row r="281" spans="2:13">
      <c r="B281" s="198" t="s">
        <v>100</v>
      </c>
      <c r="C281" s="203">
        <v>2016</v>
      </c>
      <c r="D281" s="144">
        <v>2017</v>
      </c>
      <c r="E281" s="144">
        <v>2018</v>
      </c>
      <c r="F281" s="144">
        <v>2019</v>
      </c>
      <c r="G281" s="144">
        <v>2020</v>
      </c>
      <c r="H281" s="144">
        <v>2021</v>
      </c>
      <c r="I281" s="144">
        <v>2022</v>
      </c>
      <c r="J281" s="144">
        <v>2023</v>
      </c>
      <c r="K281" s="144">
        <v>2024</v>
      </c>
      <c r="L281" s="144">
        <v>2025</v>
      </c>
      <c r="M281" s="144">
        <v>2026</v>
      </c>
    </row>
    <row r="282" spans="2:13">
      <c r="B282" s="146" t="str">
        <f>B33</f>
        <v>Cloud</v>
      </c>
      <c r="C282" s="219">
        <f>SUM(Cloud!E9:E12)+10*SUM(Cloud!E14:E22)+25*SUM(Cloud!E24:E25)+40*SUM(Cloud!E27:E35)+50*SUM(Cloud!E36:E38)+100*SUM(Cloud!E39:E57)+200*SUM(Cloud!E58:E61)+400*SUM(Cloud!E62:E65)</f>
        <v>232995621.73119861</v>
      </c>
      <c r="D282" s="218">
        <f>SUM(Cloud!F9:F12)+10*SUM(Cloud!F14:F22)+25*SUM(Cloud!F24:F25)+40*SUM(Cloud!F27:F35)+50*SUM(Cloud!F36:F38)+100*SUM(Cloud!F39:F57)+200*SUM(Cloud!F58:F61)+400*SUM(Cloud!F62:F65)</f>
        <v>450326122.48659462</v>
      </c>
      <c r="E282" s="218">
        <f>SUM(Cloud!G9:G12)+10*SUM(Cloud!G14:G22)+25*SUM(Cloud!G24:G25)+40*SUM(Cloud!G27:G35)+50*SUM(Cloud!G36:G38)+100*SUM(Cloud!G39:G57)+200*SUM(Cloud!G58:G61)+400*SUM(Cloud!G62:G65)</f>
        <v>0</v>
      </c>
      <c r="F282" s="218">
        <f>SUM(Cloud!H9:H12)+10*SUM(Cloud!H14:H22)+25*SUM(Cloud!H24:H25)+40*SUM(Cloud!H27:H35)+50*SUM(Cloud!H36:H38)+100*SUM(Cloud!H39:H57)+200*SUM(Cloud!H58:H61)+400*SUM(Cloud!H62:H65)</f>
        <v>0</v>
      </c>
      <c r="G282" s="218">
        <f>SUM(Cloud!I9:I12)+10*SUM(Cloud!I14:I22)+25*SUM(Cloud!I24:I25)+40*SUM(Cloud!I27:I35)+50*SUM(Cloud!I36:I38)+100*SUM(Cloud!I39:I57)+200*SUM(Cloud!I58:I61)+400*SUM(Cloud!I62:I65)</f>
        <v>0</v>
      </c>
      <c r="H282" s="218">
        <f>SUM(Cloud!J9:J12)+10*SUM(Cloud!J14:J22)+25*SUM(Cloud!J24:J25)+40*SUM(Cloud!J27:J35)+50*SUM(Cloud!J36:J38)+100*SUM(Cloud!J39:J57)+200*SUM(Cloud!J58:J61)+400*SUM(Cloud!J62:J65)</f>
        <v>0</v>
      </c>
      <c r="I282" s="218">
        <f>SUM(Cloud!K9:K12)+10*SUM(Cloud!K14:K22)+25*SUM(Cloud!K24:K25)+40*SUM(Cloud!K27:K35)+50*SUM(Cloud!K36:K38)+100*SUM(Cloud!K39:K57)+200*SUM(Cloud!K58:K61)+400*SUM(Cloud!K62:K65)</f>
        <v>0</v>
      </c>
      <c r="J282" s="218">
        <f>SUM(Cloud!L9:L12)+10*SUM(Cloud!L14:L22)+25*SUM(Cloud!L24:L25)+40*SUM(Cloud!L27:L35)+50*SUM(Cloud!L36:L38)+100*SUM(Cloud!L39:L57)+200*SUM(Cloud!L58:L61)+400*SUM(Cloud!L62:L65)</f>
        <v>0</v>
      </c>
      <c r="K282" s="218">
        <f>SUM(Cloud!M9:M12)+10*SUM(Cloud!M14:M22)+25*SUM(Cloud!M24:M25)+40*SUM(Cloud!M27:M35)+50*SUM(Cloud!M36:M38)+100*SUM(Cloud!M39:M57)+200*SUM(Cloud!M58:M61)+400*SUM(Cloud!M62:M65)</f>
        <v>0</v>
      </c>
      <c r="L282" s="218">
        <f>SUM(Cloud!N9:N12)+10*SUM(Cloud!N14:N22)+25*SUM(Cloud!N24:N25)+40*SUM(Cloud!N27:N35)+50*SUM(Cloud!N36:N38)+100*SUM(Cloud!N39:N57)+200*SUM(Cloud!N58:N61)+400*SUM(Cloud!N62:N65)</f>
        <v>0</v>
      </c>
      <c r="M282" s="218">
        <f>SUM(Cloud!O9:O12)+10*SUM(Cloud!O14:O22)+25*SUM(Cloud!O24:O25)+40*SUM(Cloud!O27:O35)+50*SUM(Cloud!O36:O38)+100*SUM(Cloud!O39:O57)+200*SUM(Cloud!O58:O61)+400*SUM(Cloud!O62:O65)</f>
        <v>0</v>
      </c>
    </row>
    <row r="283" spans="2:13">
      <c r="B283" s="208" t="str">
        <f>B34</f>
        <v>Enterprise</v>
      </c>
      <c r="C283" s="205">
        <f>SUM(Enterprise!E9:E12)+10*SUM(Enterprise!E14:E22)+25*SUM(Enterprise!E24:E25)+40*SUM(Enterprise!E27:E35)+50*SUM(Enterprise!E38:E38)+100*SUM(Enterprise!E39:E57)+200*SUM(Enterprise!E58:E61)+400*SUM(Enterprise!E62:E65)</f>
        <v>137506099.92276934</v>
      </c>
      <c r="D283" s="206">
        <f>SUM(Enterprise!F9:F12)+10*SUM(Enterprise!F14:F22)+25*SUM(Enterprise!F24:F25)+40*SUM(Enterprise!F27:F35)+50*SUM(Enterprise!F38:F38)+100*SUM(Enterprise!F39:F57)+200*SUM(Enterprise!F58:F61)+400*SUM(Enterprise!F62:F65)</f>
        <v>157244568.08871284</v>
      </c>
      <c r="E283" s="206">
        <f>SUM(Enterprise!G9:G12)+10*SUM(Enterprise!G14:G22)+25*SUM(Enterprise!G24:G25)+40*SUM(Enterprise!G27:G35)+50*SUM(Enterprise!G38:G38)+100*SUM(Enterprise!G39:G57)+200*SUM(Enterprise!G58:G61)+400*SUM(Enterprise!G62:G65)</f>
        <v>0</v>
      </c>
      <c r="F283" s="206">
        <f>SUM(Enterprise!H9:H12)+10*SUM(Enterprise!H14:H22)+25*SUM(Enterprise!H24:H25)+40*SUM(Enterprise!H27:H35)+50*SUM(Enterprise!H38:H38)+100*SUM(Enterprise!H39:H57)+200*SUM(Enterprise!H58:H61)+400*SUM(Enterprise!H62:H65)</f>
        <v>0</v>
      </c>
      <c r="G283" s="206">
        <f>SUM(Enterprise!I9:I12)+10*SUM(Enterprise!I14:I22)+25*SUM(Enterprise!I24:I25)+40*SUM(Enterprise!I27:I35)+50*SUM(Enterprise!I38:I38)+100*SUM(Enterprise!I39:I57)+200*SUM(Enterprise!I58:I61)+400*SUM(Enterprise!I62:I65)</f>
        <v>0</v>
      </c>
      <c r="H283" s="206">
        <f>SUM(Enterprise!J9:J12)+10*SUM(Enterprise!J14:J22)+25*SUM(Enterprise!J24:J25)+40*SUM(Enterprise!J27:J35)+50*SUM(Enterprise!J38:J38)+100*SUM(Enterprise!J39:J57)+200*SUM(Enterprise!J58:J61)+400*SUM(Enterprise!J62:J65)</f>
        <v>0</v>
      </c>
      <c r="I283" s="206">
        <f>SUM(Enterprise!K9:K12)+10*SUM(Enterprise!K14:K22)+25*SUM(Enterprise!K24:K25)+40*SUM(Enterprise!K27:K35)+50*SUM(Enterprise!K38:K38)+100*SUM(Enterprise!K39:K57)+200*SUM(Enterprise!K58:K61)+400*SUM(Enterprise!K62:K65)</f>
        <v>0</v>
      </c>
      <c r="J283" s="206">
        <f>SUM(Enterprise!L9:L12)+10*SUM(Enterprise!L14:L22)+25*SUM(Enterprise!L24:L25)+40*SUM(Enterprise!L27:L35)+50*SUM(Enterprise!L38:L38)+100*SUM(Enterprise!L39:L57)+200*SUM(Enterprise!L58:L61)+400*SUM(Enterprise!L62:L65)</f>
        <v>0</v>
      </c>
      <c r="K283" s="206">
        <f>SUM(Enterprise!M9:M12)+10*SUM(Enterprise!M14:M22)+25*SUM(Enterprise!M24:M25)+40*SUM(Enterprise!M27:M35)+50*SUM(Enterprise!M38:M38)+100*SUM(Enterprise!M39:M57)+200*SUM(Enterprise!M58:M61)+400*SUM(Enterprise!M62:M65)</f>
        <v>0</v>
      </c>
      <c r="L283" s="206">
        <f>SUM(Enterprise!N9:N12)+10*SUM(Enterprise!N14:N22)+25*SUM(Enterprise!N24:N25)+40*SUM(Enterprise!N27:N35)+50*SUM(Enterprise!N38:N38)+100*SUM(Enterprise!N39:N57)+200*SUM(Enterprise!N58:N61)+400*SUM(Enterprise!N62:N65)</f>
        <v>0</v>
      </c>
      <c r="M283" s="206">
        <f>SUM(Enterprise!O9:O12)+10*SUM(Enterprise!O14:O22)+25*SUM(Enterprise!O24:O25)+40*SUM(Enterprise!O27:O35)+50*SUM(Enterprise!O38:O38)+100*SUM(Enterprise!O39:O57)+200*SUM(Enterprise!O58:O61)+400*SUM(Enterprise!O62:O65)</f>
        <v>0</v>
      </c>
    </row>
    <row r="285" spans="2:13">
      <c r="B285" s="198" t="s">
        <v>101</v>
      </c>
      <c r="C285" s="203">
        <v>2016</v>
      </c>
      <c r="D285" s="204">
        <v>2017</v>
      </c>
      <c r="E285" s="204">
        <v>2018</v>
      </c>
      <c r="F285" s="204">
        <v>2019</v>
      </c>
      <c r="G285" s="204">
        <v>2020</v>
      </c>
      <c r="H285" s="204">
        <v>2021</v>
      </c>
      <c r="I285" s="204">
        <v>2022</v>
      </c>
      <c r="J285" s="204">
        <v>2023</v>
      </c>
      <c r="K285" s="204">
        <v>2024</v>
      </c>
      <c r="L285" s="204">
        <v>2025</v>
      </c>
      <c r="M285" s="204">
        <v>2026</v>
      </c>
    </row>
    <row r="286" spans="2:13">
      <c r="B286" s="151" t="str">
        <f>B282</f>
        <v>Cloud</v>
      </c>
      <c r="C286" s="218">
        <v>634874062.28922606</v>
      </c>
      <c r="D286" s="218">
        <f t="shared" ref="D286:L286" si="40">C286+D282</f>
        <v>1085200184.7758207</v>
      </c>
      <c r="E286" s="218">
        <f t="shared" si="40"/>
        <v>1085200184.7758207</v>
      </c>
      <c r="F286" s="218">
        <f t="shared" si="40"/>
        <v>1085200184.7758207</v>
      </c>
      <c r="G286" s="218">
        <f t="shared" si="40"/>
        <v>1085200184.7758207</v>
      </c>
      <c r="H286" s="218">
        <f t="shared" si="40"/>
        <v>1085200184.7758207</v>
      </c>
      <c r="I286" s="218">
        <f t="shared" si="40"/>
        <v>1085200184.7758207</v>
      </c>
      <c r="J286" s="218">
        <f t="shared" si="40"/>
        <v>1085200184.7758207</v>
      </c>
      <c r="K286" s="218">
        <f t="shared" si="40"/>
        <v>1085200184.7758207</v>
      </c>
      <c r="L286" s="218">
        <f t="shared" si="40"/>
        <v>1085200184.7758207</v>
      </c>
      <c r="M286" s="218">
        <f t="shared" ref="M286:M287" si="41">L286+M282</f>
        <v>1085200184.7758207</v>
      </c>
    </row>
    <row r="287" spans="2:13">
      <c r="B287" s="154" t="str">
        <f>B283</f>
        <v>Enterprise</v>
      </c>
      <c r="C287" s="206">
        <v>599460852.37719667</v>
      </c>
      <c r="D287" s="206">
        <f t="shared" ref="D287:L287" si="42">C287+D283</f>
        <v>756705420.46590948</v>
      </c>
      <c r="E287" s="206">
        <f t="shared" si="42"/>
        <v>756705420.46590948</v>
      </c>
      <c r="F287" s="206">
        <f t="shared" si="42"/>
        <v>756705420.46590948</v>
      </c>
      <c r="G287" s="206">
        <f t="shared" si="42"/>
        <v>756705420.46590948</v>
      </c>
      <c r="H287" s="206">
        <f t="shared" si="42"/>
        <v>756705420.46590948</v>
      </c>
      <c r="I287" s="206">
        <f t="shared" si="42"/>
        <v>756705420.46590948</v>
      </c>
      <c r="J287" s="206">
        <f t="shared" si="42"/>
        <v>756705420.46590948</v>
      </c>
      <c r="K287" s="206">
        <f t="shared" si="42"/>
        <v>756705420.46590948</v>
      </c>
      <c r="L287" s="206">
        <f t="shared" si="42"/>
        <v>756705420.46590948</v>
      </c>
      <c r="M287" s="206">
        <f t="shared" si="41"/>
        <v>756705420.46590948</v>
      </c>
    </row>
    <row r="289" spans="2:14">
      <c r="B289" s="198" t="s">
        <v>102</v>
      </c>
      <c r="C289" s="203">
        <v>2016</v>
      </c>
      <c r="D289" s="204">
        <v>2017</v>
      </c>
      <c r="E289" s="204">
        <v>2018</v>
      </c>
      <c r="F289" s="204">
        <v>2019</v>
      </c>
      <c r="G289" s="204">
        <v>2020</v>
      </c>
      <c r="H289" s="204">
        <v>2021</v>
      </c>
      <c r="I289" s="204">
        <v>2022</v>
      </c>
      <c r="J289" s="204">
        <v>2023</v>
      </c>
      <c r="K289" s="204">
        <v>2024</v>
      </c>
      <c r="L289" s="204">
        <v>2025</v>
      </c>
      <c r="M289" s="204">
        <v>2026</v>
      </c>
    </row>
    <row r="290" spans="2:14">
      <c r="B290" s="151" t="str">
        <f>B282</f>
        <v>Cloud</v>
      </c>
      <c r="C290" s="207">
        <v>0.57976641246958427</v>
      </c>
      <c r="D290" s="207">
        <f t="shared" ref="D290:L291" si="43">D286/C286-1</f>
        <v>0.70931567256474581</v>
      </c>
      <c r="E290" s="207">
        <f t="shared" si="43"/>
        <v>0</v>
      </c>
      <c r="F290" s="207">
        <f t="shared" si="43"/>
        <v>0</v>
      </c>
      <c r="G290" s="207">
        <f t="shared" si="43"/>
        <v>0</v>
      </c>
      <c r="H290" s="207">
        <f t="shared" si="43"/>
        <v>0</v>
      </c>
      <c r="I290" s="207">
        <f t="shared" si="43"/>
        <v>0</v>
      </c>
      <c r="J290" s="207">
        <f t="shared" si="43"/>
        <v>0</v>
      </c>
      <c r="K290" s="207">
        <f t="shared" si="43"/>
        <v>0</v>
      </c>
      <c r="L290" s="207">
        <f t="shared" si="43"/>
        <v>0</v>
      </c>
      <c r="M290" s="207">
        <f t="shared" ref="M290:M291" si="44">M286/L286-1</f>
        <v>0</v>
      </c>
      <c r="N290" s="273" t="s">
        <v>223</v>
      </c>
    </row>
    <row r="291" spans="2:14">
      <c r="B291" s="154" t="str">
        <f>B283</f>
        <v>Enterprise</v>
      </c>
      <c r="C291" s="209">
        <v>0.29766140339975111</v>
      </c>
      <c r="D291" s="209">
        <f t="shared" si="43"/>
        <v>0.26230998649061132</v>
      </c>
      <c r="E291" s="209">
        <f t="shared" si="43"/>
        <v>0</v>
      </c>
      <c r="F291" s="209">
        <f t="shared" si="43"/>
        <v>0</v>
      </c>
      <c r="G291" s="209">
        <f t="shared" si="43"/>
        <v>0</v>
      </c>
      <c r="H291" s="209">
        <f t="shared" si="43"/>
        <v>0</v>
      </c>
      <c r="I291" s="209">
        <f t="shared" si="43"/>
        <v>0</v>
      </c>
      <c r="J291" s="209">
        <f t="shared" si="43"/>
        <v>0</v>
      </c>
      <c r="K291" s="209">
        <f t="shared" si="43"/>
        <v>0</v>
      </c>
      <c r="L291" s="209">
        <f t="shared" si="43"/>
        <v>0</v>
      </c>
      <c r="M291" s="209">
        <f t="shared" si="44"/>
        <v>0</v>
      </c>
      <c r="N291" s="273" t="s">
        <v>224</v>
      </c>
    </row>
    <row r="323" s="198" customFormat="1"/>
    <row r="324" s="198" customFormat="1"/>
    <row r="325" s="198" customFormat="1"/>
    <row r="326" s="198" customFormat="1"/>
    <row r="327" s="198" customFormat="1"/>
    <row r="328" s="198" customFormat="1"/>
    <row r="329" s="198" customFormat="1"/>
    <row r="330" s="198" customFormat="1"/>
    <row r="331" s="198" customFormat="1"/>
    <row r="332" s="198" customFormat="1"/>
    <row r="333" s="198" customFormat="1"/>
    <row r="334" s="198" customFormat="1"/>
    <row r="335" s="198" customFormat="1"/>
    <row r="336" s="198" customFormat="1"/>
    <row r="337" s="198" customFormat="1"/>
    <row r="338" s="198" customFormat="1"/>
    <row r="339" s="198" customFormat="1"/>
    <row r="340" s="198" customFormat="1"/>
    <row r="341" s="198" customFormat="1"/>
  </sheetData>
  <pageMargins left="0.7" right="0.7" top="0.75" bottom="0.75" header="0.3" footer="0.3"/>
  <pageSetup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BU48"/>
  <sheetViews>
    <sheetView zoomScale="70" zoomScaleNormal="70" zoomScalePageLayoutView="70" workbookViewId="0">
      <selection activeCell="E4" sqref="E4:I4"/>
    </sheetView>
  </sheetViews>
  <sheetFormatPr defaultColWidth="8.81640625" defaultRowHeight="12.5" outlineLevelCol="1"/>
  <cols>
    <col min="1" max="1" width="4.453125" customWidth="1"/>
    <col min="2" max="2" width="22" customWidth="1"/>
    <col min="5" max="10" width="13.81640625" customWidth="1"/>
    <col min="11" max="12" width="11.453125" customWidth="1"/>
    <col min="13" max="15" width="11" customWidth="1"/>
    <col min="16" max="19" width="11" style="4" hidden="1" customWidth="1" outlineLevel="1"/>
    <col min="20" max="20" width="8.81640625" collapsed="1"/>
  </cols>
  <sheetData>
    <row r="1" spans="1:10" s="135" customFormat="1" ht="13"/>
    <row r="2" spans="1:10" s="135" customFormat="1" ht="18.5">
      <c r="A2" s="62"/>
      <c r="B2" s="6" t="str">
        <f>Introduction!$B$2</f>
        <v>LightCounting Ethernet Transceivers Forecast</v>
      </c>
    </row>
    <row r="3" spans="1:10" s="135" customFormat="1" ht="15.5">
      <c r="B3" s="43" t="str">
        <f>Introduction!B3</f>
        <v xml:space="preserve">Sample template for forecast published 31 March 2021 </v>
      </c>
      <c r="E3" s="677" t="s">
        <v>194</v>
      </c>
      <c r="F3" s="677"/>
      <c r="G3" s="677"/>
      <c r="H3" s="677"/>
      <c r="I3" s="678"/>
      <c r="J3" s="227" t="s">
        <v>110</v>
      </c>
    </row>
    <row r="4" spans="1:10" s="135" customFormat="1" ht="18.75" customHeight="1">
      <c r="A4" s="62"/>
      <c r="B4" s="6" t="s">
        <v>193</v>
      </c>
      <c r="E4" s="679" t="s">
        <v>433</v>
      </c>
      <c r="F4" s="680"/>
      <c r="G4" s="680"/>
      <c r="H4" s="680"/>
      <c r="I4" s="681"/>
      <c r="J4" s="228">
        <f>MATCH(E4,Telecom!P9:P70,0)</f>
        <v>54</v>
      </c>
    </row>
    <row r="5" spans="1:10" s="135" customFormat="1" ht="21">
      <c r="A5" s="138"/>
      <c r="B5" s="202"/>
      <c r="E5" s="134"/>
      <c r="F5" s="134"/>
      <c r="G5" s="134"/>
    </row>
    <row r="26" spans="1:20">
      <c r="M26" s="4"/>
      <c r="N26" s="4"/>
    </row>
    <row r="27" spans="1:20" s="4" customFormat="1" ht="14.5">
      <c r="A27" s="10"/>
      <c r="B27" s="184" t="s">
        <v>107</v>
      </c>
      <c r="C27" s="185"/>
      <c r="D27" s="185"/>
      <c r="E27" s="195">
        <v>2016</v>
      </c>
      <c r="F27" s="195">
        <v>2017</v>
      </c>
      <c r="G27" s="195">
        <v>2018</v>
      </c>
      <c r="H27" s="195">
        <v>2019</v>
      </c>
      <c r="I27" s="195">
        <v>2020</v>
      </c>
      <c r="J27" s="195">
        <v>2021</v>
      </c>
      <c r="K27" s="195">
        <v>2022</v>
      </c>
      <c r="L27" s="195">
        <v>2023</v>
      </c>
      <c r="M27" s="195">
        <v>2024</v>
      </c>
      <c r="N27" s="231">
        <v>2025</v>
      </c>
      <c r="O27" s="231">
        <v>2026</v>
      </c>
      <c r="P27" s="231">
        <v>2027</v>
      </c>
      <c r="Q27" s="231">
        <v>2028</v>
      </c>
      <c r="R27" s="231">
        <v>2029</v>
      </c>
      <c r="S27" s="231">
        <v>2030</v>
      </c>
    </row>
    <row r="28" spans="1:20" s="4" customFormat="1" ht="17.25" customHeight="1">
      <c r="A28" s="10"/>
      <c r="B28" s="186" t="s">
        <v>18</v>
      </c>
      <c r="C28" s="70"/>
      <c r="D28" s="220" t="str">
        <f>'Products x segment'!B32</f>
        <v>Telecom</v>
      </c>
      <c r="E28" s="21">
        <f t="shared" ref="E28:M28" si="0">INDEX((VolTEL),$J$4,MATCH(E$27,$E$27:$N$27,0)+3)</f>
        <v>0</v>
      </c>
      <c r="F28" s="21">
        <f t="shared" si="0"/>
        <v>0</v>
      </c>
      <c r="G28" s="21">
        <f t="shared" si="0"/>
        <v>0</v>
      </c>
      <c r="H28" s="21">
        <f t="shared" si="0"/>
        <v>0</v>
      </c>
      <c r="I28" s="21">
        <f t="shared" si="0"/>
        <v>0</v>
      </c>
      <c r="J28" s="21">
        <f t="shared" si="0"/>
        <v>0</v>
      </c>
      <c r="K28" s="21">
        <f t="shared" si="0"/>
        <v>0</v>
      </c>
      <c r="L28" s="21">
        <f t="shared" si="0"/>
        <v>0</v>
      </c>
      <c r="M28" s="21">
        <f t="shared" si="0"/>
        <v>0</v>
      </c>
      <c r="N28" s="21">
        <f t="shared" ref="N28:S28" si="1">INDEX((VolTEL),$J$4,MATCH(N$27,$E$27:$S$27,0)+3)</f>
        <v>0</v>
      </c>
      <c r="O28" s="21">
        <f t="shared" si="1"/>
        <v>0</v>
      </c>
      <c r="P28" s="21" t="e">
        <f t="shared" si="1"/>
        <v>#REF!</v>
      </c>
      <c r="Q28" s="21" t="e">
        <f t="shared" si="1"/>
        <v>#REF!</v>
      </c>
      <c r="R28" s="21" t="e">
        <f t="shared" si="1"/>
        <v>#REF!</v>
      </c>
      <c r="S28" s="21" t="e">
        <f t="shared" si="1"/>
        <v>#REF!</v>
      </c>
    </row>
    <row r="29" spans="1:20" s="4" customFormat="1" ht="14.5" customHeight="1">
      <c r="A29" s="10"/>
      <c r="B29" s="188"/>
      <c r="C29" s="68"/>
      <c r="D29" s="221" t="str">
        <f>'Products x segment'!B33</f>
        <v>Cloud</v>
      </c>
      <c r="E29" s="21">
        <f t="shared" ref="E29:M29" si="2">INDEX((VolDCM),$J$4,MATCH(E$27,$E$27:$N$27,0)+3)</f>
        <v>0</v>
      </c>
      <c r="F29" s="21">
        <f t="shared" si="2"/>
        <v>0</v>
      </c>
      <c r="G29" s="21">
        <f t="shared" si="2"/>
        <v>0</v>
      </c>
      <c r="H29" s="21">
        <f t="shared" si="2"/>
        <v>0</v>
      </c>
      <c r="I29" s="21">
        <f t="shared" si="2"/>
        <v>0</v>
      </c>
      <c r="J29" s="21">
        <f t="shared" si="2"/>
        <v>0</v>
      </c>
      <c r="K29" s="21">
        <f t="shared" si="2"/>
        <v>0</v>
      </c>
      <c r="L29" s="21">
        <f t="shared" si="2"/>
        <v>0</v>
      </c>
      <c r="M29" s="21">
        <f t="shared" si="2"/>
        <v>0</v>
      </c>
      <c r="N29" s="21">
        <f t="shared" ref="N29:S29" si="3">INDEX((VolDCM),$J$4,MATCH(N$27,$E$27:$S$27,0)+3)</f>
        <v>0</v>
      </c>
      <c r="O29" s="21">
        <f t="shared" si="3"/>
        <v>0</v>
      </c>
      <c r="P29" s="21" t="e">
        <f t="shared" si="3"/>
        <v>#REF!</v>
      </c>
      <c r="Q29" s="21" t="e">
        <f t="shared" si="3"/>
        <v>#REF!</v>
      </c>
      <c r="R29" s="21" t="e">
        <f t="shared" si="3"/>
        <v>#REF!</v>
      </c>
      <c r="S29" s="21" t="e">
        <f t="shared" si="3"/>
        <v>#REF!</v>
      </c>
      <c r="T29" s="80"/>
    </row>
    <row r="30" spans="1:20" s="4" customFormat="1" ht="15.5">
      <c r="B30" s="73"/>
      <c r="C30" s="19"/>
      <c r="D30" s="222" t="str">
        <f>'Products x segment'!B34</f>
        <v>Enterprise</v>
      </c>
      <c r="E30" s="61">
        <f t="shared" ref="E30:M30" si="4">INDEX((VolDCE),$J$4,MATCH(E$27,$E$27:$N$27,0)+3)</f>
        <v>0</v>
      </c>
      <c r="F30" s="61">
        <f t="shared" si="4"/>
        <v>0</v>
      </c>
      <c r="G30" s="61">
        <f t="shared" si="4"/>
        <v>0</v>
      </c>
      <c r="H30" s="61">
        <f t="shared" si="4"/>
        <v>0</v>
      </c>
      <c r="I30" s="61">
        <f t="shared" si="4"/>
        <v>0</v>
      </c>
      <c r="J30" s="61">
        <f t="shared" si="4"/>
        <v>0</v>
      </c>
      <c r="K30" s="61">
        <f t="shared" si="4"/>
        <v>0</v>
      </c>
      <c r="L30" s="61">
        <f t="shared" si="4"/>
        <v>0</v>
      </c>
      <c r="M30" s="61">
        <f t="shared" si="4"/>
        <v>0</v>
      </c>
      <c r="N30" s="61">
        <f t="shared" ref="N30:S30" si="5">INDEX((VolDCE),$J$4,MATCH(N$27,$E$27:$S$27,0)+3)</f>
        <v>0</v>
      </c>
      <c r="O30" s="61">
        <f t="shared" si="5"/>
        <v>0</v>
      </c>
      <c r="P30" s="61" t="e">
        <f t="shared" si="5"/>
        <v>#REF!</v>
      </c>
      <c r="Q30" s="61" t="e">
        <f t="shared" si="5"/>
        <v>#REF!</v>
      </c>
      <c r="R30" s="61" t="e">
        <f t="shared" si="5"/>
        <v>#REF!</v>
      </c>
      <c r="S30" s="61" t="e">
        <f t="shared" si="5"/>
        <v>#REF!</v>
      </c>
      <c r="T30" s="37" t="s">
        <v>111</v>
      </c>
    </row>
    <row r="31" spans="1:20" s="4" customFormat="1" ht="14.5">
      <c r="A31" s="10"/>
      <c r="B31" s="186" t="s">
        <v>30</v>
      </c>
      <c r="C31" s="70"/>
      <c r="D31" s="223" t="str">
        <f>D28</f>
        <v>Telecom</v>
      </c>
      <c r="E31" s="173">
        <f>IF(E28=0,,E34*10^6/E28)</f>
        <v>0</v>
      </c>
      <c r="F31" s="173">
        <f t="shared" ref="F31:N31" si="6">IF(F28=0,,F34*10^6/F28)</f>
        <v>0</v>
      </c>
      <c r="G31" s="173">
        <f t="shared" si="6"/>
        <v>0</v>
      </c>
      <c r="H31" s="173">
        <f t="shared" si="6"/>
        <v>0</v>
      </c>
      <c r="I31" s="173">
        <f t="shared" si="6"/>
        <v>0</v>
      </c>
      <c r="J31" s="173">
        <f t="shared" si="6"/>
        <v>0</v>
      </c>
      <c r="K31" s="173">
        <f t="shared" si="6"/>
        <v>0</v>
      </c>
      <c r="L31" s="173">
        <f t="shared" si="6"/>
        <v>0</v>
      </c>
      <c r="M31" s="173">
        <f t="shared" si="6"/>
        <v>0</v>
      </c>
      <c r="N31" s="173">
        <f t="shared" si="6"/>
        <v>0</v>
      </c>
      <c r="O31" s="173">
        <f t="shared" ref="O31:R31" si="7">IF(O28=0,,O34*10^6/O28)</f>
        <v>0</v>
      </c>
      <c r="P31" s="173" t="e">
        <f t="shared" si="7"/>
        <v>#REF!</v>
      </c>
      <c r="Q31" s="173" t="e">
        <f t="shared" si="7"/>
        <v>#REF!</v>
      </c>
      <c r="R31" s="173" t="e">
        <f t="shared" si="7"/>
        <v>#REF!</v>
      </c>
      <c r="S31" s="173" t="e">
        <f t="shared" ref="S31" si="8">IF(S28=0,,S34*10^6/S28)</f>
        <v>#REF!</v>
      </c>
      <c r="T31" s="230" t="s">
        <v>112</v>
      </c>
    </row>
    <row r="32" spans="1:20" s="4" customFormat="1" ht="13">
      <c r="B32" s="73"/>
      <c r="C32" s="19"/>
      <c r="D32" s="224" t="str">
        <f>D29</f>
        <v>Cloud</v>
      </c>
      <c r="E32" s="175">
        <f t="shared" ref="E32:N33" si="9">IF(E29=0,,E35*10^6/E29)</f>
        <v>0</v>
      </c>
      <c r="F32" s="175">
        <f t="shared" si="9"/>
        <v>0</v>
      </c>
      <c r="G32" s="175">
        <f t="shared" si="9"/>
        <v>0</v>
      </c>
      <c r="H32" s="175">
        <f t="shared" si="9"/>
        <v>0</v>
      </c>
      <c r="I32" s="175">
        <f t="shared" si="9"/>
        <v>0</v>
      </c>
      <c r="J32" s="175">
        <f t="shared" si="9"/>
        <v>0</v>
      </c>
      <c r="K32" s="175">
        <f t="shared" si="9"/>
        <v>0</v>
      </c>
      <c r="L32" s="175">
        <f t="shared" si="9"/>
        <v>0</v>
      </c>
      <c r="M32" s="175">
        <f t="shared" si="9"/>
        <v>0</v>
      </c>
      <c r="N32" s="175">
        <f t="shared" si="9"/>
        <v>0</v>
      </c>
      <c r="O32" s="175">
        <f t="shared" ref="O32:R32" si="10">IF(O29=0,,O35*10^6/O29)</f>
        <v>0</v>
      </c>
      <c r="P32" s="175" t="e">
        <f t="shared" si="10"/>
        <v>#REF!</v>
      </c>
      <c r="Q32" s="175" t="e">
        <f t="shared" si="10"/>
        <v>#REF!</v>
      </c>
      <c r="R32" s="175" t="e">
        <f t="shared" si="10"/>
        <v>#REF!</v>
      </c>
      <c r="S32" s="175" t="e">
        <f t="shared" ref="S32" si="11">IF(S29=0,,S35*10^6/S29)</f>
        <v>#REF!</v>
      </c>
    </row>
    <row r="33" spans="1:73" s="4" customFormat="1" ht="13">
      <c r="B33" s="48"/>
      <c r="C33" s="49"/>
      <c r="D33" s="224" t="str">
        <f>D30</f>
        <v>Enterprise</v>
      </c>
      <c r="E33" s="171">
        <f t="shared" si="9"/>
        <v>0</v>
      </c>
      <c r="F33" s="171">
        <f t="shared" si="9"/>
        <v>0</v>
      </c>
      <c r="G33" s="171">
        <f t="shared" si="9"/>
        <v>0</v>
      </c>
      <c r="H33" s="171">
        <f t="shared" si="9"/>
        <v>0</v>
      </c>
      <c r="I33" s="171">
        <f t="shared" si="9"/>
        <v>0</v>
      </c>
      <c r="J33" s="171">
        <f t="shared" si="9"/>
        <v>0</v>
      </c>
      <c r="K33" s="171">
        <f t="shared" si="9"/>
        <v>0</v>
      </c>
      <c r="L33" s="171">
        <f t="shared" si="9"/>
        <v>0</v>
      </c>
      <c r="M33" s="171">
        <f t="shared" si="9"/>
        <v>0</v>
      </c>
      <c r="N33" s="171">
        <f t="shared" si="9"/>
        <v>0</v>
      </c>
      <c r="O33" s="171">
        <f t="shared" ref="O33:R33" si="12">IF(O30=0,,O36*10^6/O30)</f>
        <v>0</v>
      </c>
      <c r="P33" s="171" t="e">
        <f t="shared" si="12"/>
        <v>#REF!</v>
      </c>
      <c r="Q33" s="171" t="e">
        <f t="shared" si="12"/>
        <v>#REF!</v>
      </c>
      <c r="R33" s="171" t="e">
        <f t="shared" si="12"/>
        <v>#REF!</v>
      </c>
      <c r="S33" s="171" t="e">
        <f t="shared" ref="S33" si="13">IF(S30=0,,S36*10^6/S30)</f>
        <v>#REF!</v>
      </c>
      <c r="T33" s="80"/>
    </row>
    <row r="34" spans="1:73" s="4" customFormat="1" ht="14.5">
      <c r="A34" s="10"/>
      <c r="B34" s="186" t="s">
        <v>29</v>
      </c>
      <c r="C34" s="70"/>
      <c r="D34" s="223" t="str">
        <f>D28</f>
        <v>Telecom</v>
      </c>
      <c r="E34" s="173">
        <f t="shared" ref="E34:M34" si="14">INDEX((RevTEL),$J$4,MATCH(E$27,$E$27:$N$27,0)+3)</f>
        <v>0</v>
      </c>
      <c r="F34" s="173">
        <f t="shared" si="14"/>
        <v>0</v>
      </c>
      <c r="G34" s="173">
        <f t="shared" si="14"/>
        <v>0</v>
      </c>
      <c r="H34" s="173">
        <f t="shared" si="14"/>
        <v>0</v>
      </c>
      <c r="I34" s="173">
        <f t="shared" si="14"/>
        <v>0</v>
      </c>
      <c r="J34" s="173">
        <f t="shared" si="14"/>
        <v>0</v>
      </c>
      <c r="K34" s="173">
        <f t="shared" si="14"/>
        <v>0</v>
      </c>
      <c r="L34" s="173">
        <f t="shared" si="14"/>
        <v>0</v>
      </c>
      <c r="M34" s="173">
        <f t="shared" si="14"/>
        <v>0</v>
      </c>
      <c r="N34" s="173">
        <f t="shared" ref="N34:S34" si="15">INDEX((RevTEL),$J$4,MATCH(N$27,$E$27:$S$27,0)+3)</f>
        <v>0</v>
      </c>
      <c r="O34" s="173">
        <f t="shared" si="15"/>
        <v>0</v>
      </c>
      <c r="P34" s="173" t="e">
        <f t="shared" si="15"/>
        <v>#REF!</v>
      </c>
      <c r="Q34" s="173" t="e">
        <f t="shared" si="15"/>
        <v>#REF!</v>
      </c>
      <c r="R34" s="173" t="e">
        <f t="shared" si="15"/>
        <v>#REF!</v>
      </c>
      <c r="S34" s="173" t="e">
        <f t="shared" si="15"/>
        <v>#REF!</v>
      </c>
      <c r="T34" s="80"/>
    </row>
    <row r="35" spans="1:73" s="4" customFormat="1" ht="14.5">
      <c r="A35" s="10"/>
      <c r="B35" s="73"/>
      <c r="C35" s="19"/>
      <c r="D35" s="224" t="str">
        <f>D29</f>
        <v>Cloud</v>
      </c>
      <c r="E35" s="175">
        <f t="shared" ref="E35:M35" si="16">INDEX((RevDCM),$J$4,MATCH(E$27,$E$27:$N$27,0)+3)</f>
        <v>0</v>
      </c>
      <c r="F35" s="175">
        <f t="shared" si="16"/>
        <v>0</v>
      </c>
      <c r="G35" s="175">
        <f t="shared" si="16"/>
        <v>0</v>
      </c>
      <c r="H35" s="175">
        <f t="shared" si="16"/>
        <v>0</v>
      </c>
      <c r="I35" s="175">
        <f t="shared" si="16"/>
        <v>0</v>
      </c>
      <c r="J35" s="175">
        <f t="shared" si="16"/>
        <v>0</v>
      </c>
      <c r="K35" s="175">
        <f t="shared" si="16"/>
        <v>0</v>
      </c>
      <c r="L35" s="175">
        <f t="shared" si="16"/>
        <v>0</v>
      </c>
      <c r="M35" s="175">
        <f t="shared" si="16"/>
        <v>0</v>
      </c>
      <c r="N35" s="175">
        <f t="shared" ref="N35:S35" si="17">INDEX((RevDCM),$J$4,MATCH(N$27,$E$27:$S$27,0)+3)</f>
        <v>0</v>
      </c>
      <c r="O35" s="175">
        <f t="shared" si="17"/>
        <v>0</v>
      </c>
      <c r="P35" s="175" t="e">
        <f t="shared" si="17"/>
        <v>#REF!</v>
      </c>
      <c r="Q35" s="175" t="e">
        <f t="shared" si="17"/>
        <v>#REF!</v>
      </c>
      <c r="R35" s="175" t="e">
        <f t="shared" si="17"/>
        <v>#REF!</v>
      </c>
      <c r="S35" s="175" t="e">
        <f t="shared" si="17"/>
        <v>#REF!</v>
      </c>
      <c r="T35" s="80" t="s">
        <v>469</v>
      </c>
      <c r="AN35" s="71"/>
      <c r="AO35" s="68"/>
      <c r="AP35" s="68"/>
      <c r="AQ35" s="68"/>
      <c r="AR35" s="68"/>
      <c r="AS35" s="68"/>
      <c r="AT35" s="68"/>
      <c r="AU35" s="68"/>
      <c r="AV35" s="68"/>
      <c r="AW35" s="68"/>
      <c r="AX35" s="68"/>
      <c r="AY35" s="68"/>
      <c r="AZ35" s="68"/>
      <c r="BA35" s="68"/>
      <c r="BB35" s="68"/>
      <c r="BC35" s="68"/>
      <c r="BD35" s="68"/>
      <c r="BE35" s="68"/>
      <c r="BF35" s="68"/>
      <c r="BG35" s="72"/>
      <c r="BH35" s="72"/>
      <c r="BI35" s="72"/>
      <c r="BJ35" s="72"/>
      <c r="BK35" s="72"/>
      <c r="BL35" s="72"/>
      <c r="BM35" s="72"/>
      <c r="BN35" s="72"/>
      <c r="BO35" s="72"/>
      <c r="BP35" s="72"/>
      <c r="BQ35" s="72"/>
      <c r="BR35" s="72"/>
      <c r="BS35" s="72"/>
      <c r="BT35" s="72"/>
      <c r="BU35" s="72"/>
    </row>
    <row r="36" spans="1:73" s="4" customFormat="1" ht="14.5">
      <c r="A36" s="10"/>
      <c r="B36" s="48"/>
      <c r="C36" s="49"/>
      <c r="D36" s="226" t="str">
        <f>D30</f>
        <v>Enterprise</v>
      </c>
      <c r="E36" s="171">
        <f t="shared" ref="E36:M36" si="18">INDEX((RevDCE),$J$4,MATCH(E$27,$E$27:$N$27,0)+3)</f>
        <v>0</v>
      </c>
      <c r="F36" s="171">
        <f t="shared" si="18"/>
        <v>0</v>
      </c>
      <c r="G36" s="171">
        <f t="shared" si="18"/>
        <v>0</v>
      </c>
      <c r="H36" s="171">
        <f t="shared" si="18"/>
        <v>0</v>
      </c>
      <c r="I36" s="171">
        <f t="shared" si="18"/>
        <v>0</v>
      </c>
      <c r="J36" s="171">
        <f t="shared" si="18"/>
        <v>0</v>
      </c>
      <c r="K36" s="171">
        <f t="shared" si="18"/>
        <v>0</v>
      </c>
      <c r="L36" s="171">
        <f t="shared" si="18"/>
        <v>0</v>
      </c>
      <c r="M36" s="171">
        <f t="shared" si="18"/>
        <v>0</v>
      </c>
      <c r="N36" s="171">
        <f t="shared" ref="N36:S36" si="19">INDEX((RevDCE),$J$4,MATCH(N$27,$E$27:$S$27,0)+3)</f>
        <v>0</v>
      </c>
      <c r="O36" s="171">
        <f t="shared" si="19"/>
        <v>0</v>
      </c>
      <c r="P36" s="171" t="e">
        <f t="shared" si="19"/>
        <v>#REF!</v>
      </c>
      <c r="Q36" s="171" t="e">
        <f t="shared" si="19"/>
        <v>#REF!</v>
      </c>
      <c r="R36" s="171" t="e">
        <f t="shared" si="19"/>
        <v>#REF!</v>
      </c>
      <c r="S36" s="171" t="e">
        <f t="shared" si="19"/>
        <v>#REF!</v>
      </c>
      <c r="T36" s="80"/>
      <c r="AN36" s="71"/>
      <c r="AO36" s="68"/>
      <c r="AP36" s="68"/>
      <c r="AQ36" s="68"/>
      <c r="AR36" s="68"/>
      <c r="AS36" s="68"/>
      <c r="AT36" s="68"/>
      <c r="AU36" s="68"/>
      <c r="AV36" s="68"/>
      <c r="AW36" s="68"/>
      <c r="AX36" s="68"/>
      <c r="AY36" s="68"/>
      <c r="AZ36" s="68"/>
      <c r="BA36" s="68"/>
      <c r="BB36" s="68"/>
      <c r="BC36" s="68"/>
      <c r="BD36" s="68"/>
      <c r="BE36" s="68"/>
      <c r="BF36" s="68"/>
      <c r="BG36" s="72"/>
      <c r="BH36" s="72"/>
      <c r="BI36" s="72"/>
      <c r="BJ36" s="72"/>
      <c r="BK36" s="72"/>
      <c r="BL36" s="72"/>
      <c r="BM36" s="72"/>
      <c r="BN36" s="72"/>
      <c r="BO36" s="72"/>
      <c r="BP36" s="72"/>
      <c r="BQ36" s="72"/>
      <c r="BR36" s="72"/>
      <c r="BS36" s="72"/>
      <c r="BT36" s="72"/>
      <c r="BU36" s="72"/>
    </row>
    <row r="37" spans="1:73" ht="13">
      <c r="B37" s="277" t="s">
        <v>109</v>
      </c>
      <c r="C37" s="278"/>
      <c r="D37" s="567" t="str">
        <f>D28</f>
        <v>Telecom</v>
      </c>
      <c r="E37" s="274">
        <f>IF(SUM(E28:E30)=0,,E28/SUM(E$28:E$30))</f>
        <v>0</v>
      </c>
      <c r="F37" s="274">
        <f>IF(SUM(F28:F30)=0,,F28/SUM(F$28:F$30))</f>
        <v>0</v>
      </c>
      <c r="G37" s="274">
        <f>IF(SUM(G28:G30)=0,,G28/SUM(G$28:G$30))</f>
        <v>0</v>
      </c>
      <c r="H37" s="274">
        <f>IF(SUM(H28:H30)=0,,H28/SUM(H$28:H$30))</f>
        <v>0</v>
      </c>
      <c r="I37" s="274">
        <f>IF(SUM(I28:I30)=0,,I28/SUM(I$28:I$30))</f>
        <v>0</v>
      </c>
      <c r="J37" s="274">
        <f t="shared" ref="J37:K39" si="20">IF(SUM(J28:J30)=0,,J28/SUM(J$28:J$30))</f>
        <v>0</v>
      </c>
      <c r="K37" s="274">
        <f t="shared" si="20"/>
        <v>0</v>
      </c>
      <c r="L37" s="274">
        <f t="shared" ref="L37:N39" si="21">IF(SUM(L28:L30)=0,,L28/SUM(L$28:L$30))</f>
        <v>0</v>
      </c>
      <c r="M37" s="274">
        <f t="shared" si="21"/>
        <v>0</v>
      </c>
      <c r="N37" s="274">
        <f t="shared" si="21"/>
        <v>0</v>
      </c>
      <c r="O37" s="274">
        <f t="shared" ref="O37:R37" si="22">IF(SUM(O28:O30)=0,,O28/SUM(O$28:O$30))</f>
        <v>0</v>
      </c>
      <c r="P37" s="274" t="e">
        <f t="shared" si="22"/>
        <v>#REF!</v>
      </c>
      <c r="Q37" s="274" t="e">
        <f t="shared" si="22"/>
        <v>#REF!</v>
      </c>
      <c r="R37" s="274" t="e">
        <f t="shared" si="22"/>
        <v>#REF!</v>
      </c>
      <c r="S37" s="274" t="e">
        <f t="shared" ref="S37" si="23">IF(SUM(S28:S30)=0,,S28/SUM(S$28:S$30))</f>
        <v>#REF!</v>
      </c>
      <c r="T37" s="80"/>
      <c r="U37" s="4"/>
      <c r="V37" s="4"/>
    </row>
    <row r="38" spans="1:73" ht="13">
      <c r="B38" s="279"/>
      <c r="C38" s="280"/>
      <c r="D38" s="568" t="str">
        <f>D29</f>
        <v>Cloud</v>
      </c>
      <c r="E38" s="274">
        <f t="shared" ref="E38:I39" si="24">IF(SUM(E29:E31)=0,,E29/SUM(E$28:E$30))</f>
        <v>0</v>
      </c>
      <c r="F38" s="274">
        <f t="shared" si="24"/>
        <v>0</v>
      </c>
      <c r="G38" s="274">
        <f t="shared" si="24"/>
        <v>0</v>
      </c>
      <c r="H38" s="274">
        <f t="shared" si="24"/>
        <v>0</v>
      </c>
      <c r="I38" s="274">
        <f t="shared" si="24"/>
        <v>0</v>
      </c>
      <c r="J38" s="274">
        <f t="shared" si="20"/>
        <v>0</v>
      </c>
      <c r="K38" s="274">
        <f t="shared" si="20"/>
        <v>0</v>
      </c>
      <c r="L38" s="274">
        <f t="shared" si="21"/>
        <v>0</v>
      </c>
      <c r="M38" s="274">
        <f t="shared" si="21"/>
        <v>0</v>
      </c>
      <c r="N38" s="274">
        <f t="shared" si="21"/>
        <v>0</v>
      </c>
      <c r="O38" s="274">
        <f t="shared" ref="O38:R38" si="25">IF(SUM(O29:O31)=0,,O29/SUM(O$28:O$30))</f>
        <v>0</v>
      </c>
      <c r="P38" s="274" t="e">
        <f t="shared" si="25"/>
        <v>#REF!</v>
      </c>
      <c r="Q38" s="274" t="e">
        <f t="shared" si="25"/>
        <v>#REF!</v>
      </c>
      <c r="R38" s="274" t="e">
        <f t="shared" si="25"/>
        <v>#REF!</v>
      </c>
      <c r="S38" s="274" t="e">
        <f t="shared" ref="S38" si="26">IF(SUM(S29:S31)=0,,S29/SUM(S$28:S$30))</f>
        <v>#REF!</v>
      </c>
      <c r="T38" s="80"/>
      <c r="U38" s="4"/>
      <c r="V38" s="4"/>
    </row>
    <row r="39" spans="1:73" ht="13">
      <c r="B39" s="298"/>
      <c r="C39" s="299"/>
      <c r="D39" s="569" t="str">
        <f>D30</f>
        <v>Enterprise</v>
      </c>
      <c r="E39" s="274">
        <f t="shared" si="24"/>
        <v>0</v>
      </c>
      <c r="F39" s="274">
        <f t="shared" si="24"/>
        <v>0</v>
      </c>
      <c r="G39" s="274">
        <f t="shared" si="24"/>
        <v>0</v>
      </c>
      <c r="H39" s="274">
        <f t="shared" si="24"/>
        <v>0</v>
      </c>
      <c r="I39" s="274">
        <f t="shared" si="24"/>
        <v>0</v>
      </c>
      <c r="J39" s="274">
        <f t="shared" si="20"/>
        <v>0</v>
      </c>
      <c r="K39" s="274">
        <f t="shared" si="20"/>
        <v>0</v>
      </c>
      <c r="L39" s="274">
        <f t="shared" si="21"/>
        <v>0</v>
      </c>
      <c r="M39" s="274">
        <f t="shared" si="21"/>
        <v>0</v>
      </c>
      <c r="N39" s="274">
        <f t="shared" si="21"/>
        <v>0</v>
      </c>
      <c r="O39" s="274">
        <f t="shared" ref="O39:R39" si="27">IF(SUM(O30:O32)=0,,O30/SUM(O$28:O$30))</f>
        <v>0</v>
      </c>
      <c r="P39" s="274" t="e">
        <f t="shared" si="27"/>
        <v>#REF!</v>
      </c>
      <c r="Q39" s="274" t="e">
        <f t="shared" si="27"/>
        <v>#REF!</v>
      </c>
      <c r="R39" s="274" t="e">
        <f t="shared" si="27"/>
        <v>#REF!</v>
      </c>
      <c r="S39" s="274" t="e">
        <f t="shared" ref="S39" si="28">IF(SUM(S30:S32)=0,,S30/SUM(S$28:S$30))</f>
        <v>#REF!</v>
      </c>
      <c r="T39" s="80"/>
    </row>
    <row r="40" spans="1:73" ht="13">
      <c r="B40" s="277" t="str">
        <f>"Total "&amp;B28</f>
        <v>Total Shipments (devices)</v>
      </c>
      <c r="C40" s="278"/>
      <c r="D40" s="570"/>
      <c r="E40" s="538">
        <f t="shared" ref="E40:N40" si="29">SUM(E28:E30)</f>
        <v>0</v>
      </c>
      <c r="F40" s="538">
        <f t="shared" si="29"/>
        <v>0</v>
      </c>
      <c r="G40" s="538">
        <f t="shared" si="29"/>
        <v>0</v>
      </c>
      <c r="H40" s="538">
        <f t="shared" si="29"/>
        <v>0</v>
      </c>
      <c r="I40" s="538">
        <f t="shared" si="29"/>
        <v>0</v>
      </c>
      <c r="J40" s="538">
        <f t="shared" si="29"/>
        <v>0</v>
      </c>
      <c r="K40" s="538">
        <f t="shared" si="29"/>
        <v>0</v>
      </c>
      <c r="L40" s="538">
        <f t="shared" si="29"/>
        <v>0</v>
      </c>
      <c r="M40" s="538">
        <f t="shared" si="29"/>
        <v>0</v>
      </c>
      <c r="N40" s="538">
        <f t="shared" si="29"/>
        <v>0</v>
      </c>
      <c r="O40" s="538">
        <f t="shared" ref="O40:R40" si="30">SUM(O28:O30)</f>
        <v>0</v>
      </c>
      <c r="P40" s="538" t="e">
        <f t="shared" si="30"/>
        <v>#REF!</v>
      </c>
      <c r="Q40" s="538" t="e">
        <f t="shared" si="30"/>
        <v>#REF!</v>
      </c>
      <c r="R40" s="538" t="e">
        <f t="shared" si="30"/>
        <v>#REF!</v>
      </c>
      <c r="S40" s="538" t="e">
        <f t="shared" ref="S40" si="31">SUM(S28:S30)</f>
        <v>#REF!</v>
      </c>
    </row>
    <row r="41" spans="1:73" ht="13">
      <c r="B41" s="279" t="str">
        <f>"Total "&amp;B31</f>
        <v>Total A.S.P. ($)</v>
      </c>
      <c r="C41" s="280"/>
      <c r="D41" s="301"/>
      <c r="E41" s="282">
        <f t="shared" ref="E41:N41" si="32">IF(E40=0,,E42*10^6/E40)</f>
        <v>0</v>
      </c>
      <c r="F41" s="282">
        <f t="shared" si="32"/>
        <v>0</v>
      </c>
      <c r="G41" s="282">
        <f t="shared" si="32"/>
        <v>0</v>
      </c>
      <c r="H41" s="282">
        <f t="shared" si="32"/>
        <v>0</v>
      </c>
      <c r="I41" s="282">
        <f t="shared" si="32"/>
        <v>0</v>
      </c>
      <c r="J41" s="282">
        <f t="shared" si="32"/>
        <v>0</v>
      </c>
      <c r="K41" s="282">
        <f t="shared" si="32"/>
        <v>0</v>
      </c>
      <c r="L41" s="282">
        <f t="shared" si="32"/>
        <v>0</v>
      </c>
      <c r="M41" s="282">
        <f t="shared" si="32"/>
        <v>0</v>
      </c>
      <c r="N41" s="282">
        <f t="shared" si="32"/>
        <v>0</v>
      </c>
      <c r="O41" s="282">
        <f t="shared" ref="O41:R41" si="33">IF(O40=0,,O42*10^6/O40)</f>
        <v>0</v>
      </c>
      <c r="P41" s="282" t="e">
        <f t="shared" si="33"/>
        <v>#REF!</v>
      </c>
      <c r="Q41" s="282" t="e">
        <f t="shared" si="33"/>
        <v>#REF!</v>
      </c>
      <c r="R41" s="282" t="e">
        <f t="shared" si="33"/>
        <v>#REF!</v>
      </c>
      <c r="S41" s="282" t="e">
        <f t="shared" ref="S41" si="34">IF(S40=0,,S42*10^6/S40)</f>
        <v>#REF!</v>
      </c>
    </row>
    <row r="42" spans="1:73" ht="13">
      <c r="B42" s="298" t="str">
        <f>"Total "&amp;B34</f>
        <v>Total Revenues ($ million)</v>
      </c>
      <c r="C42" s="299"/>
      <c r="D42" s="300"/>
      <c r="E42" s="540">
        <f t="shared" ref="E42:N42" si="35">SUM(E34:E36)</f>
        <v>0</v>
      </c>
      <c r="F42" s="540">
        <f t="shared" si="35"/>
        <v>0</v>
      </c>
      <c r="G42" s="540">
        <f t="shared" si="35"/>
        <v>0</v>
      </c>
      <c r="H42" s="540">
        <f t="shared" si="35"/>
        <v>0</v>
      </c>
      <c r="I42" s="540">
        <f t="shared" si="35"/>
        <v>0</v>
      </c>
      <c r="J42" s="540">
        <f t="shared" si="35"/>
        <v>0</v>
      </c>
      <c r="K42" s="540">
        <f t="shared" si="35"/>
        <v>0</v>
      </c>
      <c r="L42" s="540">
        <f t="shared" si="35"/>
        <v>0</v>
      </c>
      <c r="M42" s="540">
        <f t="shared" si="35"/>
        <v>0</v>
      </c>
      <c r="N42" s="540">
        <f t="shared" si="35"/>
        <v>0</v>
      </c>
      <c r="O42" s="540">
        <f t="shared" ref="O42:R42" si="36">SUM(O34:O36)</f>
        <v>0</v>
      </c>
      <c r="P42" s="540" t="e">
        <f t="shared" si="36"/>
        <v>#REF!</v>
      </c>
      <c r="Q42" s="540" t="e">
        <f t="shared" si="36"/>
        <v>#REF!</v>
      </c>
      <c r="R42" s="540" t="e">
        <f t="shared" si="36"/>
        <v>#REF!</v>
      </c>
      <c r="S42" s="540" t="e">
        <f t="shared" ref="S42" si="37">SUM(S34:S36)</f>
        <v>#REF!</v>
      </c>
    </row>
    <row r="43" spans="1:73" ht="14.5">
      <c r="E43" s="196" t="e">
        <f>E40/#REF!-1</f>
        <v>#REF!</v>
      </c>
      <c r="F43" s="196" t="e">
        <f t="shared" ref="F43:L43" si="38">F40/E40-1</f>
        <v>#DIV/0!</v>
      </c>
      <c r="G43" s="196" t="e">
        <f t="shared" si="38"/>
        <v>#DIV/0!</v>
      </c>
      <c r="H43" s="196" t="e">
        <f t="shared" si="38"/>
        <v>#DIV/0!</v>
      </c>
      <c r="I43" s="196" t="e">
        <f t="shared" si="38"/>
        <v>#DIV/0!</v>
      </c>
      <c r="J43" s="197" t="e">
        <f t="shared" si="38"/>
        <v>#DIV/0!</v>
      </c>
      <c r="K43" s="197" t="e">
        <f t="shared" si="38"/>
        <v>#DIV/0!</v>
      </c>
      <c r="L43" s="197" t="e">
        <f t="shared" si="38"/>
        <v>#DIV/0!</v>
      </c>
      <c r="M43" s="197" t="e">
        <f>M40/L40-1</f>
        <v>#DIV/0!</v>
      </c>
      <c r="N43" s="197" t="e">
        <f>N40/M40-1</f>
        <v>#DIV/0!</v>
      </c>
      <c r="O43" s="197" t="e">
        <f>O40/N40-1</f>
        <v>#DIV/0!</v>
      </c>
      <c r="P43" s="197" t="e">
        <f t="shared" ref="P43:R43" si="39">P40/O40-1</f>
        <v>#REF!</v>
      </c>
      <c r="Q43" s="197" t="e">
        <f t="shared" si="39"/>
        <v>#REF!</v>
      </c>
      <c r="R43" s="197" t="e">
        <f t="shared" si="39"/>
        <v>#REF!</v>
      </c>
      <c r="S43" s="197" t="e">
        <f>S40/R40-1</f>
        <v>#REF!</v>
      </c>
      <c r="T43" s="225" t="s">
        <v>108</v>
      </c>
    </row>
    <row r="46" spans="1:73">
      <c r="B46" s="19"/>
      <c r="C46" s="19"/>
      <c r="D46" s="19"/>
      <c r="E46" s="19"/>
      <c r="F46" s="19"/>
      <c r="G46" s="19"/>
      <c r="H46" s="19"/>
      <c r="I46" s="19"/>
      <c r="J46" s="19"/>
      <c r="K46" s="19"/>
    </row>
    <row r="47" spans="1:73">
      <c r="B47" s="19"/>
      <c r="C47" s="19"/>
      <c r="D47" s="19"/>
      <c r="E47" s="19"/>
      <c r="F47" s="19"/>
      <c r="G47" s="19"/>
      <c r="H47" s="19"/>
      <c r="I47" s="19"/>
      <c r="J47" s="19"/>
      <c r="K47" s="19"/>
    </row>
    <row r="48" spans="1:73">
      <c r="B48" s="19"/>
      <c r="C48" s="19"/>
      <c r="D48" s="19"/>
      <c r="E48" s="19"/>
      <c r="F48" s="19"/>
      <c r="G48" s="19"/>
      <c r="H48" s="19"/>
      <c r="I48" s="19"/>
      <c r="J48" s="19"/>
      <c r="K48" s="19"/>
    </row>
  </sheetData>
  <mergeCells count="2">
    <mergeCell ref="E3:I3"/>
    <mergeCell ref="E4:I4"/>
  </mergeCell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Telecom!$P$9:$P$70</xm:f>
          </x14:formula1>
          <xm:sqref>E4:I4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2:AC56"/>
  <sheetViews>
    <sheetView topLeftCell="A2" zoomScale="70" zoomScaleNormal="70" workbookViewId="0">
      <selection activeCell="AC35" sqref="AC35"/>
    </sheetView>
  </sheetViews>
  <sheetFormatPr defaultColWidth="8.6328125" defaultRowHeight="13"/>
  <cols>
    <col min="1" max="1" width="3" style="273" customWidth="1"/>
    <col min="2" max="2" width="14.453125" style="273" customWidth="1"/>
    <col min="3" max="3" width="7.81640625" style="273" customWidth="1"/>
    <col min="4" max="4" width="9.1796875" style="273" customWidth="1"/>
    <col min="5" max="5" width="9.81640625" style="273" customWidth="1"/>
    <col min="6" max="13" width="10.6328125" style="273" customWidth="1"/>
    <col min="14" max="14" width="4.36328125" style="273" customWidth="1"/>
    <col min="15" max="15" width="21.36328125" style="273" customWidth="1"/>
    <col min="16" max="17" width="9.36328125" style="273" customWidth="1"/>
    <col min="18" max="20" width="10.1796875" style="273" customWidth="1"/>
    <col min="21" max="26" width="10.6328125" style="273" customWidth="1"/>
    <col min="27" max="27" width="5.1796875" style="273" customWidth="1"/>
    <col min="29" max="29" width="10.6328125" style="273" bestFit="1" customWidth="1"/>
    <col min="30" max="16384" width="8.6328125" style="273"/>
  </cols>
  <sheetData>
    <row r="2" spans="2:28" ht="18">
      <c r="B2" s="6" t="str">
        <f>Introduction!$B$2</f>
        <v>LightCounting Ethernet Transceivers Forecast</v>
      </c>
    </row>
    <row r="3" spans="2:28" ht="15.5">
      <c r="B3" s="43" t="str">
        <f>Introduction!B3</f>
        <v xml:space="preserve">Sample template for forecast published 31 March 2021 </v>
      </c>
      <c r="AB3" s="4"/>
    </row>
    <row r="4" spans="2:28" ht="18">
      <c r="B4" s="6" t="s">
        <v>444</v>
      </c>
      <c r="AB4" s="4"/>
    </row>
    <row r="5" spans="2:28">
      <c r="AB5" s="4"/>
    </row>
    <row r="6" spans="2:28" ht="18.5">
      <c r="B6" s="155" t="s">
        <v>443</v>
      </c>
      <c r="O6" s="155" t="s">
        <v>442</v>
      </c>
      <c r="AB6" s="4"/>
    </row>
    <row r="7" spans="2:28" ht="17.5">
      <c r="B7" s="633"/>
      <c r="AB7" s="4"/>
    </row>
    <row r="8" spans="2:28">
      <c r="B8" s="280"/>
      <c r="C8" s="532"/>
      <c r="D8" s="532"/>
      <c r="E8" s="532"/>
      <c r="F8" s="532"/>
      <c r="G8" s="532"/>
      <c r="H8" s="532"/>
      <c r="I8" s="532"/>
      <c r="J8" s="532"/>
      <c r="K8" s="532"/>
      <c r="L8" s="532"/>
      <c r="M8" s="532"/>
      <c r="O8" s="280"/>
      <c r="P8" s="532"/>
      <c r="Q8" s="532"/>
      <c r="R8" s="532"/>
      <c r="S8" s="532"/>
      <c r="T8" s="532"/>
      <c r="U8" s="532"/>
      <c r="V8" s="532"/>
      <c r="W8" s="532"/>
      <c r="X8" s="532"/>
      <c r="Y8" s="532"/>
      <c r="Z8" s="532"/>
      <c r="AB8" s="4"/>
    </row>
    <row r="9" spans="2:28">
      <c r="AB9" s="4"/>
    </row>
    <row r="10" spans="2:28">
      <c r="AB10" s="4"/>
    </row>
    <row r="11" spans="2:28">
      <c r="AB11" s="4"/>
    </row>
    <row r="12" spans="2:28">
      <c r="AB12" s="4"/>
    </row>
    <row r="13" spans="2:28">
      <c r="AB13" s="4"/>
    </row>
    <row r="14" spans="2:28">
      <c r="AB14" s="4"/>
    </row>
    <row r="15" spans="2:28">
      <c r="AB15" s="4"/>
    </row>
    <row r="16" spans="2:28">
      <c r="AB16" s="4"/>
    </row>
    <row r="17" spans="2:29">
      <c r="AB17" s="4"/>
    </row>
    <row r="29" spans="2:29">
      <c r="C29" s="608">
        <v>2016</v>
      </c>
      <c r="D29" s="608">
        <v>2017</v>
      </c>
      <c r="E29" s="608">
        <v>2018</v>
      </c>
      <c r="F29" s="608">
        <v>2019</v>
      </c>
      <c r="G29" s="608">
        <v>2020</v>
      </c>
      <c r="H29" s="608">
        <v>2021</v>
      </c>
      <c r="I29" s="608">
        <v>2022</v>
      </c>
      <c r="J29" s="608">
        <v>2023</v>
      </c>
      <c r="K29" s="608">
        <v>2024</v>
      </c>
      <c r="L29" s="608">
        <v>2025</v>
      </c>
      <c r="M29" s="608">
        <v>2026</v>
      </c>
      <c r="P29" s="608">
        <v>2016</v>
      </c>
      <c r="Q29" s="608">
        <v>2017</v>
      </c>
      <c r="R29" s="608">
        <v>2018</v>
      </c>
      <c r="S29" s="608">
        <v>2019</v>
      </c>
      <c r="T29" s="608">
        <v>2020</v>
      </c>
      <c r="U29" s="608">
        <v>2021</v>
      </c>
      <c r="V29" s="608">
        <v>2022</v>
      </c>
      <c r="W29" s="608">
        <v>2023</v>
      </c>
      <c r="X29" s="608">
        <v>2024</v>
      </c>
      <c r="Y29" s="608">
        <v>2025</v>
      </c>
      <c r="Z29" s="608">
        <v>2026</v>
      </c>
      <c r="AB29" s="50"/>
      <c r="AC29" s="50"/>
    </row>
    <row r="30" spans="2:29">
      <c r="B30" s="297" t="s">
        <v>434</v>
      </c>
      <c r="C30" s="533">
        <f t="shared" ref="C30:L30" si="0">C36+C42+C48+C54</f>
        <v>370501</v>
      </c>
      <c r="D30" s="533">
        <f t="shared" si="0"/>
        <v>985144</v>
      </c>
      <c r="E30" s="533">
        <f t="shared" si="0"/>
        <v>0</v>
      </c>
      <c r="F30" s="533">
        <f t="shared" si="0"/>
        <v>0</v>
      </c>
      <c r="G30" s="533">
        <f t="shared" si="0"/>
        <v>0</v>
      </c>
      <c r="H30" s="533">
        <f t="shared" si="0"/>
        <v>0</v>
      </c>
      <c r="I30" s="533">
        <f t="shared" si="0"/>
        <v>0</v>
      </c>
      <c r="J30" s="533">
        <f t="shared" si="0"/>
        <v>0</v>
      </c>
      <c r="K30" s="533">
        <f t="shared" si="0"/>
        <v>0</v>
      </c>
      <c r="L30" s="533">
        <f t="shared" si="0"/>
        <v>0</v>
      </c>
      <c r="M30" s="533">
        <f t="shared" ref="M30" si="1">M36+M42+M48+M54</f>
        <v>0</v>
      </c>
      <c r="O30" s="297" t="s">
        <v>436</v>
      </c>
      <c r="P30" s="533">
        <f t="shared" ref="P30:Y30" si="2">P36+P42+P48+P54</f>
        <v>0</v>
      </c>
      <c r="Q30" s="533">
        <f t="shared" si="2"/>
        <v>89</v>
      </c>
      <c r="R30" s="533">
        <f t="shared" si="2"/>
        <v>0</v>
      </c>
      <c r="S30" s="533">
        <f t="shared" si="2"/>
        <v>0</v>
      </c>
      <c r="T30" s="533">
        <f t="shared" si="2"/>
        <v>0</v>
      </c>
      <c r="U30" s="533">
        <f t="shared" si="2"/>
        <v>0</v>
      </c>
      <c r="V30" s="533">
        <f t="shared" si="2"/>
        <v>0</v>
      </c>
      <c r="W30" s="533">
        <f t="shared" si="2"/>
        <v>0</v>
      </c>
      <c r="X30" s="533">
        <f t="shared" si="2"/>
        <v>0</v>
      </c>
      <c r="Y30" s="533">
        <f t="shared" si="2"/>
        <v>0</v>
      </c>
      <c r="Z30" s="533">
        <f t="shared" ref="Z30" si="3">Z36+Z42+Z48+Z54</f>
        <v>0</v>
      </c>
    </row>
    <row r="31" spans="2:29">
      <c r="B31" s="297" t="s">
        <v>435</v>
      </c>
      <c r="C31" s="533">
        <f t="shared" ref="C31:L31" si="4">C37+C43+C49+C55</f>
        <v>0</v>
      </c>
      <c r="D31" s="533">
        <f t="shared" si="4"/>
        <v>0</v>
      </c>
      <c r="E31" s="533">
        <f t="shared" si="4"/>
        <v>0</v>
      </c>
      <c r="F31" s="533">
        <f t="shared" si="4"/>
        <v>0</v>
      </c>
      <c r="G31" s="533">
        <f t="shared" si="4"/>
        <v>0</v>
      </c>
      <c r="H31" s="533">
        <f t="shared" si="4"/>
        <v>0</v>
      </c>
      <c r="I31" s="533">
        <f t="shared" si="4"/>
        <v>0</v>
      </c>
      <c r="J31" s="533">
        <f t="shared" si="4"/>
        <v>0</v>
      </c>
      <c r="K31" s="533">
        <f t="shared" si="4"/>
        <v>0</v>
      </c>
      <c r="L31" s="533">
        <f t="shared" si="4"/>
        <v>0</v>
      </c>
      <c r="M31" s="533">
        <f t="shared" ref="M31" si="5">M37+M43+M49+M55</f>
        <v>0</v>
      </c>
      <c r="O31" s="297" t="s">
        <v>440</v>
      </c>
      <c r="P31" s="533">
        <f t="shared" ref="P31:Y31" si="6">P37+P49+P55+P43</f>
        <v>0</v>
      </c>
      <c r="Q31" s="533">
        <f t="shared" si="6"/>
        <v>0</v>
      </c>
      <c r="R31" s="533">
        <f t="shared" si="6"/>
        <v>0</v>
      </c>
      <c r="S31" s="533">
        <f t="shared" si="6"/>
        <v>0</v>
      </c>
      <c r="T31" s="533">
        <f t="shared" si="6"/>
        <v>0</v>
      </c>
      <c r="U31" s="533">
        <f t="shared" si="6"/>
        <v>0</v>
      </c>
      <c r="V31" s="533">
        <f t="shared" si="6"/>
        <v>0</v>
      </c>
      <c r="W31" s="533">
        <f t="shared" si="6"/>
        <v>0</v>
      </c>
      <c r="X31" s="533">
        <f t="shared" si="6"/>
        <v>0</v>
      </c>
      <c r="Y31" s="533">
        <f t="shared" si="6"/>
        <v>0</v>
      </c>
      <c r="Z31" s="533">
        <f t="shared" ref="Z31" si="7">Z37+Z49+Z55+Z43</f>
        <v>0</v>
      </c>
    </row>
    <row r="34" spans="2:29">
      <c r="B34" s="81" t="s">
        <v>441</v>
      </c>
      <c r="C34" s="607">
        <v>2016</v>
      </c>
      <c r="D34" s="607">
        <v>2017</v>
      </c>
      <c r="E34" s="607">
        <v>2018</v>
      </c>
      <c r="F34" s="607">
        <v>2019</v>
      </c>
      <c r="G34" s="607">
        <v>2020</v>
      </c>
      <c r="H34" s="607">
        <v>2021</v>
      </c>
      <c r="I34" s="607">
        <v>2022</v>
      </c>
      <c r="J34" s="607">
        <v>2023</v>
      </c>
      <c r="K34" s="607">
        <v>2024</v>
      </c>
      <c r="L34" s="607">
        <v>2025</v>
      </c>
      <c r="M34" s="607">
        <v>2026</v>
      </c>
      <c r="O34" s="81" t="s">
        <v>437</v>
      </c>
      <c r="P34" s="607">
        <v>2016</v>
      </c>
      <c r="Q34" s="607">
        <v>2017</v>
      </c>
      <c r="R34" s="607">
        <v>2018</v>
      </c>
      <c r="S34" s="607">
        <v>2019</v>
      </c>
      <c r="T34" s="607">
        <v>2020</v>
      </c>
      <c r="U34" s="607">
        <v>2021</v>
      </c>
      <c r="V34" s="607">
        <v>2022</v>
      </c>
      <c r="W34" s="607">
        <v>2023</v>
      </c>
      <c r="X34" s="607">
        <v>2024</v>
      </c>
      <c r="Y34" s="607">
        <v>2025</v>
      </c>
      <c r="Z34" s="607">
        <v>2026</v>
      </c>
    </row>
    <row r="35" spans="2:29">
      <c r="B35" s="297" t="s">
        <v>427</v>
      </c>
      <c r="C35" s="296">
        <f>'Products x speed'!E41</f>
        <v>280058</v>
      </c>
      <c r="D35" s="296">
        <f>'Products x speed'!F41</f>
        <v>622792</v>
      </c>
      <c r="E35" s="296">
        <f>'Products x speed'!G41</f>
        <v>0</v>
      </c>
      <c r="F35" s="296">
        <f>'Products x speed'!H41</f>
        <v>0</v>
      </c>
      <c r="G35" s="296">
        <f>'Products x speed'!I41</f>
        <v>0</v>
      </c>
      <c r="H35" s="296">
        <f>'Products x speed'!J41</f>
        <v>0</v>
      </c>
      <c r="I35" s="296">
        <f>'Products x speed'!K41</f>
        <v>0</v>
      </c>
      <c r="J35" s="296">
        <f>'Products x speed'!L41</f>
        <v>0</v>
      </c>
      <c r="K35" s="296">
        <f>'Products x speed'!M41</f>
        <v>0</v>
      </c>
      <c r="L35" s="296">
        <f>'Products x speed'!N41</f>
        <v>0</v>
      </c>
      <c r="M35" s="296">
        <f>'Products x speed'!O41</f>
        <v>0</v>
      </c>
      <c r="O35" s="297" t="s">
        <v>427</v>
      </c>
      <c r="P35" s="296">
        <f>'Products x speed'!E62+'Products x speed'!E59</f>
        <v>0</v>
      </c>
      <c r="Q35" s="296">
        <f>'Products x speed'!F62+'Products x speed'!F59</f>
        <v>0</v>
      </c>
      <c r="R35" s="296">
        <f>'Products x speed'!G62+'Products x speed'!G59</f>
        <v>0</v>
      </c>
      <c r="S35" s="296">
        <f>'Products x speed'!H62+'Products x speed'!H59</f>
        <v>0</v>
      </c>
      <c r="T35" s="296">
        <f>'Products x speed'!I62+'Products x speed'!I59</f>
        <v>0</v>
      </c>
      <c r="U35" s="296">
        <f>'Products x speed'!J62+'Products x speed'!J59</f>
        <v>0</v>
      </c>
      <c r="V35" s="296">
        <f>'Products x speed'!K62+'Products x speed'!K59</f>
        <v>0</v>
      </c>
      <c r="W35" s="296">
        <f>'Products x speed'!L62+'Products x speed'!L59</f>
        <v>0</v>
      </c>
      <c r="X35" s="296">
        <f>'Products x speed'!M62+'Products x speed'!M59</f>
        <v>0</v>
      </c>
      <c r="Y35" s="296">
        <f>'Products x speed'!N62+'Products x speed'!N59</f>
        <v>0</v>
      </c>
      <c r="Z35" s="296">
        <f>'Products x speed'!O62+'Products x speed'!O59</f>
        <v>0</v>
      </c>
    </row>
    <row r="36" spans="2:29">
      <c r="B36" s="620" t="s">
        <v>429</v>
      </c>
      <c r="C36" s="533">
        <f t="shared" ref="C36:L36" si="8">C35-C37</f>
        <v>280058</v>
      </c>
      <c r="D36" s="533">
        <f t="shared" si="8"/>
        <v>622792</v>
      </c>
      <c r="E36" s="533">
        <f t="shared" si="8"/>
        <v>0</v>
      </c>
      <c r="F36" s="533">
        <f t="shared" si="8"/>
        <v>0</v>
      </c>
      <c r="G36" s="533">
        <f t="shared" si="8"/>
        <v>0</v>
      </c>
      <c r="H36" s="533">
        <f t="shared" si="8"/>
        <v>0</v>
      </c>
      <c r="I36" s="533">
        <f t="shared" si="8"/>
        <v>0</v>
      </c>
      <c r="J36" s="533">
        <f t="shared" si="8"/>
        <v>0</v>
      </c>
      <c r="K36" s="533">
        <f t="shared" si="8"/>
        <v>0</v>
      </c>
      <c r="L36" s="533">
        <f t="shared" si="8"/>
        <v>0</v>
      </c>
      <c r="M36" s="533">
        <f t="shared" ref="M36" si="9">M35-M37</f>
        <v>0</v>
      </c>
      <c r="O36" s="620" t="s">
        <v>432</v>
      </c>
      <c r="P36" s="533">
        <f t="shared" ref="P36:Y36" si="10">P35-P37</f>
        <v>0</v>
      </c>
      <c r="Q36" s="533">
        <f t="shared" si="10"/>
        <v>0</v>
      </c>
      <c r="R36" s="533">
        <f t="shared" si="10"/>
        <v>0</v>
      </c>
      <c r="S36" s="533">
        <f t="shared" si="10"/>
        <v>0</v>
      </c>
      <c r="T36" s="533">
        <f t="shared" si="10"/>
        <v>0</v>
      </c>
      <c r="U36" s="533">
        <f t="shared" si="10"/>
        <v>0</v>
      </c>
      <c r="V36" s="533">
        <f t="shared" si="10"/>
        <v>0</v>
      </c>
      <c r="W36" s="533">
        <f t="shared" si="10"/>
        <v>0</v>
      </c>
      <c r="X36" s="533">
        <f t="shared" si="10"/>
        <v>0</v>
      </c>
      <c r="Y36" s="533">
        <f t="shared" si="10"/>
        <v>0</v>
      </c>
      <c r="Z36" s="533">
        <f t="shared" ref="Z36" si="11">Z35-Z37</f>
        <v>0</v>
      </c>
    </row>
    <row r="37" spans="2:29">
      <c r="B37" s="620" t="s">
        <v>428</v>
      </c>
      <c r="C37" s="533">
        <f t="shared" ref="C37:L37" si="12">C35*C38</f>
        <v>0</v>
      </c>
      <c r="D37" s="533">
        <f t="shared" si="12"/>
        <v>0</v>
      </c>
      <c r="E37" s="533">
        <f t="shared" si="12"/>
        <v>0</v>
      </c>
      <c r="F37" s="533">
        <f t="shared" si="12"/>
        <v>0</v>
      </c>
      <c r="G37" s="533">
        <f t="shared" si="12"/>
        <v>0</v>
      </c>
      <c r="H37" s="533">
        <f t="shared" si="12"/>
        <v>0</v>
      </c>
      <c r="I37" s="533">
        <f t="shared" si="12"/>
        <v>0</v>
      </c>
      <c r="J37" s="533">
        <f t="shared" si="12"/>
        <v>0</v>
      </c>
      <c r="K37" s="533">
        <f t="shared" si="12"/>
        <v>0</v>
      </c>
      <c r="L37" s="533">
        <f t="shared" si="12"/>
        <v>0</v>
      </c>
      <c r="M37" s="533">
        <f t="shared" ref="M37" si="13">M35*M38</f>
        <v>0</v>
      </c>
      <c r="O37" s="620" t="s">
        <v>431</v>
      </c>
      <c r="P37" s="533">
        <f t="shared" ref="P37:Y37" si="14">P35*P38</f>
        <v>0</v>
      </c>
      <c r="Q37" s="533">
        <f t="shared" si="14"/>
        <v>0</v>
      </c>
      <c r="R37" s="533">
        <f t="shared" si="14"/>
        <v>0</v>
      </c>
      <c r="S37" s="533">
        <f t="shared" si="14"/>
        <v>0</v>
      </c>
      <c r="T37" s="533">
        <f t="shared" si="14"/>
        <v>0</v>
      </c>
      <c r="U37" s="533">
        <f t="shared" si="14"/>
        <v>0</v>
      </c>
      <c r="V37" s="533">
        <f t="shared" si="14"/>
        <v>0</v>
      </c>
      <c r="W37" s="533">
        <f t="shared" si="14"/>
        <v>0</v>
      </c>
      <c r="X37" s="533">
        <f t="shared" si="14"/>
        <v>0</v>
      </c>
      <c r="Y37" s="533">
        <f t="shared" si="14"/>
        <v>0</v>
      </c>
      <c r="Z37" s="533">
        <f t="shared" ref="Z37" si="15">Z35*Z38</f>
        <v>0</v>
      </c>
    </row>
    <row r="38" spans="2:29">
      <c r="B38" s="621" t="str">
        <f>"Percent SFP112"</f>
        <v>Percent SFP112</v>
      </c>
      <c r="C38" s="606">
        <v>0</v>
      </c>
      <c r="D38" s="606">
        <v>0</v>
      </c>
      <c r="E38" s="606">
        <v>0</v>
      </c>
      <c r="F38" s="606">
        <v>0</v>
      </c>
      <c r="G38" s="606">
        <v>0</v>
      </c>
      <c r="H38" s="606">
        <v>0</v>
      </c>
      <c r="I38" s="606">
        <v>0.02</v>
      </c>
      <c r="J38" s="606">
        <v>0.05</v>
      </c>
      <c r="K38" s="606">
        <v>0.2</v>
      </c>
      <c r="L38" s="606">
        <v>0.4</v>
      </c>
      <c r="M38" s="606">
        <v>0.5</v>
      </c>
      <c r="O38" s="621" t="str">
        <f>"Percent QSFP112"</f>
        <v>Percent QSFP112</v>
      </c>
      <c r="P38" s="606">
        <v>0</v>
      </c>
      <c r="Q38" s="606">
        <v>0</v>
      </c>
      <c r="R38" s="606">
        <v>0</v>
      </c>
      <c r="S38" s="606">
        <v>0</v>
      </c>
      <c r="T38" s="606">
        <v>0</v>
      </c>
      <c r="U38" s="606">
        <v>0</v>
      </c>
      <c r="V38" s="606">
        <v>0.02</v>
      </c>
      <c r="W38" s="606">
        <v>0.05</v>
      </c>
      <c r="X38" s="606">
        <v>0.2</v>
      </c>
      <c r="Y38" s="606">
        <v>0.4</v>
      </c>
      <c r="Z38" s="606">
        <v>0.5</v>
      </c>
    </row>
    <row r="39" spans="2:29">
      <c r="B39" s="280"/>
      <c r="C39" s="532"/>
      <c r="D39" s="532"/>
      <c r="E39" s="532"/>
      <c r="F39" s="532"/>
      <c r="G39" s="532"/>
      <c r="H39" s="532"/>
      <c r="I39" s="532"/>
      <c r="J39" s="532"/>
      <c r="K39" s="532"/>
      <c r="L39" s="532"/>
      <c r="M39" s="532"/>
      <c r="O39" s="280"/>
      <c r="P39" s="532"/>
      <c r="Q39" s="532"/>
      <c r="R39" s="532"/>
      <c r="S39" s="532"/>
      <c r="T39" s="532"/>
      <c r="U39" s="532"/>
      <c r="V39" s="532"/>
      <c r="W39" s="532"/>
      <c r="X39" s="532"/>
      <c r="Y39" s="532"/>
      <c r="Z39" s="532"/>
    </row>
    <row r="40" spans="2:29">
      <c r="B40" s="81" t="s">
        <v>404</v>
      </c>
      <c r="C40" s="607">
        <v>2016</v>
      </c>
      <c r="D40" s="607">
        <v>2017</v>
      </c>
      <c r="E40" s="607">
        <v>2018</v>
      </c>
      <c r="F40" s="607">
        <v>2019</v>
      </c>
      <c r="G40" s="607">
        <v>2020</v>
      </c>
      <c r="H40" s="607">
        <v>2021</v>
      </c>
      <c r="I40" s="607">
        <v>2022</v>
      </c>
      <c r="J40" s="607">
        <v>2023</v>
      </c>
      <c r="K40" s="607">
        <v>2024</v>
      </c>
      <c r="L40" s="607">
        <v>2025</v>
      </c>
      <c r="M40" s="607">
        <v>2026</v>
      </c>
      <c r="O40" s="81" t="s">
        <v>275</v>
      </c>
      <c r="P40" s="607">
        <v>2016</v>
      </c>
      <c r="Q40" s="607">
        <v>2017</v>
      </c>
      <c r="R40" s="607">
        <v>2018</v>
      </c>
      <c r="S40" s="607">
        <v>2019</v>
      </c>
      <c r="T40" s="607">
        <v>2020</v>
      </c>
      <c r="U40" s="607">
        <v>2021</v>
      </c>
      <c r="V40" s="607">
        <v>2022</v>
      </c>
      <c r="W40" s="607">
        <v>2023</v>
      </c>
      <c r="X40" s="607">
        <v>2024</v>
      </c>
      <c r="Y40" s="607">
        <v>2025</v>
      </c>
      <c r="Z40" s="607">
        <v>2026</v>
      </c>
    </row>
    <row r="41" spans="2:29">
      <c r="B41" s="297" t="str">
        <f>B35</f>
        <v>Total volume</v>
      </c>
      <c r="C41" s="296">
        <f>'Products x speed'!E46</f>
        <v>0</v>
      </c>
      <c r="D41" s="296">
        <f>'Products x speed'!F46</f>
        <v>0</v>
      </c>
      <c r="E41" s="296">
        <f>'Products x speed'!G46</f>
        <v>0</v>
      </c>
      <c r="F41" s="296">
        <f>'Products x speed'!H46</f>
        <v>0</v>
      </c>
      <c r="G41" s="296">
        <f>'Products x speed'!I46</f>
        <v>0</v>
      </c>
      <c r="H41" s="296">
        <f>'Products x speed'!J46</f>
        <v>0</v>
      </c>
      <c r="I41" s="296">
        <f>'Products x speed'!K46</f>
        <v>0</v>
      </c>
      <c r="J41" s="296">
        <f>'Products x speed'!L46</f>
        <v>0</v>
      </c>
      <c r="K41" s="296">
        <f>'Products x speed'!M46</f>
        <v>0</v>
      </c>
      <c r="L41" s="296">
        <f>'Products x speed'!N46</f>
        <v>0</v>
      </c>
      <c r="M41" s="296">
        <f>'Products x speed'!O46</f>
        <v>0</v>
      </c>
      <c r="O41" s="297" t="str">
        <f>O35</f>
        <v>Total volume</v>
      </c>
      <c r="P41" s="296">
        <f>'Products x speed'!E63</f>
        <v>0</v>
      </c>
      <c r="Q41" s="296">
        <f>'Products x speed'!F63</f>
        <v>0</v>
      </c>
      <c r="R41" s="296">
        <f>'Products x speed'!G63</f>
        <v>0</v>
      </c>
      <c r="S41" s="296">
        <f>'Products x speed'!H63</f>
        <v>0</v>
      </c>
      <c r="T41" s="296">
        <f>'Products x speed'!I63</f>
        <v>0</v>
      </c>
      <c r="U41" s="296">
        <f>'Products x speed'!J63</f>
        <v>0</v>
      </c>
      <c r="V41" s="296">
        <f>'Products x speed'!K63</f>
        <v>0</v>
      </c>
      <c r="W41" s="296">
        <f>'Products x speed'!L63</f>
        <v>0</v>
      </c>
      <c r="X41" s="296">
        <f>'Products x speed'!M63</f>
        <v>0</v>
      </c>
      <c r="Y41" s="296">
        <f>'Products x speed'!N63</f>
        <v>0</v>
      </c>
      <c r="Z41" s="296">
        <f>'Products x speed'!O63</f>
        <v>0</v>
      </c>
    </row>
    <row r="42" spans="2:29">
      <c r="B42" s="620" t="str">
        <f>B36</f>
        <v>Volume QSFP28</v>
      </c>
      <c r="C42" s="533">
        <f t="shared" ref="C42:L42" si="16">C41-C43</f>
        <v>0</v>
      </c>
      <c r="D42" s="533">
        <f t="shared" si="16"/>
        <v>0</v>
      </c>
      <c r="E42" s="533">
        <f t="shared" si="16"/>
        <v>0</v>
      </c>
      <c r="F42" s="533">
        <f t="shared" si="16"/>
        <v>0</v>
      </c>
      <c r="G42" s="533">
        <f t="shared" si="16"/>
        <v>0</v>
      </c>
      <c r="H42" s="533">
        <f t="shared" si="16"/>
        <v>0</v>
      </c>
      <c r="I42" s="533">
        <f t="shared" si="16"/>
        <v>0</v>
      </c>
      <c r="J42" s="533">
        <f t="shared" si="16"/>
        <v>0</v>
      </c>
      <c r="K42" s="533">
        <f t="shared" si="16"/>
        <v>0</v>
      </c>
      <c r="L42" s="533">
        <f t="shared" si="16"/>
        <v>0</v>
      </c>
      <c r="M42" s="533">
        <f t="shared" ref="M42" si="17">M41-M43</f>
        <v>0</v>
      </c>
      <c r="O42" s="620" t="str">
        <f>O36</f>
        <v>Volume all other</v>
      </c>
      <c r="P42" s="533">
        <f t="shared" ref="P42:Y42" si="18">P41-P43</f>
        <v>0</v>
      </c>
      <c r="Q42" s="533">
        <f t="shared" si="18"/>
        <v>0</v>
      </c>
      <c r="R42" s="533">
        <f t="shared" si="18"/>
        <v>0</v>
      </c>
      <c r="S42" s="533">
        <f t="shared" si="18"/>
        <v>0</v>
      </c>
      <c r="T42" s="533">
        <f t="shared" si="18"/>
        <v>0</v>
      </c>
      <c r="U42" s="533">
        <f t="shared" si="18"/>
        <v>0</v>
      </c>
      <c r="V42" s="533">
        <f t="shared" si="18"/>
        <v>0</v>
      </c>
      <c r="W42" s="533">
        <f t="shared" si="18"/>
        <v>0</v>
      </c>
      <c r="X42" s="533">
        <f t="shared" si="18"/>
        <v>0</v>
      </c>
      <c r="Y42" s="533">
        <f t="shared" si="18"/>
        <v>0</v>
      </c>
      <c r="Z42" s="533">
        <f t="shared" ref="Z42" si="19">Z41-Z43</f>
        <v>0</v>
      </c>
      <c r="AB42" s="50"/>
      <c r="AC42" s="50"/>
    </row>
    <row r="43" spans="2:29">
      <c r="B43" s="620" t="str">
        <f>B37</f>
        <v>Volume SFP112</v>
      </c>
      <c r="C43" s="533">
        <f t="shared" ref="C43:L43" si="20">C41*C44</f>
        <v>0</v>
      </c>
      <c r="D43" s="533">
        <f t="shared" si="20"/>
        <v>0</v>
      </c>
      <c r="E43" s="533">
        <f t="shared" si="20"/>
        <v>0</v>
      </c>
      <c r="F43" s="533">
        <f t="shared" si="20"/>
        <v>0</v>
      </c>
      <c r="G43" s="533">
        <f t="shared" si="20"/>
        <v>0</v>
      </c>
      <c r="H43" s="533">
        <f t="shared" si="20"/>
        <v>0</v>
      </c>
      <c r="I43" s="533">
        <f t="shared" si="20"/>
        <v>0</v>
      </c>
      <c r="J43" s="533">
        <f t="shared" si="20"/>
        <v>0</v>
      </c>
      <c r="K43" s="533">
        <f t="shared" si="20"/>
        <v>0</v>
      </c>
      <c r="L43" s="533">
        <f t="shared" si="20"/>
        <v>0</v>
      </c>
      <c r="M43" s="533">
        <f t="shared" ref="M43" si="21">M41*M44</f>
        <v>0</v>
      </c>
      <c r="O43" s="620" t="str">
        <f>O37</f>
        <v>Volume QSFP112</v>
      </c>
      <c r="P43" s="533">
        <f t="shared" ref="P43:Y43" si="22">P41*P44</f>
        <v>0</v>
      </c>
      <c r="Q43" s="533">
        <f t="shared" si="22"/>
        <v>0</v>
      </c>
      <c r="R43" s="533">
        <f t="shared" si="22"/>
        <v>0</v>
      </c>
      <c r="S43" s="533">
        <f t="shared" si="22"/>
        <v>0</v>
      </c>
      <c r="T43" s="533">
        <f t="shared" si="22"/>
        <v>0</v>
      </c>
      <c r="U43" s="533">
        <f t="shared" si="22"/>
        <v>0</v>
      </c>
      <c r="V43" s="533">
        <f t="shared" si="22"/>
        <v>0</v>
      </c>
      <c r="W43" s="533">
        <f t="shared" si="22"/>
        <v>0</v>
      </c>
      <c r="X43" s="533">
        <f t="shared" si="22"/>
        <v>0</v>
      </c>
      <c r="Y43" s="533">
        <f t="shared" si="22"/>
        <v>0</v>
      </c>
      <c r="Z43" s="533">
        <f t="shared" ref="Z43" si="23">Z41*Z44</f>
        <v>0</v>
      </c>
      <c r="AB43" s="50"/>
      <c r="AC43" s="50"/>
    </row>
    <row r="44" spans="2:29">
      <c r="B44" s="621" t="str">
        <f>B38</f>
        <v>Percent SFP112</v>
      </c>
      <c r="C44" s="606">
        <v>0</v>
      </c>
      <c r="D44" s="606">
        <v>0</v>
      </c>
      <c r="E44" s="606">
        <v>0</v>
      </c>
      <c r="F44" s="606">
        <v>0</v>
      </c>
      <c r="G44" s="606">
        <v>0</v>
      </c>
      <c r="H44" s="606">
        <v>0</v>
      </c>
      <c r="I44" s="606">
        <v>0.02</v>
      </c>
      <c r="J44" s="606">
        <v>0.05</v>
      </c>
      <c r="K44" s="606">
        <v>0.2</v>
      </c>
      <c r="L44" s="606">
        <v>0.4</v>
      </c>
      <c r="M44" s="606">
        <v>0.5</v>
      </c>
      <c r="O44" s="621" t="str">
        <f>O38</f>
        <v>Percent QSFP112</v>
      </c>
      <c r="P44" s="606">
        <v>0</v>
      </c>
      <c r="Q44" s="606">
        <v>0</v>
      </c>
      <c r="R44" s="606">
        <v>0</v>
      </c>
      <c r="S44" s="606">
        <v>0</v>
      </c>
      <c r="T44" s="606">
        <v>0</v>
      </c>
      <c r="U44" s="606">
        <v>0</v>
      </c>
      <c r="V44" s="606">
        <f>V38</f>
        <v>0.02</v>
      </c>
      <c r="W44" s="606">
        <f>W38</f>
        <v>0.05</v>
      </c>
      <c r="X44" s="606">
        <f>X38</f>
        <v>0.2</v>
      </c>
      <c r="Y44" s="606">
        <f>Y38</f>
        <v>0.4</v>
      </c>
      <c r="Z44" s="606">
        <f t="shared" ref="Z44" si="24">Z38</f>
        <v>0.5</v>
      </c>
      <c r="AB44" s="50"/>
      <c r="AC44" s="50"/>
    </row>
    <row r="45" spans="2:29">
      <c r="B45" s="280"/>
      <c r="C45" s="532"/>
      <c r="D45" s="532"/>
      <c r="E45" s="532"/>
      <c r="F45" s="532"/>
      <c r="G45" s="532"/>
      <c r="H45" s="532"/>
      <c r="I45" s="532"/>
      <c r="J45" s="532"/>
      <c r="K45" s="532"/>
      <c r="L45" s="532"/>
      <c r="M45" s="532"/>
      <c r="O45" s="280"/>
      <c r="P45" s="532"/>
      <c r="Q45" s="532"/>
      <c r="R45" s="532"/>
      <c r="S45" s="532"/>
      <c r="T45" s="532"/>
      <c r="U45" s="532"/>
      <c r="V45" s="532"/>
      <c r="W45" s="532"/>
      <c r="X45" s="532"/>
      <c r="Y45" s="532"/>
      <c r="Z45" s="532"/>
      <c r="AB45" s="50"/>
      <c r="AC45" s="50"/>
    </row>
    <row r="46" spans="2:29">
      <c r="B46" s="81" t="s">
        <v>411</v>
      </c>
      <c r="C46" s="607">
        <v>2016</v>
      </c>
      <c r="D46" s="607">
        <v>2017</v>
      </c>
      <c r="E46" s="607">
        <v>2018</v>
      </c>
      <c r="F46" s="607">
        <v>2019</v>
      </c>
      <c r="G46" s="607">
        <v>2020</v>
      </c>
      <c r="H46" s="607">
        <v>2021</v>
      </c>
      <c r="I46" s="607">
        <v>2022</v>
      </c>
      <c r="J46" s="607">
        <v>2023</v>
      </c>
      <c r="K46" s="607">
        <v>2024</v>
      </c>
      <c r="L46" s="607">
        <v>2025</v>
      </c>
      <c r="M46" s="607">
        <v>2026</v>
      </c>
      <c r="O46" s="81" t="s">
        <v>438</v>
      </c>
      <c r="P46" s="607">
        <v>2016</v>
      </c>
      <c r="Q46" s="607">
        <v>2017</v>
      </c>
      <c r="R46" s="607">
        <v>2018</v>
      </c>
      <c r="S46" s="607">
        <v>2019</v>
      </c>
      <c r="T46" s="607">
        <v>2020</v>
      </c>
      <c r="U46" s="607">
        <v>2021</v>
      </c>
      <c r="V46" s="607">
        <v>2022</v>
      </c>
      <c r="W46" s="607">
        <v>2023</v>
      </c>
      <c r="X46" s="607">
        <v>2024</v>
      </c>
      <c r="Y46" s="607">
        <v>2025</v>
      </c>
      <c r="Z46" s="607">
        <v>2026</v>
      </c>
      <c r="AB46" s="50"/>
      <c r="AC46" s="50"/>
    </row>
    <row r="47" spans="2:29">
      <c r="B47" s="297" t="str">
        <f>B35</f>
        <v>Total volume</v>
      </c>
      <c r="C47" s="296">
        <f>'Products x speed'!E49</f>
        <v>0</v>
      </c>
      <c r="D47" s="296">
        <f>'Products x speed'!F49</f>
        <v>0</v>
      </c>
      <c r="E47" s="296">
        <f>'Products x speed'!G49</f>
        <v>0</v>
      </c>
      <c r="F47" s="296">
        <f>'Products x speed'!H49</f>
        <v>0</v>
      </c>
      <c r="G47" s="296">
        <f>'Products x speed'!I49</f>
        <v>0</v>
      </c>
      <c r="H47" s="296">
        <f>'Products x speed'!J49</f>
        <v>0</v>
      </c>
      <c r="I47" s="296">
        <f>'Products x speed'!K49</f>
        <v>0</v>
      </c>
      <c r="J47" s="296">
        <f>'Products x speed'!L49</f>
        <v>0</v>
      </c>
      <c r="K47" s="296">
        <f>'Products x speed'!M49</f>
        <v>0</v>
      </c>
      <c r="L47" s="296">
        <f>'Products x speed'!N49</f>
        <v>0</v>
      </c>
      <c r="M47" s="296">
        <f>'Products x speed'!O49</f>
        <v>0</v>
      </c>
      <c r="O47" s="297" t="str">
        <f>O35</f>
        <v>Total volume</v>
      </c>
      <c r="P47" s="296">
        <f>'Products x speed'!E61+'Products x speed'!E64</f>
        <v>0</v>
      </c>
      <c r="Q47" s="296">
        <f>'Products x speed'!F61+'Products x speed'!F64</f>
        <v>7</v>
      </c>
      <c r="R47" s="296">
        <f>'Products x speed'!G61+'Products x speed'!G64</f>
        <v>0</v>
      </c>
      <c r="S47" s="296">
        <f>'Products x speed'!H61+'Products x speed'!H64</f>
        <v>0</v>
      </c>
      <c r="T47" s="296">
        <f>'Products x speed'!I61+'Products x speed'!I64</f>
        <v>0</v>
      </c>
      <c r="U47" s="296">
        <f>'Products x speed'!J61+'Products x speed'!J64</f>
        <v>0</v>
      </c>
      <c r="V47" s="296">
        <f>'Products x speed'!K61+'Products x speed'!K64</f>
        <v>0</v>
      </c>
      <c r="W47" s="296">
        <f>'Products x speed'!L61+'Products x speed'!L64</f>
        <v>0</v>
      </c>
      <c r="X47" s="296">
        <f>'Products x speed'!M61+'Products x speed'!M64</f>
        <v>0</v>
      </c>
      <c r="Y47" s="296">
        <f>'Products x speed'!N61+'Products x speed'!N64</f>
        <v>0</v>
      </c>
      <c r="Z47" s="296">
        <f>'Products x speed'!O61+'Products x speed'!O64</f>
        <v>0</v>
      </c>
    </row>
    <row r="48" spans="2:29">
      <c r="B48" s="620" t="str">
        <f>B36</f>
        <v>Volume QSFP28</v>
      </c>
      <c r="C48" s="533">
        <f t="shared" ref="C48:L48" si="25">C47-C49</f>
        <v>0</v>
      </c>
      <c r="D48" s="533">
        <f t="shared" si="25"/>
        <v>0</v>
      </c>
      <c r="E48" s="533">
        <f t="shared" si="25"/>
        <v>0</v>
      </c>
      <c r="F48" s="533">
        <f t="shared" si="25"/>
        <v>0</v>
      </c>
      <c r="G48" s="533">
        <f t="shared" si="25"/>
        <v>0</v>
      </c>
      <c r="H48" s="533">
        <f t="shared" si="25"/>
        <v>0</v>
      </c>
      <c r="I48" s="533">
        <f t="shared" si="25"/>
        <v>0</v>
      </c>
      <c r="J48" s="533">
        <f t="shared" si="25"/>
        <v>0</v>
      </c>
      <c r="K48" s="533">
        <f t="shared" si="25"/>
        <v>0</v>
      </c>
      <c r="L48" s="533">
        <f t="shared" si="25"/>
        <v>0</v>
      </c>
      <c r="M48" s="533">
        <f t="shared" ref="M48" si="26">M47-M49</f>
        <v>0</v>
      </c>
      <c r="O48" s="620" t="str">
        <f>O36</f>
        <v>Volume all other</v>
      </c>
      <c r="P48" s="533">
        <f t="shared" ref="P48:Y48" si="27">P47-P49</f>
        <v>0</v>
      </c>
      <c r="Q48" s="533">
        <f t="shared" si="27"/>
        <v>7</v>
      </c>
      <c r="R48" s="533">
        <f t="shared" si="27"/>
        <v>0</v>
      </c>
      <c r="S48" s="533">
        <f t="shared" si="27"/>
        <v>0</v>
      </c>
      <c r="T48" s="533">
        <f t="shared" si="27"/>
        <v>0</v>
      </c>
      <c r="U48" s="533">
        <f t="shared" si="27"/>
        <v>0</v>
      </c>
      <c r="V48" s="533">
        <f t="shared" si="27"/>
        <v>0</v>
      </c>
      <c r="W48" s="533">
        <f t="shared" si="27"/>
        <v>0</v>
      </c>
      <c r="X48" s="533">
        <f t="shared" si="27"/>
        <v>0</v>
      </c>
      <c r="Y48" s="533">
        <f t="shared" si="27"/>
        <v>0</v>
      </c>
      <c r="Z48" s="533">
        <f t="shared" ref="Z48" si="28">Z47-Z49</f>
        <v>0</v>
      </c>
      <c r="AB48" s="50"/>
      <c r="AC48" s="50"/>
    </row>
    <row r="49" spans="2:29">
      <c r="B49" s="620" t="str">
        <f>B37</f>
        <v>Volume SFP112</v>
      </c>
      <c r="C49" s="533">
        <f t="shared" ref="C49:L49" si="29">C47*C50</f>
        <v>0</v>
      </c>
      <c r="D49" s="533">
        <f t="shared" si="29"/>
        <v>0</v>
      </c>
      <c r="E49" s="533">
        <f t="shared" si="29"/>
        <v>0</v>
      </c>
      <c r="F49" s="533">
        <f t="shared" si="29"/>
        <v>0</v>
      </c>
      <c r="G49" s="533">
        <f t="shared" si="29"/>
        <v>0</v>
      </c>
      <c r="H49" s="533">
        <f t="shared" si="29"/>
        <v>0</v>
      </c>
      <c r="I49" s="533">
        <f t="shared" si="29"/>
        <v>0</v>
      </c>
      <c r="J49" s="533">
        <f t="shared" si="29"/>
        <v>0</v>
      </c>
      <c r="K49" s="533">
        <f t="shared" si="29"/>
        <v>0</v>
      </c>
      <c r="L49" s="533">
        <f t="shared" si="29"/>
        <v>0</v>
      </c>
      <c r="M49" s="533">
        <f t="shared" ref="M49" si="30">M47*M50</f>
        <v>0</v>
      </c>
      <c r="O49" s="620" t="str">
        <f>O37</f>
        <v>Volume QSFP112</v>
      </c>
      <c r="P49" s="533">
        <f t="shared" ref="P49:Y49" si="31">P47*P50</f>
        <v>0</v>
      </c>
      <c r="Q49" s="533">
        <f t="shared" si="31"/>
        <v>0</v>
      </c>
      <c r="R49" s="533">
        <f t="shared" si="31"/>
        <v>0</v>
      </c>
      <c r="S49" s="533">
        <f t="shared" si="31"/>
        <v>0</v>
      </c>
      <c r="T49" s="533">
        <f t="shared" si="31"/>
        <v>0</v>
      </c>
      <c r="U49" s="533">
        <f t="shared" si="31"/>
        <v>0</v>
      </c>
      <c r="V49" s="533">
        <f t="shared" si="31"/>
        <v>0</v>
      </c>
      <c r="W49" s="533">
        <f t="shared" si="31"/>
        <v>0</v>
      </c>
      <c r="X49" s="533">
        <f t="shared" si="31"/>
        <v>0</v>
      </c>
      <c r="Y49" s="533">
        <f t="shared" si="31"/>
        <v>0</v>
      </c>
      <c r="Z49" s="533">
        <f t="shared" ref="Z49" si="32">Z47*Z50</f>
        <v>0</v>
      </c>
      <c r="AB49" s="50"/>
      <c r="AC49" s="50"/>
    </row>
    <row r="50" spans="2:29">
      <c r="B50" s="621" t="str">
        <f>B38</f>
        <v>Percent SFP112</v>
      </c>
      <c r="C50" s="606">
        <v>0</v>
      </c>
      <c r="D50" s="606">
        <v>0</v>
      </c>
      <c r="E50" s="606">
        <v>0</v>
      </c>
      <c r="F50" s="606">
        <v>0</v>
      </c>
      <c r="G50" s="606">
        <v>0</v>
      </c>
      <c r="H50" s="606">
        <v>0</v>
      </c>
      <c r="I50" s="606">
        <f>I38</f>
        <v>0.02</v>
      </c>
      <c r="J50" s="606">
        <f>J38</f>
        <v>0.05</v>
      </c>
      <c r="K50" s="606">
        <f>K38</f>
        <v>0.2</v>
      </c>
      <c r="L50" s="606">
        <f>L38</f>
        <v>0.4</v>
      </c>
      <c r="M50" s="606">
        <v>0.5</v>
      </c>
      <c r="O50" s="621" t="str">
        <f>O38</f>
        <v>Percent QSFP112</v>
      </c>
      <c r="P50" s="606">
        <v>0</v>
      </c>
      <c r="Q50" s="606">
        <v>0</v>
      </c>
      <c r="R50" s="606">
        <v>0</v>
      </c>
      <c r="S50" s="606">
        <v>0</v>
      </c>
      <c r="T50" s="606">
        <v>0</v>
      </c>
      <c r="U50" s="606">
        <v>0</v>
      </c>
      <c r="V50" s="606">
        <f>V38</f>
        <v>0.02</v>
      </c>
      <c r="W50" s="606">
        <f>W38</f>
        <v>0.05</v>
      </c>
      <c r="X50" s="606">
        <f>X38</f>
        <v>0.2</v>
      </c>
      <c r="Y50" s="606">
        <f>Y38</f>
        <v>0.4</v>
      </c>
      <c r="Z50" s="606">
        <f t="shared" ref="Z50" si="33">Z38</f>
        <v>0.5</v>
      </c>
      <c r="AB50" s="50"/>
      <c r="AC50" s="50"/>
    </row>
    <row r="52" spans="2:29">
      <c r="B52" s="81" t="s">
        <v>430</v>
      </c>
      <c r="C52" s="607">
        <v>2016</v>
      </c>
      <c r="D52" s="607">
        <v>2017</v>
      </c>
      <c r="E52" s="607">
        <v>2018</v>
      </c>
      <c r="F52" s="607">
        <v>2019</v>
      </c>
      <c r="G52" s="607">
        <v>2020</v>
      </c>
      <c r="H52" s="607">
        <v>2021</v>
      </c>
      <c r="I52" s="607">
        <v>2022</v>
      </c>
      <c r="J52" s="607">
        <v>2023</v>
      </c>
      <c r="K52" s="607">
        <v>2024</v>
      </c>
      <c r="L52" s="607">
        <v>2025</v>
      </c>
      <c r="M52" s="607">
        <v>2026</v>
      </c>
      <c r="O52" s="81" t="s">
        <v>439</v>
      </c>
      <c r="P52" s="607">
        <v>2016</v>
      </c>
      <c r="Q52" s="607">
        <v>2017</v>
      </c>
      <c r="R52" s="607">
        <v>2018</v>
      </c>
      <c r="S52" s="607">
        <v>2019</v>
      </c>
      <c r="T52" s="607">
        <v>2020</v>
      </c>
      <c r="U52" s="607">
        <v>2021</v>
      </c>
      <c r="V52" s="607">
        <v>2022</v>
      </c>
      <c r="W52" s="607">
        <v>2023</v>
      </c>
      <c r="X52" s="607">
        <v>2024</v>
      </c>
      <c r="Y52" s="607">
        <v>2025</v>
      </c>
      <c r="Z52" s="607">
        <v>2026</v>
      </c>
      <c r="AB52" s="50"/>
      <c r="AC52" s="50"/>
    </row>
    <row r="53" spans="2:29">
      <c r="B53" s="297" t="str">
        <f>B35</f>
        <v>Total volume</v>
      </c>
      <c r="C53" s="296">
        <f>'Products x speed'!E52</f>
        <v>90443</v>
      </c>
      <c r="D53" s="296">
        <f>'Products x speed'!F52</f>
        <v>362352</v>
      </c>
      <c r="E53" s="296">
        <f>'Products x speed'!G52</f>
        <v>0</v>
      </c>
      <c r="F53" s="296">
        <f>'Products x speed'!H52</f>
        <v>0</v>
      </c>
      <c r="G53" s="296">
        <f>'Products x speed'!I52</f>
        <v>0</v>
      </c>
      <c r="H53" s="296">
        <f>'Products x speed'!J52</f>
        <v>0</v>
      </c>
      <c r="I53" s="296">
        <f>'Products x speed'!K52</f>
        <v>0</v>
      </c>
      <c r="J53" s="296">
        <f>'Products x speed'!L52</f>
        <v>0</v>
      </c>
      <c r="K53" s="296">
        <f>'Products x speed'!M52</f>
        <v>0</v>
      </c>
      <c r="L53" s="296">
        <f>'Products x speed'!N52</f>
        <v>0</v>
      </c>
      <c r="M53" s="296">
        <f>'Products x speed'!O52</f>
        <v>0</v>
      </c>
      <c r="O53" s="297" t="str">
        <f>O35</f>
        <v>Total volume</v>
      </c>
      <c r="P53" s="296">
        <f>'Products x speed'!E65</f>
        <v>0</v>
      </c>
      <c r="Q53" s="296">
        <f>'Products x speed'!F65</f>
        <v>82</v>
      </c>
      <c r="R53" s="296">
        <f>'Products x speed'!G65</f>
        <v>0</v>
      </c>
      <c r="S53" s="296">
        <f>'Products x speed'!H65</f>
        <v>0</v>
      </c>
      <c r="T53" s="296">
        <f>'Products x speed'!I65</f>
        <v>0</v>
      </c>
      <c r="U53" s="296">
        <f>'Products x speed'!J65</f>
        <v>0</v>
      </c>
      <c r="V53" s="296">
        <f>'Products x speed'!K65</f>
        <v>0</v>
      </c>
      <c r="W53" s="296">
        <f>'Products x speed'!L65</f>
        <v>0</v>
      </c>
      <c r="X53" s="296">
        <f>'Products x speed'!M65</f>
        <v>0</v>
      </c>
      <c r="Y53" s="296">
        <f>'Products x speed'!N65</f>
        <v>0</v>
      </c>
      <c r="Z53" s="296">
        <f>'Products x speed'!O65</f>
        <v>0</v>
      </c>
    </row>
    <row r="54" spans="2:29">
      <c r="B54" s="620" t="str">
        <f>B36</f>
        <v>Volume QSFP28</v>
      </c>
      <c r="C54" s="533">
        <f t="shared" ref="C54:L54" si="34">C53-C55</f>
        <v>90443</v>
      </c>
      <c r="D54" s="533">
        <f t="shared" si="34"/>
        <v>362352</v>
      </c>
      <c r="E54" s="533">
        <f t="shared" si="34"/>
        <v>0</v>
      </c>
      <c r="F54" s="533">
        <f t="shared" si="34"/>
        <v>0</v>
      </c>
      <c r="G54" s="533">
        <f t="shared" si="34"/>
        <v>0</v>
      </c>
      <c r="H54" s="533">
        <f t="shared" si="34"/>
        <v>0</v>
      </c>
      <c r="I54" s="533">
        <f t="shared" si="34"/>
        <v>0</v>
      </c>
      <c r="J54" s="533">
        <f t="shared" si="34"/>
        <v>0</v>
      </c>
      <c r="K54" s="533">
        <f t="shared" si="34"/>
        <v>0</v>
      </c>
      <c r="L54" s="533">
        <f t="shared" si="34"/>
        <v>0</v>
      </c>
      <c r="M54" s="533">
        <f t="shared" ref="M54" si="35">M53-M55</f>
        <v>0</v>
      </c>
      <c r="O54" s="620" t="str">
        <f>O36</f>
        <v>Volume all other</v>
      </c>
      <c r="P54" s="533">
        <f t="shared" ref="P54:Y54" si="36">P53-P55</f>
        <v>0</v>
      </c>
      <c r="Q54" s="533">
        <f t="shared" si="36"/>
        <v>82</v>
      </c>
      <c r="R54" s="533">
        <f t="shared" si="36"/>
        <v>0</v>
      </c>
      <c r="S54" s="533">
        <f t="shared" si="36"/>
        <v>0</v>
      </c>
      <c r="T54" s="533">
        <f t="shared" si="36"/>
        <v>0</v>
      </c>
      <c r="U54" s="533">
        <f t="shared" si="36"/>
        <v>0</v>
      </c>
      <c r="V54" s="533">
        <f t="shared" si="36"/>
        <v>0</v>
      </c>
      <c r="W54" s="533">
        <f t="shared" si="36"/>
        <v>0</v>
      </c>
      <c r="X54" s="533">
        <f t="shared" si="36"/>
        <v>0</v>
      </c>
      <c r="Y54" s="533">
        <f t="shared" si="36"/>
        <v>0</v>
      </c>
      <c r="Z54" s="533">
        <f t="shared" ref="Z54" si="37">Z53-Z55</f>
        <v>0</v>
      </c>
      <c r="AB54" s="50"/>
      <c r="AC54" s="50"/>
    </row>
    <row r="55" spans="2:29">
      <c r="B55" s="620" t="str">
        <f>B37</f>
        <v>Volume SFP112</v>
      </c>
      <c r="C55" s="533">
        <f t="shared" ref="C55:L55" si="38">C53*C56</f>
        <v>0</v>
      </c>
      <c r="D55" s="533">
        <f t="shared" si="38"/>
        <v>0</v>
      </c>
      <c r="E55" s="533">
        <f t="shared" si="38"/>
        <v>0</v>
      </c>
      <c r="F55" s="533">
        <f t="shared" si="38"/>
        <v>0</v>
      </c>
      <c r="G55" s="533">
        <f t="shared" si="38"/>
        <v>0</v>
      </c>
      <c r="H55" s="533">
        <f t="shared" si="38"/>
        <v>0</v>
      </c>
      <c r="I55" s="533">
        <f t="shared" si="38"/>
        <v>0</v>
      </c>
      <c r="J55" s="533">
        <f t="shared" si="38"/>
        <v>0</v>
      </c>
      <c r="K55" s="533">
        <f t="shared" si="38"/>
        <v>0</v>
      </c>
      <c r="L55" s="533">
        <f t="shared" si="38"/>
        <v>0</v>
      </c>
      <c r="M55" s="533">
        <f t="shared" ref="M55" si="39">M53*M56</f>
        <v>0</v>
      </c>
      <c r="O55" s="620" t="str">
        <f>O37</f>
        <v>Volume QSFP112</v>
      </c>
      <c r="P55" s="533">
        <f t="shared" ref="P55:Y55" si="40">P53*P56</f>
        <v>0</v>
      </c>
      <c r="Q55" s="533">
        <f t="shared" si="40"/>
        <v>0</v>
      </c>
      <c r="R55" s="533">
        <f t="shared" si="40"/>
        <v>0</v>
      </c>
      <c r="S55" s="533">
        <f t="shared" si="40"/>
        <v>0</v>
      </c>
      <c r="T55" s="533">
        <f t="shared" si="40"/>
        <v>0</v>
      </c>
      <c r="U55" s="533">
        <f t="shared" si="40"/>
        <v>0</v>
      </c>
      <c r="V55" s="533">
        <f t="shared" si="40"/>
        <v>0</v>
      </c>
      <c r="W55" s="533">
        <f t="shared" si="40"/>
        <v>0</v>
      </c>
      <c r="X55" s="533">
        <f t="shared" si="40"/>
        <v>0</v>
      </c>
      <c r="Y55" s="533">
        <f t="shared" si="40"/>
        <v>0</v>
      </c>
      <c r="Z55" s="533">
        <f t="shared" ref="Z55" si="41">Z53*Z56</f>
        <v>0</v>
      </c>
      <c r="AB55" s="50"/>
      <c r="AC55" s="50"/>
    </row>
    <row r="56" spans="2:29">
      <c r="B56" s="621" t="str">
        <f>B38</f>
        <v>Percent SFP112</v>
      </c>
      <c r="C56" s="606">
        <v>0</v>
      </c>
      <c r="D56" s="606">
        <v>0</v>
      </c>
      <c r="E56" s="606">
        <v>0</v>
      </c>
      <c r="F56" s="606">
        <v>0</v>
      </c>
      <c r="G56" s="606">
        <v>0</v>
      </c>
      <c r="H56" s="606">
        <v>0</v>
      </c>
      <c r="I56" s="606">
        <f>I38</f>
        <v>0.02</v>
      </c>
      <c r="J56" s="606">
        <f>J38</f>
        <v>0.05</v>
      </c>
      <c r="K56" s="606">
        <f>K38</f>
        <v>0.2</v>
      </c>
      <c r="L56" s="606">
        <f>L38</f>
        <v>0.4</v>
      </c>
      <c r="M56" s="606">
        <f t="shared" ref="M56" si="42">M38</f>
        <v>0.5</v>
      </c>
      <c r="O56" s="621" t="str">
        <f>O38</f>
        <v>Percent QSFP112</v>
      </c>
      <c r="P56" s="606">
        <v>0</v>
      </c>
      <c r="Q56" s="606">
        <v>0</v>
      </c>
      <c r="R56" s="606">
        <v>0</v>
      </c>
      <c r="S56" s="606">
        <v>0</v>
      </c>
      <c r="T56" s="606">
        <v>0</v>
      </c>
      <c r="U56" s="606">
        <v>0</v>
      </c>
      <c r="V56" s="606">
        <f>V38</f>
        <v>0.02</v>
      </c>
      <c r="W56" s="606">
        <f>W38</f>
        <v>0.05</v>
      </c>
      <c r="X56" s="606">
        <f>X38</f>
        <v>0.2</v>
      </c>
      <c r="Y56" s="606">
        <f>Y38</f>
        <v>0.4</v>
      </c>
      <c r="Z56" s="606">
        <f t="shared" ref="Z56" si="43">Z38</f>
        <v>0.5</v>
      </c>
      <c r="AB56" s="50"/>
      <c r="AC56" s="50"/>
    </row>
  </sheetData>
  <pageMargins left="0.7" right="0.7" top="0.75" bottom="0.75" header="0.3" footer="0.3"/>
  <pageSetup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Y168"/>
  <sheetViews>
    <sheetView showGridLines="0" zoomScale="60" zoomScaleNormal="60" zoomScalePageLayoutView="60" workbookViewId="0">
      <selection activeCell="T90" sqref="T90"/>
    </sheetView>
  </sheetViews>
  <sheetFormatPr defaultColWidth="8.81640625" defaultRowHeight="13"/>
  <cols>
    <col min="1" max="1" width="4.453125" style="119" customWidth="1"/>
    <col min="2" max="2" width="29.453125" style="119" customWidth="1"/>
    <col min="3" max="3" width="11.1796875" style="119" customWidth="1"/>
    <col min="4" max="4" width="14.81640625" style="119" customWidth="1"/>
    <col min="5" max="8" width="11.1796875" style="370" customWidth="1"/>
    <col min="9" max="9" width="12.453125" style="370" customWidth="1"/>
    <col min="10" max="10" width="12.1796875" style="370" customWidth="1"/>
    <col min="11" max="14" width="12.1796875" style="119" customWidth="1"/>
    <col min="15" max="16" width="11.81640625" style="119" customWidth="1"/>
    <col min="17" max="21" width="14.81640625" style="119" customWidth="1"/>
    <col min="22" max="23" width="11" style="119" bestFit="1" customWidth="1"/>
    <col min="24" max="27" width="9" style="119" bestFit="1" customWidth="1"/>
    <col min="28" max="16384" width="8.81640625" style="119"/>
  </cols>
  <sheetData>
    <row r="1" spans="1:23">
      <c r="A1" s="135"/>
      <c r="B1" s="135"/>
      <c r="C1" s="135"/>
      <c r="D1" s="135"/>
      <c r="E1" s="642"/>
      <c r="F1" s="642"/>
      <c r="G1" s="642"/>
      <c r="H1" s="642"/>
      <c r="I1" s="642"/>
      <c r="J1" s="642"/>
      <c r="K1" s="135"/>
      <c r="L1" s="135"/>
      <c r="M1" s="135"/>
      <c r="N1" s="135"/>
      <c r="O1" s="135"/>
      <c r="P1" s="135"/>
      <c r="Q1" s="135"/>
      <c r="R1" s="135"/>
    </row>
    <row r="2" spans="1:23" ht="18.5">
      <c r="A2" s="62"/>
      <c r="B2" s="6" t="str">
        <f>Introduction!$B$2</f>
        <v>LightCounting Ethernet Transceivers Forecast</v>
      </c>
      <c r="C2" s="135"/>
      <c r="D2" s="135"/>
      <c r="E2" s="642"/>
      <c r="F2" s="642"/>
      <c r="G2" s="642"/>
      <c r="H2" s="642"/>
      <c r="I2" s="642"/>
      <c r="J2" s="642"/>
      <c r="K2" s="135"/>
      <c r="L2" s="135"/>
      <c r="M2" s="135"/>
      <c r="N2" s="135"/>
      <c r="O2" s="135"/>
      <c r="P2" s="135"/>
      <c r="Q2" s="135"/>
      <c r="R2" s="135"/>
    </row>
    <row r="3" spans="1:23" ht="15.5">
      <c r="A3" s="135"/>
      <c r="B3" s="43" t="str">
        <f>Introduction!B3</f>
        <v xml:space="preserve">Sample template for forecast published 31 March 2021 </v>
      </c>
      <c r="C3" s="135"/>
      <c r="D3" s="135"/>
      <c r="E3" s="642"/>
      <c r="F3" s="642"/>
      <c r="G3" s="642"/>
      <c r="H3" s="642"/>
      <c r="I3" s="642"/>
      <c r="J3" s="642"/>
      <c r="K3" s="135"/>
      <c r="L3" s="135"/>
      <c r="M3" s="135"/>
      <c r="N3" s="135"/>
      <c r="O3" s="135"/>
      <c r="P3" s="135"/>
      <c r="Q3" s="135"/>
      <c r="R3" s="135"/>
    </row>
    <row r="4" spans="1:23" ht="18.5">
      <c r="A4" s="62"/>
      <c r="B4" s="6" t="s">
        <v>157</v>
      </c>
      <c r="C4" s="135"/>
      <c r="D4" s="135"/>
      <c r="E4" s="642"/>
      <c r="F4" s="643"/>
      <c r="G4" s="644"/>
      <c r="H4" s="644"/>
      <c r="I4" s="644"/>
      <c r="J4" s="644"/>
      <c r="K4" s="134"/>
      <c r="L4" s="134"/>
      <c r="M4" s="134"/>
      <c r="N4" s="134"/>
      <c r="O4" s="134"/>
      <c r="P4" s="134"/>
      <c r="Q4" s="134"/>
      <c r="R4" s="135"/>
      <c r="S4" s="122"/>
      <c r="T4" s="122"/>
      <c r="U4" s="122"/>
      <c r="V4" s="122"/>
      <c r="W4" s="122"/>
    </row>
    <row r="5" spans="1:23">
      <c r="A5" s="120"/>
      <c r="B5" s="120"/>
      <c r="C5" s="121"/>
      <c r="D5" s="120"/>
      <c r="E5" s="645"/>
      <c r="F5" s="645"/>
      <c r="G5" s="646"/>
      <c r="H5" s="646"/>
      <c r="I5" s="646"/>
      <c r="J5" s="646"/>
      <c r="K5" s="122"/>
      <c r="L5" s="122"/>
      <c r="M5" s="122"/>
      <c r="N5" s="122"/>
      <c r="O5" s="122"/>
      <c r="P5" s="122"/>
      <c r="Q5" s="122"/>
      <c r="R5" s="122"/>
      <c r="S5" s="122"/>
      <c r="T5" s="122"/>
      <c r="U5" s="122"/>
      <c r="V5" s="122"/>
      <c r="W5" s="122"/>
    </row>
    <row r="6" spans="1:23" ht="17.25" customHeight="1">
      <c r="B6" s="79"/>
    </row>
    <row r="34" spans="3:21" ht="15.5">
      <c r="D34" s="191" t="s">
        <v>68</v>
      </c>
      <c r="E34" s="123">
        <v>2010</v>
      </c>
      <c r="F34" s="124">
        <v>2011</v>
      </c>
      <c r="G34" s="124">
        <v>2012</v>
      </c>
      <c r="H34" s="124">
        <v>2013</v>
      </c>
      <c r="I34" s="124">
        <v>2014</v>
      </c>
      <c r="J34" s="124">
        <v>2015</v>
      </c>
      <c r="K34" s="124">
        <v>2016</v>
      </c>
      <c r="L34" s="124">
        <v>2017</v>
      </c>
      <c r="M34" s="124">
        <v>2018</v>
      </c>
      <c r="N34" s="124">
        <v>2019</v>
      </c>
      <c r="O34" s="124">
        <v>2020</v>
      </c>
      <c r="P34" s="124">
        <v>2021</v>
      </c>
      <c r="Q34" s="124">
        <v>2022</v>
      </c>
      <c r="R34" s="124">
        <v>2023</v>
      </c>
      <c r="S34" s="124">
        <v>2024</v>
      </c>
      <c r="T34" s="124">
        <v>2025</v>
      </c>
      <c r="U34" s="125">
        <v>2026</v>
      </c>
    </row>
    <row r="35" spans="3:21">
      <c r="C35" s="427">
        <v>1</v>
      </c>
      <c r="D35" s="623" t="s">
        <v>284</v>
      </c>
      <c r="E35" s="175">
        <v>22.693702827821532</v>
      </c>
      <c r="F35" s="175">
        <v>19.293096563473824</v>
      </c>
      <c r="G35" s="175">
        <v>18.103114071743498</v>
      </c>
      <c r="H35" s="175">
        <v>16.178886053917275</v>
      </c>
      <c r="I35" s="175">
        <v>14.755270803079455</v>
      </c>
      <c r="J35" s="175">
        <v>14.157915068774409</v>
      </c>
      <c r="K35" s="175">
        <f>IF(Summary!C119=0,"",((10^6*Summary!C136)/($C35*Summary!C119)))</f>
        <v>11.362900504713087</v>
      </c>
      <c r="L35" s="175">
        <f>IF(Summary!D119=0,"",((10^6*Summary!D136)/($C35*Summary!D119)))</f>
        <v>9.8128791971601554</v>
      </c>
      <c r="M35" s="303" t="str">
        <f>IF(Summary!E119=0,"",((10^6*Summary!E136)/($C35*Summary!E119)))</f>
        <v/>
      </c>
      <c r="N35" s="303" t="str">
        <f>IF(Summary!F119=0,"",((10^6*Summary!F136)/($C35*Summary!F119)))</f>
        <v/>
      </c>
      <c r="O35" s="303" t="str">
        <f>IF(Summary!G119=0,"",((10^6*Summary!G136)/($C35*Summary!G119)))</f>
        <v/>
      </c>
      <c r="P35" s="303" t="str">
        <f>IF(Summary!H119=0,"",((10^6*Summary!H136)/($C35*Summary!H119)))</f>
        <v/>
      </c>
      <c r="Q35" s="303" t="str">
        <f>IF(Summary!I119=0,"",((10^6*Summary!I136)/($C35*Summary!I119)))</f>
        <v/>
      </c>
      <c r="R35" s="303" t="str">
        <f>IF(Summary!J119=0,"",((10^6*Summary!J136)/($C35*Summary!J119)))</f>
        <v/>
      </c>
      <c r="S35" s="303" t="str">
        <f>IF(Summary!K119=0,"",((10^6*Summary!K136)/($C35*Summary!K119)))</f>
        <v/>
      </c>
      <c r="T35" s="303" t="str">
        <f>IF(Summary!L119=0,"",((10^6*Summary!L136)/($C35*Summary!L119)))</f>
        <v/>
      </c>
      <c r="U35" s="303" t="str">
        <f>IF(Summary!M119=0,"",((10^6*Summary!M136)/($C35*Summary!M119)))</f>
        <v/>
      </c>
    </row>
    <row r="36" spans="3:21">
      <c r="C36" s="427">
        <v>10</v>
      </c>
      <c r="D36" s="428" t="s">
        <v>277</v>
      </c>
      <c r="E36" s="175">
        <v>9.8825247570260242</v>
      </c>
      <c r="F36" s="175">
        <v>7.5412691899358517</v>
      </c>
      <c r="G36" s="175">
        <v>6.7189149239794101</v>
      </c>
      <c r="H36" s="175">
        <v>5.2861169818853488</v>
      </c>
      <c r="I36" s="175">
        <v>4.5280339113800467</v>
      </c>
      <c r="J36" s="175">
        <v>3.897031950093071</v>
      </c>
      <c r="K36" s="175">
        <f>IF(Summary!C120=0,"",((10^6*Summary!C137)/($C36*Summary!C120)))</f>
        <v>3.1803504158563904</v>
      </c>
      <c r="L36" s="175">
        <f>IF(Summary!D120=0,"",((10^6*Summary!D137)/($C36*Summary!D120)))</f>
        <v>2.439730741307288</v>
      </c>
      <c r="M36" s="303" t="str">
        <f>IF(Summary!E120=0,"",((10^6*Summary!E137)/($C36*Summary!E120)))</f>
        <v/>
      </c>
      <c r="N36" s="303" t="str">
        <f>IF(Summary!F120=0,"",((10^6*Summary!F137)/($C36*Summary!F120)))</f>
        <v/>
      </c>
      <c r="O36" s="303" t="str">
        <f>IF(Summary!G120=0,"",((10^6*Summary!G137)/($C36*Summary!G120)))</f>
        <v/>
      </c>
      <c r="P36" s="303" t="str">
        <f>IF(Summary!H120=0,"",((10^6*Summary!H137)/($C36*Summary!H120)))</f>
        <v/>
      </c>
      <c r="Q36" s="303" t="str">
        <f>IF(Summary!I120=0,"",((10^6*Summary!I137)/($C36*Summary!I120)))</f>
        <v/>
      </c>
      <c r="R36" s="303" t="str">
        <f>IF(Summary!J120=0,"",((10^6*Summary!J137)/($C36*Summary!J120)))</f>
        <v/>
      </c>
      <c r="S36" s="303" t="str">
        <f>IF(Summary!K120=0,"",((10^6*Summary!K137)/($C36*Summary!K120)))</f>
        <v/>
      </c>
      <c r="T36" s="303" t="str">
        <f>IF(Summary!L120=0,"",((10^6*Summary!L137)/($C36*Summary!L120)))</f>
        <v/>
      </c>
      <c r="U36" s="303" t="str">
        <f>IF(Summary!M120=0,"",((10^6*Summary!M137)/($C36*Summary!M120)))</f>
        <v/>
      </c>
    </row>
    <row r="37" spans="3:21">
      <c r="C37" s="427">
        <v>25</v>
      </c>
      <c r="D37" s="428" t="s">
        <v>278</v>
      </c>
      <c r="E37" s="175"/>
      <c r="F37" s="175"/>
      <c r="G37" s="175"/>
      <c r="H37" s="175"/>
      <c r="I37" s="175"/>
      <c r="J37" s="175"/>
      <c r="K37" s="175">
        <f>IF(Summary!C121=0,"",((10^6*Summary!C138)/($C37*Summary!C121)))</f>
        <v>11.671989054215837</v>
      </c>
      <c r="L37" s="175">
        <f>IF(Summary!D121=0,"",((10^6*Summary!D138)/($C37*Summary!D121)))</f>
        <v>6.7722873832058497</v>
      </c>
      <c r="M37" s="303" t="str">
        <f>IF(Summary!E121=0,"",((10^6*Summary!E138)/($C37*Summary!E121)))</f>
        <v/>
      </c>
      <c r="N37" s="303" t="str">
        <f>IF(Summary!F121=0,"",((10^6*Summary!F138)/($C37*Summary!F121)))</f>
        <v/>
      </c>
      <c r="O37" s="303" t="str">
        <f>IF(Summary!G121=0,"",((10^6*Summary!G138)/($C37*Summary!G121)))</f>
        <v/>
      </c>
      <c r="P37" s="303" t="str">
        <f>IF(Summary!H121=0,"",((10^6*Summary!H138)/($C37*Summary!H121)))</f>
        <v/>
      </c>
      <c r="Q37" s="303" t="str">
        <f>IF(Summary!I121=0,"",((10^6*Summary!I138)/($C37*Summary!I121)))</f>
        <v/>
      </c>
      <c r="R37" s="303" t="str">
        <f>IF(Summary!J121=0,"",((10^6*Summary!J138)/($C37*Summary!J121)))</f>
        <v/>
      </c>
      <c r="S37" s="303" t="str">
        <f>IF(Summary!K121=0,"",((10^6*Summary!K138)/($C37*Summary!K121)))</f>
        <v/>
      </c>
      <c r="T37" s="303" t="str">
        <f>IF(Summary!L121=0,"",((10^6*Summary!L138)/($C37*Summary!L121)))</f>
        <v/>
      </c>
      <c r="U37" s="303" t="str">
        <f>IF(Summary!M121=0,"",((10^6*Summary!M138)/($C37*Summary!M121)))</f>
        <v/>
      </c>
    </row>
    <row r="38" spans="3:21">
      <c r="C38" s="427">
        <v>40</v>
      </c>
      <c r="D38" s="127" t="s">
        <v>279</v>
      </c>
      <c r="E38" s="175">
        <v>46.557521763382681</v>
      </c>
      <c r="F38" s="175">
        <v>11.176711108652357</v>
      </c>
      <c r="G38" s="175">
        <v>12.879950952573868</v>
      </c>
      <c r="H38" s="175">
        <v>11.167363674734627</v>
      </c>
      <c r="I38" s="175">
        <v>7.3590573700709259</v>
      </c>
      <c r="J38" s="175">
        <v>6.2327425657156015</v>
      </c>
      <c r="K38" s="175">
        <f>IF(Summary!C122=0,"",((10^6*Summary!C139)/($C38*Summary!C122)))</f>
        <v>6.2473515491273455</v>
      </c>
      <c r="L38" s="175">
        <f>IF(Summary!D122=0,"",((10^6*Summary!D139)/($C38*Summary!D122)))</f>
        <v>5.850414550912757</v>
      </c>
      <c r="M38" s="303" t="str">
        <f>IF(Summary!E122=0,"",((10^6*Summary!E139)/($C38*Summary!E122)))</f>
        <v/>
      </c>
      <c r="N38" s="303" t="str">
        <f>IF(Summary!F122=0,"",((10^6*Summary!F139)/($C38*Summary!F122)))</f>
        <v/>
      </c>
      <c r="O38" s="303" t="str">
        <f>IF(Summary!G122=0,"",((10^6*Summary!G139)/($C38*Summary!G122)))</f>
        <v/>
      </c>
      <c r="P38" s="303" t="str">
        <f>IF(Summary!H122=0,"",((10^6*Summary!H139)/($C38*Summary!H122)))</f>
        <v/>
      </c>
      <c r="Q38" s="303" t="str">
        <f>IF(Summary!I122=0,"",((10^6*Summary!I139)/($C38*Summary!I122)))</f>
        <v/>
      </c>
      <c r="R38" s="303" t="str">
        <f>IF(Summary!J122=0,"",((10^6*Summary!J139)/($C38*Summary!J122)))</f>
        <v/>
      </c>
      <c r="S38" s="303" t="str">
        <f>IF(Summary!T120=0,"",((10^6*Summary!T139)/($C38*Summary!T120)))</f>
        <v/>
      </c>
      <c r="T38" s="303" t="str">
        <f>IF(Summary!U120=0,"",((10^6*Summary!U139)/($C38*Summary!U120)))</f>
        <v/>
      </c>
      <c r="U38" s="303" t="str">
        <f>IF(Summary!V120=0,"",((10^6*Summary!V139)/($C38*Summary!V120)))</f>
        <v/>
      </c>
    </row>
    <row r="39" spans="3:21">
      <c r="C39" s="427">
        <v>50</v>
      </c>
      <c r="D39" s="429" t="s">
        <v>280</v>
      </c>
      <c r="E39" s="175"/>
      <c r="F39" s="175"/>
      <c r="G39" s="175"/>
      <c r="H39" s="175"/>
      <c r="I39" s="175"/>
      <c r="J39" s="175"/>
      <c r="K39" s="175"/>
      <c r="L39" s="175"/>
      <c r="M39" s="303"/>
      <c r="N39" s="303" t="str">
        <f>IF(Summary!F123=0,"",((10^6*Summary!F140)/($C39*Summary!F123)))</f>
        <v/>
      </c>
      <c r="O39" s="303" t="str">
        <f>IF(Summary!G123=0,"",((10^6*Summary!G140)/($C39*Summary!G123)))</f>
        <v/>
      </c>
      <c r="P39" s="303" t="str">
        <f>IF(Summary!H123=0,"",((10^6*Summary!H140)/($C39*Summary!H123)))</f>
        <v/>
      </c>
      <c r="Q39" s="303" t="str">
        <f>IF(Summary!I123=0,"",((10^6*Summary!I140)/($C39*Summary!I123)))</f>
        <v/>
      </c>
      <c r="R39" s="303" t="str">
        <f>IF(Summary!J123=0,"",((10^6*Summary!J140)/($C39*Summary!J123)))</f>
        <v/>
      </c>
      <c r="S39" s="303" t="str">
        <f>IF(Summary!T121=0,"",((10^6*Summary!T140)/($C39*Summary!T121)))</f>
        <v/>
      </c>
      <c r="T39" s="303" t="str">
        <f>IF(Summary!U121=0,"",((10^6*Summary!U140)/($C39*Summary!U121)))</f>
        <v/>
      </c>
      <c r="U39" s="303" t="str">
        <f>IF(Summary!V121=0,"",((10^6*Summary!V140)/($C39*Summary!V121)))</f>
        <v/>
      </c>
    </row>
    <row r="40" spans="3:21">
      <c r="C40" s="427">
        <v>100</v>
      </c>
      <c r="D40" s="127" t="s">
        <v>281</v>
      </c>
      <c r="E40" s="175">
        <v>262.22519083969468</v>
      </c>
      <c r="F40" s="175">
        <v>223.61202964182792</v>
      </c>
      <c r="G40" s="175">
        <v>118.45667534287716</v>
      </c>
      <c r="H40" s="175">
        <v>80.594856591909462</v>
      </c>
      <c r="I40" s="175">
        <v>55.871254639091049</v>
      </c>
      <c r="J40" s="175">
        <v>31.55152277583019</v>
      </c>
      <c r="K40" s="175">
        <f>IF(Summary!C124=0,"",((10^6*Summary!C141)/($C40*Summary!C124)))</f>
        <v>12.434155600788019</v>
      </c>
      <c r="L40" s="175">
        <f>IF(Summary!D124=0,"",((10^6*Summary!D141)/($C40*Summary!D124)))</f>
        <v>5.7399969875798753</v>
      </c>
      <c r="M40" s="303" t="str">
        <f>IF(Summary!E124=0,"",((10^6*Summary!E141)/($C40*Summary!E124)))</f>
        <v/>
      </c>
      <c r="N40" s="303" t="str">
        <f>IF(Summary!F124=0,"",((10^6*Summary!F141)/($C40*Summary!F124)))</f>
        <v/>
      </c>
      <c r="O40" s="303" t="str">
        <f>IF(Summary!G124=0,"",((10^6*Summary!G141)/($C40*Summary!G124)))</f>
        <v/>
      </c>
      <c r="P40" s="303" t="str">
        <f>IF(Summary!H124=0,"",((10^6*Summary!H141)/($C40*Summary!H124)))</f>
        <v/>
      </c>
      <c r="Q40" s="303" t="str">
        <f>IF(Summary!I124=0,"",((10^6*Summary!I141)/($C40*Summary!I124)))</f>
        <v/>
      </c>
      <c r="R40" s="303" t="str">
        <f>IF(Summary!J124=0,"",((10^6*Summary!J141)/($C40*Summary!J124)))</f>
        <v/>
      </c>
      <c r="S40" s="303" t="str">
        <f>IF(Summary!K124=0,"",((10^6*Summary!K141)/($C40*Summary!K124)))</f>
        <v/>
      </c>
      <c r="T40" s="303" t="str">
        <f>IF(Summary!L124=0,"",((10^6*Summary!L141)/($C40*Summary!L124)))</f>
        <v/>
      </c>
      <c r="U40" s="303" t="str">
        <f>IF(Summary!M124=0,"",((10^6*Summary!M141)/($C40*Summary!M124)))</f>
        <v/>
      </c>
    </row>
    <row r="41" spans="3:21">
      <c r="C41" s="427">
        <v>200</v>
      </c>
      <c r="D41" s="429" t="s">
        <v>282</v>
      </c>
      <c r="E41" s="175"/>
      <c r="F41" s="175"/>
      <c r="G41" s="175"/>
      <c r="H41" s="175"/>
      <c r="I41" s="175"/>
      <c r="J41" s="175"/>
      <c r="K41" s="175"/>
      <c r="L41" s="175"/>
      <c r="M41" s="303" t="str">
        <f>IF(Summary!E125=0,"",((10^6*Summary!E142)/($C41*Summary!E125)))</f>
        <v/>
      </c>
      <c r="N41" s="303" t="str">
        <f>IF(Summary!F125=0,"",((10^6*Summary!F142)/($C41*Summary!F125)))</f>
        <v/>
      </c>
      <c r="O41" s="303" t="str">
        <f>IF(Summary!G125=0,"",((10^6*Summary!G142)/($C41*Summary!G125)))</f>
        <v/>
      </c>
      <c r="P41" s="303" t="str">
        <f>IF(Summary!H125=0,"",((10^6*Summary!H142)/($C41*Summary!H125)))</f>
        <v/>
      </c>
      <c r="Q41" s="303" t="str">
        <f>IF(Summary!I125=0,"",((10^6*Summary!I142)/($C41*Summary!I125)))</f>
        <v/>
      </c>
      <c r="R41" s="303" t="str">
        <f>IF(Summary!J125=0,"",((10^6*Summary!J142)/($C41*Summary!J125)))</f>
        <v/>
      </c>
      <c r="S41" s="303" t="str">
        <f>IF(Summary!K125=0,"",((10^6*Summary!K142)/($C41*Summary!K125)))</f>
        <v/>
      </c>
      <c r="T41" s="303" t="str">
        <f>IF(Summary!L125=0,"",((10^6*Summary!L142)/($C41*Summary!L125)))</f>
        <v/>
      </c>
      <c r="U41" s="303" t="str">
        <f>IF(Summary!M125=0,"",((10^6*Summary!M142)/($C41*Summary!M125)))</f>
        <v/>
      </c>
    </row>
    <row r="42" spans="3:21">
      <c r="C42" s="427">
        <v>400</v>
      </c>
      <c r="D42" s="429" t="s">
        <v>283</v>
      </c>
      <c r="E42" s="175"/>
      <c r="F42" s="175"/>
      <c r="G42" s="175"/>
      <c r="H42" s="175"/>
      <c r="I42" s="175"/>
      <c r="J42" s="175"/>
      <c r="K42" s="175"/>
      <c r="L42" s="175"/>
      <c r="M42" s="303" t="str">
        <f>IF(Summary!E126=0,"",((10^6*Summary!E143)/($C42*Summary!E126)))</f>
        <v/>
      </c>
      <c r="N42" s="303" t="str">
        <f>IF(Summary!F126=0,"",((10^6*Summary!F143)/($C42*Summary!F126)))</f>
        <v/>
      </c>
      <c r="O42" s="303" t="str">
        <f>IF(Summary!G126=0,"",((10^6*Summary!G143)/($C42*Summary!G126)))</f>
        <v/>
      </c>
      <c r="P42" s="303" t="str">
        <f>IF(Summary!H126=0,"",((10^6*Summary!H143)/($C42*Summary!H126)))</f>
        <v/>
      </c>
      <c r="Q42" s="303" t="str">
        <f>IF(Summary!I126=0,"",((10^6*Summary!I143)/($C42*Summary!I126)))</f>
        <v/>
      </c>
      <c r="R42" s="303" t="str">
        <f>IF(Summary!J126=0,"",((10^6*Summary!J143)/($C42*Summary!J126)))</f>
        <v/>
      </c>
      <c r="S42" s="303" t="str">
        <f>IF(Summary!K126=0,"",((10^6*Summary!K143)/($C42*Summary!K126)))</f>
        <v/>
      </c>
      <c r="T42" s="303" t="str">
        <f>IF(Summary!L126=0,"",((10^6*Summary!L143)/($C42*Summary!L126)))</f>
        <v/>
      </c>
      <c r="U42" s="303" t="str">
        <f>IF(Summary!M126=0,"",((10^6*Summary!M143)/($C42*Summary!M126)))</f>
        <v/>
      </c>
    </row>
    <row r="43" spans="3:21">
      <c r="C43" s="427">
        <v>800</v>
      </c>
      <c r="D43" s="622" t="s">
        <v>458</v>
      </c>
      <c r="E43" s="175"/>
      <c r="F43" s="175"/>
      <c r="G43" s="175"/>
      <c r="H43" s="175"/>
      <c r="I43" s="175"/>
      <c r="J43" s="175"/>
      <c r="K43" s="175"/>
      <c r="L43" s="175"/>
      <c r="M43" s="303"/>
      <c r="N43" s="303"/>
      <c r="O43" s="303"/>
      <c r="P43" s="303" t="str">
        <f>IF(Summary!H127=0,"",((10^6*Summary!H144)/($C43*Summary!H127)))</f>
        <v/>
      </c>
      <c r="Q43" s="303" t="str">
        <f>IF(Summary!I127=0,"",((10^6*Summary!I144)/($C43*Summary!I127)))</f>
        <v/>
      </c>
      <c r="R43" s="303" t="str">
        <f>IF(Summary!J127=0,"",((10^6*Summary!J144)/($C43*Summary!J127)))</f>
        <v/>
      </c>
      <c r="S43" s="303" t="str">
        <f>IF(Summary!K127=0,"",((10^6*Summary!K144)/($C43*Summary!K127)))</f>
        <v/>
      </c>
      <c r="T43" s="303" t="str">
        <f>IF(Summary!L127=0,"",((10^6*Summary!L144)/($C43*Summary!L127)))</f>
        <v/>
      </c>
      <c r="U43" s="303" t="str">
        <f>IF(Summary!M127=0,"",((10^6*Summary!M144)/($C43*Summary!M127)))</f>
        <v/>
      </c>
    </row>
    <row r="44" spans="3:21">
      <c r="D44" s="129" t="s">
        <v>69</v>
      </c>
      <c r="E44" s="637">
        <v>18.659177244454714</v>
      </c>
      <c r="F44" s="647">
        <v>12.491157998353826</v>
      </c>
      <c r="G44" s="647">
        <v>11.206910619233915</v>
      </c>
      <c r="H44" s="647">
        <v>9.2919679279757297</v>
      </c>
      <c r="I44" s="647">
        <v>7.2488549734174947</v>
      </c>
      <c r="J44" s="647">
        <v>6.6238891591280309</v>
      </c>
      <c r="K44" s="430">
        <f>(Summary!C146*10^6)/(1*Summary!C119+10*Summary!C120+25*Summary!C121+40*Summary!C122+50*Summary!C123+100*Summary!C124+200*Summary!C125+400*Summary!C126)</f>
        <v>6.4437661546773315</v>
      </c>
      <c r="L44" s="430">
        <f>(Summary!D146*10^6)/(1*Summary!D119+10*Summary!D120+25*Summary!D121+40*Summary!D122+50*Summary!D123+100*Summary!D124+200*Summary!D125+400*Summary!D126)</f>
        <v>4.8427153884449652</v>
      </c>
      <c r="M44" s="430" t="e">
        <f>(Summary!E146*10^6)/(1*Summary!E119+10*Summary!E120+25*Summary!E121+40*Summary!E122+50*Summary!E123+100*Summary!E124+200*Summary!E125+400*Summary!E126)</f>
        <v>#DIV/0!</v>
      </c>
      <c r="N44" s="430" t="e">
        <f>(Summary!F146*10^6)/(1*Summary!F119+10*Summary!F120+25*Summary!F121+40*Summary!F122+50*Summary!F123+100*Summary!F124+200*Summary!F125+400*Summary!F126)</f>
        <v>#DIV/0!</v>
      </c>
      <c r="O44" s="430" t="e">
        <f>(Summary!G146*10^6)/(1*Summary!G119+10*Summary!G120+25*Summary!G121+40*Summary!G122+50*Summary!G123+100*Summary!G124+200*Summary!G125+400*Summary!G126)</f>
        <v>#DIV/0!</v>
      </c>
      <c r="P44" s="430" t="e">
        <f>(Summary!H146*10^6)/(1*Summary!H119+10*Summary!H120+25*Summary!H121+40*Summary!H122+50*Summary!H123+100*Summary!H124+200*Summary!H125+400*Summary!H126)</f>
        <v>#DIV/0!</v>
      </c>
      <c r="Q44" s="430" t="e">
        <f>(Summary!I146*10^6)/(1*Summary!I119+10*Summary!I120+25*Summary!I121+40*Summary!I122+50*Summary!I123+100*Summary!I124+200*Summary!I125+400*Summary!I126)</f>
        <v>#DIV/0!</v>
      </c>
      <c r="R44" s="430" t="e">
        <f>(Summary!J146*10^6)/(1*Summary!J119+10*Summary!J120+25*Summary!J121+40*Summary!J122+50*Summary!J123+100*Summary!J124+200*Summary!J125+400*Summary!J126)</f>
        <v>#DIV/0!</v>
      </c>
      <c r="S44" s="430" t="e">
        <f>(Summary!K146*10^6)/(1*Summary!K119+10*Summary!K120+25*Summary!K121+40*Summary!K122+50*Summary!K123+100*Summary!K124+200*Summary!K125+400*Summary!K126)</f>
        <v>#DIV/0!</v>
      </c>
      <c r="T44" s="430" t="e">
        <f>(Summary!L146*10^6)/(1*Summary!L119+10*Summary!L120+25*Summary!L121+40*Summary!L122+50*Summary!L123+100*Summary!L124+200*Summary!L125+400*Summary!L126)</f>
        <v>#DIV/0!</v>
      </c>
      <c r="U44" s="430" t="e">
        <f>(Summary!M146*10^6)/(1*Summary!M119+10*Summary!M120+25*Summary!M121+40*Summary!M122+50*Summary!M123+100*Summary!M124+200*Summary!M125+400*Summary!M126)</f>
        <v>#DIV/0!</v>
      </c>
    </row>
    <row r="67" spans="4:25">
      <c r="V67" s="375"/>
    </row>
    <row r="68" spans="4:25">
      <c r="V68" s="375"/>
    </row>
    <row r="69" spans="4:25">
      <c r="V69" s="375"/>
    </row>
    <row r="70" spans="4:25">
      <c r="V70" s="375"/>
    </row>
    <row r="71" spans="4:25" ht="15.5">
      <c r="D71" s="595" t="s">
        <v>200</v>
      </c>
      <c r="E71" s="123">
        <v>2010</v>
      </c>
      <c r="F71" s="124">
        <v>2011</v>
      </c>
      <c r="G71" s="124">
        <v>2012</v>
      </c>
      <c r="H71" s="124">
        <v>2013</v>
      </c>
      <c r="I71" s="124">
        <v>2014</v>
      </c>
      <c r="J71" s="124">
        <v>2015</v>
      </c>
      <c r="K71" s="152">
        <v>2016</v>
      </c>
      <c r="L71" s="152">
        <v>2017</v>
      </c>
      <c r="M71" s="152">
        <v>2018</v>
      </c>
      <c r="N71" s="152">
        <v>2019</v>
      </c>
      <c r="O71" s="152">
        <v>2020</v>
      </c>
      <c r="P71" s="152">
        <v>2021</v>
      </c>
      <c r="Q71" s="152">
        <v>2022</v>
      </c>
      <c r="R71" s="124">
        <v>2023</v>
      </c>
      <c r="S71" s="124">
        <v>2024</v>
      </c>
      <c r="T71" s="124">
        <v>2025</v>
      </c>
      <c r="U71" s="124">
        <v>2026</v>
      </c>
      <c r="V71" s="375"/>
    </row>
    <row r="72" spans="4:25">
      <c r="D72" s="596" t="str">
        <f t="shared" ref="D72:D80" si="0">D35</f>
        <v>1 G</v>
      </c>
      <c r="E72" s="648">
        <v>13.753951556800791</v>
      </c>
      <c r="F72" s="375">
        <v>12.985268264022558</v>
      </c>
      <c r="G72" s="375">
        <v>12.565352668140264</v>
      </c>
      <c r="H72" s="375">
        <v>11.996692618609446</v>
      </c>
      <c r="I72" s="375">
        <v>11.174241369596015</v>
      </c>
      <c r="J72" s="375">
        <v>10.470983555845212</v>
      </c>
      <c r="K72" s="375">
        <f t="shared" ref="K72:T72" si="1">K95</f>
        <v>10.178233731377588</v>
      </c>
      <c r="L72" s="375">
        <f t="shared" si="1"/>
        <v>8.9746992158904888</v>
      </c>
      <c r="M72" s="375" t="str">
        <f t="shared" si="1"/>
        <v/>
      </c>
      <c r="N72" s="375" t="str">
        <f t="shared" si="1"/>
        <v/>
      </c>
      <c r="O72" s="375" t="str">
        <f t="shared" si="1"/>
        <v/>
      </c>
      <c r="P72" s="375" t="str">
        <f t="shared" si="1"/>
        <v/>
      </c>
      <c r="Q72" s="375" t="str">
        <f t="shared" si="1"/>
        <v/>
      </c>
      <c r="R72" s="375" t="str">
        <f t="shared" si="1"/>
        <v/>
      </c>
      <c r="S72" s="375" t="str">
        <f t="shared" si="1"/>
        <v/>
      </c>
      <c r="T72" s="375" t="str">
        <f t="shared" si="1"/>
        <v/>
      </c>
      <c r="U72" s="375" t="str">
        <f t="shared" ref="U72" si="2">U95</f>
        <v/>
      </c>
      <c r="V72" s="375"/>
    </row>
    <row r="73" spans="4:25">
      <c r="D73" s="597" t="str">
        <f t="shared" si="0"/>
        <v>10 G</v>
      </c>
      <c r="E73" s="648">
        <v>7.2693971450474013</v>
      </c>
      <c r="F73" s="375">
        <v>5.6225638648096545</v>
      </c>
      <c r="G73" s="375">
        <v>4.7234436834010181</v>
      </c>
      <c r="H73" s="375">
        <v>3.5859981642836827</v>
      </c>
      <c r="I73" s="375">
        <v>2.7640696017573658</v>
      </c>
      <c r="J73" s="375">
        <v>2.1809560564685277</v>
      </c>
      <c r="K73" s="375">
        <f>SUM('Products x speed'!E164:E165)*10^6/SUM('Products x speed'!E14:E16)/10</f>
        <v>1.8308628817969292</v>
      </c>
      <c r="L73" s="375">
        <f>SUM('Products x speed'!F164:F165)*10^6/SUM('Products x speed'!F14:F16)/10</f>
        <v>1.5256493367606148</v>
      </c>
      <c r="M73" s="375"/>
      <c r="N73" s="375"/>
      <c r="O73" s="375"/>
      <c r="P73" s="375"/>
      <c r="Q73" s="375"/>
      <c r="R73" s="375"/>
      <c r="S73" s="375"/>
      <c r="T73" s="375"/>
      <c r="U73" s="375"/>
      <c r="V73" s="375"/>
    </row>
    <row r="74" spans="4:25">
      <c r="D74" s="597" t="str">
        <f t="shared" si="0"/>
        <v>25 G</v>
      </c>
      <c r="E74" s="649"/>
      <c r="F74" s="379"/>
      <c r="G74" s="379"/>
      <c r="H74" s="379"/>
      <c r="I74" s="379"/>
      <c r="J74" s="379"/>
      <c r="K74" s="379">
        <f t="shared" ref="K74:T74" si="3">K110</f>
        <v>7.4857262804366078</v>
      </c>
      <c r="L74" s="379">
        <f t="shared" si="3"/>
        <v>5.6444287278986067</v>
      </c>
      <c r="M74" s="379"/>
      <c r="N74" s="379"/>
      <c r="O74" s="379"/>
      <c r="P74" s="379"/>
      <c r="Q74" s="379"/>
      <c r="R74" s="379"/>
      <c r="S74" s="379"/>
      <c r="T74" s="379"/>
      <c r="U74" s="379"/>
      <c r="V74" s="375"/>
    </row>
    <row r="75" spans="4:25">
      <c r="D75" s="598" t="str">
        <f t="shared" si="0"/>
        <v>40 G</v>
      </c>
      <c r="E75" s="648">
        <v>16</v>
      </c>
      <c r="F75" s="375">
        <v>7.186692574411718</v>
      </c>
      <c r="G75" s="375">
        <v>5.2569352371264841</v>
      </c>
      <c r="H75" s="375">
        <v>4.7415806558600639</v>
      </c>
      <c r="I75" s="375">
        <v>4.5976611884346736</v>
      </c>
      <c r="J75" s="375">
        <v>3.0556100659675449</v>
      </c>
      <c r="K75" s="375">
        <f>SUM('Products x speed'!E177:E179)*10^6/SUM('Products x speed'!E27:E29)/40</f>
        <v>4.0004946969346946</v>
      </c>
      <c r="L75" s="375">
        <f>SUM('Products x speed'!F177:F179)*10^6/SUM('Products x speed'!F27:F29)/40</f>
        <v>3.5024711725363686</v>
      </c>
      <c r="M75" s="375"/>
      <c r="N75" s="375"/>
      <c r="O75" s="375"/>
      <c r="P75" s="375"/>
      <c r="Q75" s="375"/>
      <c r="R75" s="375"/>
      <c r="S75" s="375"/>
      <c r="T75" s="375"/>
      <c r="U75" s="375"/>
      <c r="V75" s="375"/>
    </row>
    <row r="76" spans="4:25">
      <c r="D76" s="598" t="str">
        <f t="shared" si="0"/>
        <v>50 G</v>
      </c>
      <c r="E76" s="648"/>
      <c r="F76" s="375"/>
      <c r="G76" s="375"/>
      <c r="H76" s="375"/>
      <c r="I76" s="375"/>
      <c r="J76" s="375"/>
      <c r="K76" s="375"/>
      <c r="L76" s="375"/>
      <c r="M76" s="375"/>
      <c r="N76" s="375"/>
      <c r="O76" s="375"/>
      <c r="P76" s="375"/>
      <c r="Q76" s="375"/>
      <c r="R76" s="375"/>
      <c r="S76" s="375"/>
      <c r="T76" s="375"/>
      <c r="U76" s="375"/>
      <c r="V76" s="375"/>
    </row>
    <row r="77" spans="4:25">
      <c r="D77" s="598" t="str">
        <f t="shared" si="0"/>
        <v>100 G</v>
      </c>
      <c r="E77" s="648"/>
      <c r="F77" s="375"/>
      <c r="G77" s="375">
        <v>23.897826358525922</v>
      </c>
      <c r="H77" s="375">
        <v>18.815171215351814</v>
      </c>
      <c r="I77" s="375">
        <v>17.880221269073317</v>
      </c>
      <c r="J77" s="375">
        <v>13.672506526121772</v>
      </c>
      <c r="K77" s="375">
        <f>SUM('Products x speed'!E189:E194)*10^6/SUM('Products x speed'!E39:E44)/100</f>
        <v>3.2957163623968637</v>
      </c>
      <c r="L77" s="375">
        <f>SUM('Products x speed'!F189:F194)*10^6/SUM('Products x speed'!F39:F44)/100</f>
        <v>1.9723036134511864</v>
      </c>
      <c r="M77" s="375"/>
      <c r="N77" s="535"/>
      <c r="O77" s="375"/>
      <c r="P77" s="375"/>
      <c r="Q77" s="375"/>
      <c r="R77" s="375"/>
      <c r="S77" s="375"/>
      <c r="T77" s="375"/>
      <c r="U77" s="375"/>
      <c r="V77" s="375"/>
    </row>
    <row r="78" spans="4:25">
      <c r="D78" s="598" t="str">
        <f t="shared" si="0"/>
        <v>200 G</v>
      </c>
      <c r="E78" s="649"/>
      <c r="F78" s="379"/>
      <c r="G78" s="379"/>
      <c r="H78" s="379"/>
      <c r="I78" s="379"/>
      <c r="J78" s="379"/>
      <c r="K78" s="379"/>
      <c r="L78" s="379"/>
      <c r="M78" s="379"/>
      <c r="N78" s="376"/>
      <c r="O78" s="376"/>
      <c r="P78" s="376"/>
      <c r="Q78" s="376"/>
      <c r="R78" s="376"/>
      <c r="S78" s="376"/>
      <c r="T78" s="376"/>
      <c r="U78" s="376"/>
      <c r="V78" s="375"/>
      <c r="W78" s="122" t="e">
        <f t="shared" ref="W78:Y79" si="4">O78/N78-1</f>
        <v>#DIV/0!</v>
      </c>
      <c r="X78" s="122" t="e">
        <f t="shared" si="4"/>
        <v>#DIV/0!</v>
      </c>
      <c r="Y78" s="122" t="e">
        <f t="shared" si="4"/>
        <v>#DIV/0!</v>
      </c>
    </row>
    <row r="79" spans="4:25">
      <c r="D79" s="598" t="str">
        <f t="shared" si="0"/>
        <v>400 G</v>
      </c>
      <c r="E79" s="649"/>
      <c r="F79" s="379"/>
      <c r="G79" s="379"/>
      <c r="H79" s="379"/>
      <c r="I79" s="379"/>
      <c r="J79" s="379"/>
      <c r="K79" s="379"/>
      <c r="L79" s="379"/>
      <c r="M79" s="379"/>
      <c r="N79" s="376"/>
      <c r="O79" s="376"/>
      <c r="P79" s="376"/>
      <c r="Q79" s="376"/>
      <c r="R79" s="376"/>
      <c r="S79" s="376"/>
      <c r="T79" s="376"/>
      <c r="U79" s="376"/>
      <c r="V79" s="375"/>
      <c r="W79" s="122" t="e">
        <f t="shared" si="4"/>
        <v>#DIV/0!</v>
      </c>
      <c r="X79" s="122" t="e">
        <f t="shared" si="4"/>
        <v>#DIV/0!</v>
      </c>
      <c r="Y79" s="122" t="e">
        <f t="shared" si="4"/>
        <v>#DIV/0!</v>
      </c>
    </row>
    <row r="80" spans="4:25">
      <c r="D80" s="599" t="str">
        <f t="shared" si="0"/>
        <v>800 G</v>
      </c>
      <c r="E80" s="650"/>
      <c r="F80" s="380"/>
      <c r="G80" s="380"/>
      <c r="H80" s="380"/>
      <c r="I80" s="380"/>
      <c r="J80" s="380"/>
      <c r="K80" s="380"/>
      <c r="L80" s="380"/>
      <c r="M80" s="380"/>
      <c r="N80" s="565"/>
      <c r="O80" s="565"/>
      <c r="P80" s="565"/>
      <c r="Q80" s="565"/>
      <c r="R80" s="565"/>
      <c r="S80" s="565"/>
      <c r="T80" s="565"/>
      <c r="U80" s="565"/>
      <c r="V80" s="375"/>
      <c r="W80" s="122"/>
      <c r="X80" s="122"/>
      <c r="Y80" s="122"/>
    </row>
    <row r="81" spans="2:25">
      <c r="D81" s="600"/>
      <c r="R81" s="370"/>
      <c r="S81" s="370"/>
      <c r="T81" s="370"/>
      <c r="U81" s="370"/>
      <c r="V81" s="375"/>
    </row>
    <row r="82" spans="2:25" ht="15.5">
      <c r="D82" s="595" t="s">
        <v>183</v>
      </c>
      <c r="E82" s="123">
        <v>2010</v>
      </c>
      <c r="F82" s="124">
        <v>2011</v>
      </c>
      <c r="G82" s="124">
        <v>2012</v>
      </c>
      <c r="H82" s="124">
        <v>2013</v>
      </c>
      <c r="I82" s="124">
        <v>2014</v>
      </c>
      <c r="J82" s="124">
        <v>2015</v>
      </c>
      <c r="K82" s="152">
        <v>2016</v>
      </c>
      <c r="L82" s="152">
        <v>2017</v>
      </c>
      <c r="M82" s="152">
        <v>2018</v>
      </c>
      <c r="N82" s="152">
        <v>2019</v>
      </c>
      <c r="O82" s="152">
        <v>2020</v>
      </c>
      <c r="P82" s="152">
        <v>2021</v>
      </c>
      <c r="Q82" s="152">
        <v>2022</v>
      </c>
      <c r="R82" s="124">
        <v>2023</v>
      </c>
      <c r="S82" s="124">
        <v>2024</v>
      </c>
      <c r="T82" s="124">
        <v>2025</v>
      </c>
      <c r="U82" s="124">
        <v>2026</v>
      </c>
      <c r="V82" s="375"/>
    </row>
    <row r="83" spans="2:25">
      <c r="D83" s="596" t="str">
        <f t="shared" ref="D83:D91" si="5">D35</f>
        <v>1 G</v>
      </c>
      <c r="E83" s="648">
        <v>25.149205126655112</v>
      </c>
      <c r="F83" s="375">
        <v>22.542686548685776</v>
      </c>
      <c r="G83" s="375">
        <v>20.494201491669465</v>
      </c>
      <c r="H83" s="375">
        <v>17.059287862972699</v>
      </c>
      <c r="I83" s="375">
        <v>15.209922341136267</v>
      </c>
      <c r="J83" s="375">
        <v>14.316550029685587</v>
      </c>
      <c r="K83" s="375">
        <f t="shared" ref="K83:T83" si="6">K96</f>
        <v>11.313150064475876</v>
      </c>
      <c r="L83" s="375">
        <f t="shared" si="6"/>
        <v>9.7279618337487541</v>
      </c>
      <c r="M83" s="375" t="str">
        <f t="shared" si="6"/>
        <v/>
      </c>
      <c r="N83" s="375" t="str">
        <f t="shared" si="6"/>
        <v/>
      </c>
      <c r="O83" s="375" t="str">
        <f t="shared" si="6"/>
        <v/>
      </c>
      <c r="P83" s="375" t="str">
        <f t="shared" si="6"/>
        <v/>
      </c>
      <c r="Q83" s="375" t="str">
        <f t="shared" si="6"/>
        <v/>
      </c>
      <c r="R83" s="375" t="str">
        <f t="shared" si="6"/>
        <v/>
      </c>
      <c r="S83" s="375" t="str">
        <f t="shared" si="6"/>
        <v/>
      </c>
      <c r="T83" s="375" t="str">
        <f t="shared" si="6"/>
        <v/>
      </c>
      <c r="U83" s="375" t="str">
        <f t="shared" ref="U83" si="7">U96</f>
        <v/>
      </c>
      <c r="V83" s="375"/>
    </row>
    <row r="84" spans="2:25">
      <c r="D84" s="598" t="str">
        <f t="shared" si="5"/>
        <v>10 G</v>
      </c>
      <c r="E84" s="648">
        <v>20.083089586633925</v>
      </c>
      <c r="F84" s="375">
        <v>15.192387099264787</v>
      </c>
      <c r="G84" s="375">
        <v>12.606537702368776</v>
      </c>
      <c r="H84" s="375">
        <v>9.5723766997270552</v>
      </c>
      <c r="I84" s="375">
        <v>6.7015289167061241</v>
      </c>
      <c r="J84" s="375">
        <v>5.5401360004392348</v>
      </c>
      <c r="K84" s="375">
        <f>SUM('Products x speed'!E167:E168)*10^6/SUM('Products x speed'!E17:E18)/10</f>
        <v>3.9011693498104392</v>
      </c>
      <c r="L84" s="375">
        <f>SUM('Products x speed'!F167:F168)*10^6/SUM('Products x speed'!F17:F18)/10</f>
        <v>3.0703885502204229</v>
      </c>
      <c r="M84" s="375"/>
      <c r="N84" s="375"/>
      <c r="O84" s="375"/>
      <c r="P84" s="375"/>
      <c r="Q84" s="375"/>
      <c r="R84" s="375"/>
      <c r="S84" s="375"/>
      <c r="T84" s="375"/>
      <c r="U84" s="375"/>
      <c r="V84" s="375"/>
    </row>
    <row r="85" spans="2:25">
      <c r="D85" s="597" t="str">
        <f t="shared" si="5"/>
        <v>25 G</v>
      </c>
      <c r="E85" s="651"/>
      <c r="F85" s="376"/>
      <c r="G85" s="376"/>
      <c r="H85" s="376"/>
      <c r="I85" s="376"/>
      <c r="J85" s="376"/>
      <c r="K85" s="376">
        <f t="shared" ref="K85:T85" si="8">K111</f>
        <v>18.249613016710644</v>
      </c>
      <c r="L85" s="376">
        <f t="shared" si="8"/>
        <v>12.964142267585002</v>
      </c>
      <c r="M85" s="376"/>
      <c r="N85" s="376"/>
      <c r="O85" s="376"/>
      <c r="P85" s="376"/>
      <c r="Q85" s="376"/>
      <c r="R85" s="376"/>
      <c r="S85" s="376"/>
      <c r="T85" s="376"/>
      <c r="U85" s="376"/>
      <c r="V85" s="375"/>
    </row>
    <row r="86" spans="2:25">
      <c r="D86" s="598" t="str">
        <f t="shared" si="5"/>
        <v>40 G</v>
      </c>
      <c r="E86" s="648">
        <v>80.784136641723492</v>
      </c>
      <c r="F86" s="375">
        <v>77.777449856733512</v>
      </c>
      <c r="G86" s="375">
        <v>31.374042015224383</v>
      </c>
      <c r="H86" s="375">
        <v>20.904356576912654</v>
      </c>
      <c r="I86" s="375">
        <v>18.050742044044327</v>
      </c>
      <c r="J86" s="375">
        <v>16.332734902464885</v>
      </c>
      <c r="K86" s="375">
        <f>SUM('Products x speed'!E180:E184)*10^6/SUM('Products x speed'!E31:E34)/40</f>
        <v>16.617107346810069</v>
      </c>
      <c r="L86" s="375">
        <f>SUM('Products x speed'!F180:F184)*10^6/SUM('Products x speed'!F31:F34)/40</f>
        <v>12.449764992846998</v>
      </c>
      <c r="M86" s="375"/>
      <c r="N86" s="375"/>
      <c r="O86" s="375"/>
      <c r="P86" s="375"/>
      <c r="Q86" s="375"/>
      <c r="R86" s="375"/>
      <c r="S86" s="375"/>
      <c r="T86" s="375"/>
      <c r="U86" s="375"/>
      <c r="V86" s="375"/>
    </row>
    <row r="87" spans="2:25">
      <c r="D87" s="598" t="str">
        <f t="shared" si="5"/>
        <v>50 G</v>
      </c>
      <c r="E87" s="648"/>
      <c r="F87" s="375"/>
      <c r="G87" s="375"/>
      <c r="H87" s="375"/>
      <c r="I87" s="375"/>
      <c r="J87" s="375"/>
      <c r="K87" s="377"/>
      <c r="L87" s="377"/>
      <c r="M87" s="377"/>
      <c r="N87" s="377"/>
      <c r="O87" s="377"/>
      <c r="P87" s="377"/>
      <c r="Q87" s="377"/>
      <c r="R87" s="375"/>
      <c r="S87" s="375"/>
      <c r="T87" s="375"/>
      <c r="U87" s="375"/>
      <c r="V87" s="375"/>
    </row>
    <row r="88" spans="2:25">
      <c r="D88" s="598" t="str">
        <f t="shared" si="5"/>
        <v>100 G</v>
      </c>
      <c r="E88" s="648">
        <v>262.22519083969468</v>
      </c>
      <c r="F88" s="375">
        <v>223.61202964182792</v>
      </c>
      <c r="G88" s="375">
        <v>136.50492489270385</v>
      </c>
      <c r="H88" s="375">
        <v>102.5432875674652</v>
      </c>
      <c r="I88" s="375">
        <v>65.878548873851983</v>
      </c>
      <c r="J88" s="375">
        <v>36.595237268483366</v>
      </c>
      <c r="K88" s="375">
        <f>SUM('Products x speed'!E195:E204)*10^6/SUM('Products x speed'!E45:E54)/100</f>
        <v>15.954523504961168</v>
      </c>
      <c r="L88" s="375">
        <f>SUM('Products x speed'!F195:F204)*10^6/SUM('Products x speed'!F45:F54)/100</f>
        <v>6.5519248022538541</v>
      </c>
      <c r="M88" s="375"/>
      <c r="N88" s="535"/>
      <c r="O88" s="375"/>
      <c r="P88" s="375"/>
      <c r="Q88" s="375"/>
      <c r="R88" s="375"/>
      <c r="S88" s="375"/>
      <c r="T88" s="375"/>
      <c r="U88" s="375"/>
      <c r="V88" s="375"/>
    </row>
    <row r="89" spans="2:25">
      <c r="D89" s="598" t="str">
        <f t="shared" si="5"/>
        <v>200 G</v>
      </c>
      <c r="E89" s="573"/>
      <c r="F89" s="382"/>
      <c r="G89" s="382"/>
      <c r="H89" s="382"/>
      <c r="I89" s="382"/>
      <c r="J89" s="382"/>
      <c r="K89" s="182"/>
      <c r="L89" s="377"/>
      <c r="M89" s="377"/>
      <c r="N89" s="377"/>
      <c r="O89" s="377"/>
      <c r="P89" s="377"/>
      <c r="Q89" s="377"/>
      <c r="R89" s="375"/>
      <c r="S89" s="375"/>
      <c r="T89" s="375"/>
      <c r="U89" s="375"/>
      <c r="V89" s="636" t="e">
        <f t="shared" ref="V89:Y90" si="9">N89/M89-1</f>
        <v>#DIV/0!</v>
      </c>
      <c r="W89" s="122" t="e">
        <f t="shared" si="9"/>
        <v>#DIV/0!</v>
      </c>
      <c r="X89" s="122" t="e">
        <f t="shared" si="9"/>
        <v>#DIV/0!</v>
      </c>
      <c r="Y89" s="122" t="e">
        <f t="shared" si="9"/>
        <v>#DIV/0!</v>
      </c>
    </row>
    <row r="90" spans="2:25">
      <c r="D90" s="598" t="str">
        <f t="shared" si="5"/>
        <v>400 G</v>
      </c>
      <c r="E90" s="573"/>
      <c r="F90" s="382"/>
      <c r="G90" s="382"/>
      <c r="H90" s="382"/>
      <c r="I90" s="382"/>
      <c r="J90" s="382"/>
      <c r="K90" s="182"/>
      <c r="L90" s="377"/>
      <c r="M90" s="377"/>
      <c r="N90" s="377"/>
      <c r="O90" s="377"/>
      <c r="P90" s="377"/>
      <c r="Q90" s="377"/>
      <c r="R90" s="375"/>
      <c r="S90" s="375"/>
      <c r="T90" s="375"/>
      <c r="U90" s="375"/>
      <c r="V90" s="636" t="e">
        <f t="shared" si="9"/>
        <v>#DIV/0!</v>
      </c>
      <c r="W90" s="122" t="e">
        <f t="shared" si="9"/>
        <v>#DIV/0!</v>
      </c>
      <c r="X90" s="122" t="e">
        <f t="shared" si="9"/>
        <v>#DIV/0!</v>
      </c>
      <c r="Y90" s="122" t="e">
        <f t="shared" si="9"/>
        <v>#DIV/0!</v>
      </c>
    </row>
    <row r="91" spans="2:25">
      <c r="D91" s="601" t="str">
        <f t="shared" si="5"/>
        <v>800 G</v>
      </c>
      <c r="E91" s="652"/>
      <c r="F91" s="653"/>
      <c r="G91" s="653"/>
      <c r="H91" s="653"/>
      <c r="I91" s="653"/>
      <c r="J91" s="653"/>
      <c r="K91" s="199"/>
      <c r="L91" s="378"/>
      <c r="M91" s="378"/>
      <c r="N91" s="378"/>
      <c r="O91" s="378"/>
      <c r="P91" s="378"/>
      <c r="Q91" s="378"/>
      <c r="R91" s="387"/>
      <c r="S91" s="387"/>
      <c r="T91" s="387"/>
      <c r="U91" s="387"/>
      <c r="W91" s="122"/>
      <c r="X91" s="122"/>
    </row>
    <row r="92" spans="2:25">
      <c r="P92" s="370"/>
      <c r="Q92" s="370"/>
    </row>
    <row r="93" spans="2:25" ht="15.5">
      <c r="B93" s="190" t="s">
        <v>68</v>
      </c>
    </row>
    <row r="94" spans="2:25">
      <c r="B94" s="447" t="s">
        <v>33</v>
      </c>
      <c r="C94" s="368" t="s">
        <v>32</v>
      </c>
      <c r="D94" s="369" t="s">
        <v>34</v>
      </c>
      <c r="E94" s="131">
        <v>2010</v>
      </c>
      <c r="F94" s="132">
        <v>2011</v>
      </c>
      <c r="G94" s="132">
        <v>2012</v>
      </c>
      <c r="H94" s="133">
        <v>2013</v>
      </c>
      <c r="I94" s="131">
        <v>2014</v>
      </c>
      <c r="J94" s="132">
        <v>2015</v>
      </c>
      <c r="K94" s="132">
        <v>2016</v>
      </c>
      <c r="L94" s="132">
        <v>2017</v>
      </c>
      <c r="M94" s="132">
        <v>2018</v>
      </c>
      <c r="N94" s="132">
        <v>2019</v>
      </c>
      <c r="O94" s="132">
        <v>2020</v>
      </c>
      <c r="P94" s="132">
        <v>2021</v>
      </c>
      <c r="Q94" s="132">
        <v>2022</v>
      </c>
      <c r="R94" s="132">
        <v>2023</v>
      </c>
      <c r="S94" s="132">
        <v>2024</v>
      </c>
      <c r="T94" s="132">
        <v>2025</v>
      </c>
      <c r="U94" s="132">
        <v>2026</v>
      </c>
    </row>
    <row r="95" spans="2:25">
      <c r="B95" s="96" t="str">
        <f>'Products x speed'!B9</f>
        <v>1G</v>
      </c>
      <c r="C95" s="97" t="s">
        <v>45</v>
      </c>
      <c r="D95" s="97" t="s">
        <v>47</v>
      </c>
      <c r="E95" s="654">
        <v>13.753951556800791</v>
      </c>
      <c r="F95" s="365">
        <v>12.985268264022558</v>
      </c>
      <c r="G95" s="365">
        <v>12.565352668140264</v>
      </c>
      <c r="H95" s="365">
        <v>11.996692618609446</v>
      </c>
      <c r="I95" s="365">
        <v>11.174241369596015</v>
      </c>
      <c r="J95" s="365">
        <v>10.470983555845212</v>
      </c>
      <c r="K95" s="126">
        <f>IF('Products x speed'!E9=0,"",('Products x speed'!E159*10^6/'Products x speed'!E9))</f>
        <v>10.178233731377588</v>
      </c>
      <c r="L95" s="126">
        <f>IF('Products x speed'!F9=0,"",('Products x speed'!F159*10^6/'Products x speed'!F9))</f>
        <v>8.9746992158904888</v>
      </c>
      <c r="M95" s="126" t="str">
        <f>IF('Products x speed'!G9=0,"",('Products x speed'!G159*10^6/'Products x speed'!G9))</f>
        <v/>
      </c>
      <c r="N95" s="126" t="str">
        <f>IF('Products x speed'!H9=0,"",('Products x speed'!H159*10^6/'Products x speed'!H9))</f>
        <v/>
      </c>
      <c r="O95" s="126" t="str">
        <f>IF('Products x speed'!I9=0,"",('Products x speed'!I159*10^6/'Products x speed'!I9))</f>
        <v/>
      </c>
      <c r="P95" s="126" t="str">
        <f>IF('Products x speed'!J9=0,"",('Products x speed'!J159*10^6/'Products x speed'!J9))</f>
        <v/>
      </c>
      <c r="Q95" s="126" t="str">
        <f>IF('Products x speed'!K9=0,"",('Products x speed'!K159*10^6/'Products x speed'!K9))</f>
        <v/>
      </c>
      <c r="R95" s="386" t="str">
        <f>IF('Products x speed'!L9=0,"",('Products x speed'!L159*10^6/'Products x speed'!L9))</f>
        <v/>
      </c>
      <c r="S95" s="386" t="str">
        <f>IF('Products x speed'!M9=0,"",('Products x speed'!M159*10^6/'Products x speed'!M9))</f>
        <v/>
      </c>
      <c r="T95" s="386" t="str">
        <f>IF('Products x speed'!N9=0,"",('Products x speed'!N159*10^6/'Products x speed'!N9))</f>
        <v/>
      </c>
      <c r="U95" s="386" t="str">
        <f>IF('Products x speed'!O9=0,"",('Products x speed'!O159*10^6/'Products x speed'!O9))</f>
        <v/>
      </c>
    </row>
    <row r="96" spans="2:25">
      <c r="B96" s="96" t="str">
        <f>'Products x speed'!B10</f>
        <v>1G</v>
      </c>
      <c r="C96" s="97" t="s">
        <v>51</v>
      </c>
      <c r="D96" s="97" t="s">
        <v>47</v>
      </c>
      <c r="E96" s="374">
        <v>25.149205126655112</v>
      </c>
      <c r="F96" s="373">
        <v>22.542686548685776</v>
      </c>
      <c r="G96" s="373">
        <v>20.494201491669465</v>
      </c>
      <c r="H96" s="373">
        <v>17.059287862972699</v>
      </c>
      <c r="I96" s="373">
        <v>15.209922341136267</v>
      </c>
      <c r="J96" s="373">
        <v>14.316550029685587</v>
      </c>
      <c r="K96" s="128">
        <f>IF('Products x speed'!E10=0,"",('Products x speed'!E160*10^6/'Products x speed'!E10))</f>
        <v>11.313150064475876</v>
      </c>
      <c r="L96" s="128">
        <f>IF('Products x speed'!F10=0,"",('Products x speed'!F160*10^6/'Products x speed'!F10))</f>
        <v>9.7279618337487541</v>
      </c>
      <c r="M96" s="128" t="str">
        <f>IF('Products x speed'!G10=0,"",('Products x speed'!G160*10^6/'Products x speed'!G10))</f>
        <v/>
      </c>
      <c r="N96" s="128" t="str">
        <f>IF('Products x speed'!H10=0,"",('Products x speed'!H160*10^6/'Products x speed'!H10))</f>
        <v/>
      </c>
      <c r="O96" s="128" t="str">
        <f>IF('Products x speed'!I10=0,"",('Products x speed'!I160*10^6/'Products x speed'!I10))</f>
        <v/>
      </c>
      <c r="P96" s="128" t="str">
        <f>IF('Products x speed'!J10=0,"",('Products x speed'!J160*10^6/'Products x speed'!J10))</f>
        <v/>
      </c>
      <c r="Q96" s="128" t="str">
        <f>IF('Products x speed'!K10=0,"",('Products x speed'!K160*10^6/'Products x speed'!K10))</f>
        <v/>
      </c>
      <c r="R96" s="375" t="str">
        <f>IF('Products x speed'!L10=0,"",('Products x speed'!L160*10^6/'Products x speed'!L10))</f>
        <v/>
      </c>
      <c r="S96" s="375" t="str">
        <f>IF('Products x speed'!M10=0,"",('Products x speed'!M160*10^6/'Products x speed'!M10))</f>
        <v/>
      </c>
      <c r="T96" s="375" t="str">
        <f>IF('Products x speed'!N10=0,"",('Products x speed'!N160*10^6/'Products x speed'!N10))</f>
        <v/>
      </c>
      <c r="U96" s="375" t="str">
        <f>IF('Products x speed'!O10=0,"",('Products x speed'!O160*10^6/'Products x speed'!O10))</f>
        <v/>
      </c>
    </row>
    <row r="97" spans="2:21">
      <c r="B97" s="96" t="str">
        <f>'Products x speed'!B11</f>
        <v>1G</v>
      </c>
      <c r="C97" s="97" t="s">
        <v>56</v>
      </c>
      <c r="D97" s="97" t="s">
        <v>47</v>
      </c>
      <c r="E97" s="374">
        <v>49.545765519722842</v>
      </c>
      <c r="F97" s="373">
        <v>31.082332063515352</v>
      </c>
      <c r="G97" s="373">
        <v>29.317117113588608</v>
      </c>
      <c r="H97" s="373">
        <v>25.450996968927363</v>
      </c>
      <c r="I97" s="373">
        <v>26.220308543667187</v>
      </c>
      <c r="J97" s="373">
        <v>31.241164678387808</v>
      </c>
      <c r="K97" s="128">
        <f>IF('Products x speed'!E11=0,"",('Products x speed'!E161*10^6/'Products x speed'!E11))</f>
        <v>14.223250006112197</v>
      </c>
      <c r="L97" s="128">
        <f>IF('Products x speed'!F11=0,"",('Products x speed'!F161*10^6/'Products x speed'!F11))</f>
        <v>11.270556706605298</v>
      </c>
      <c r="M97" s="128" t="str">
        <f>IF('Products x speed'!G11=0,"",('Products x speed'!G161*10^6/'Products x speed'!G11))</f>
        <v/>
      </c>
      <c r="N97" s="128" t="str">
        <f>IF('Products x speed'!H11=0,"",('Products x speed'!H161*10^6/'Products x speed'!H11))</f>
        <v/>
      </c>
      <c r="O97" s="128" t="str">
        <f>IF('Products x speed'!I11=0,"",('Products x speed'!I161*10^6/'Products x speed'!I11))</f>
        <v/>
      </c>
      <c r="P97" s="128" t="str">
        <f>IF('Products x speed'!J11=0,"",('Products x speed'!J161*10^6/'Products x speed'!J11))</f>
        <v/>
      </c>
      <c r="Q97" s="128" t="str">
        <f>IF('Products x speed'!K11=0,"",('Products x speed'!K161*10^6/'Products x speed'!K11))</f>
        <v/>
      </c>
      <c r="R97" s="375" t="str">
        <f>IF('Products x speed'!L11=0,"",('Products x speed'!L161*10^6/'Products x speed'!L11))</f>
        <v/>
      </c>
      <c r="S97" s="375" t="str">
        <f>IF('Products x speed'!M11=0,"",('Products x speed'!M161*10^6/'Products x speed'!M11))</f>
        <v/>
      </c>
      <c r="T97" s="375" t="str">
        <f>IF('Products x speed'!N11=0,"",('Products x speed'!N161*10^6/'Products x speed'!N11))</f>
        <v/>
      </c>
      <c r="U97" s="375" t="str">
        <f>IF('Products x speed'!O11=0,"",('Products x speed'!O161*10^6/'Products x speed'!O11))</f>
        <v/>
      </c>
    </row>
    <row r="98" spans="2:21">
      <c r="B98" s="96" t="str">
        <f>'Products x speed'!B12</f>
        <v>1G</v>
      </c>
      <c r="C98" s="97" t="s">
        <v>58</v>
      </c>
      <c r="D98" s="97" t="s">
        <v>47</v>
      </c>
      <c r="E98" s="374">
        <v>142.80979504422271</v>
      </c>
      <c r="F98" s="373">
        <v>136.76558510512777</v>
      </c>
      <c r="G98" s="373">
        <v>104.22764561707035</v>
      </c>
      <c r="H98" s="373">
        <v>93.07490654205607</v>
      </c>
      <c r="I98" s="373">
        <v>69.983684966026232</v>
      </c>
      <c r="J98" s="373">
        <v>61.786589764149333</v>
      </c>
      <c r="K98" s="128">
        <f>IF('Products x speed'!E12=0,"",('Products x speed'!E162*10^6/'Products x speed'!E12))</f>
        <v>47.263945249069465</v>
      </c>
      <c r="L98" s="128">
        <f>IF('Products x speed'!F12=0,"",('Products x speed'!F162*10^6/'Products x speed'!F12))</f>
        <v>42.349942382451964</v>
      </c>
      <c r="M98" s="128" t="str">
        <f>IF('Products x speed'!G12=0,"",('Products x speed'!G162*10^6/'Products x speed'!G12))</f>
        <v/>
      </c>
      <c r="N98" s="128" t="str">
        <f>IF('Products x speed'!H12=0,"",('Products x speed'!H162*10^6/'Products x speed'!H12))</f>
        <v/>
      </c>
      <c r="O98" s="128" t="str">
        <f>IF('Products x speed'!I12=0,"",('Products x speed'!I162*10^6/'Products x speed'!I12))</f>
        <v/>
      </c>
      <c r="P98" s="128" t="str">
        <f>IF('Products x speed'!J12=0,"",('Products x speed'!J162*10^6/'Products x speed'!J12))</f>
        <v/>
      </c>
      <c r="Q98" s="128" t="str">
        <f>IF('Products x speed'!K12=0,"",('Products x speed'!K162*10^6/'Products x speed'!K12))</f>
        <v/>
      </c>
      <c r="R98" s="375" t="str">
        <f>IF('Products x speed'!L12=0,"",('Products x speed'!L162*10^6/'Products x speed'!L12))</f>
        <v/>
      </c>
      <c r="S98" s="375" t="str">
        <f>IF('Products x speed'!M12=0,"",('Products x speed'!M162*10^6/'Products x speed'!M12))</f>
        <v/>
      </c>
      <c r="T98" s="375" t="str">
        <f>IF('Products x speed'!N12=0,"",('Products x speed'!N162*10^6/'Products x speed'!N12))</f>
        <v/>
      </c>
      <c r="U98" s="375" t="str">
        <f>IF('Products x speed'!O12=0,"",('Products x speed'!O162*10^6/'Products x speed'!O12))</f>
        <v/>
      </c>
    </row>
    <row r="99" spans="2:21">
      <c r="B99" s="92" t="s">
        <v>285</v>
      </c>
      <c r="C99" s="93" t="s">
        <v>173</v>
      </c>
      <c r="D99" s="94" t="s">
        <v>174</v>
      </c>
      <c r="E99" s="371">
        <v>25.939560910404783</v>
      </c>
      <c r="F99" s="366">
        <v>22.688081673781415</v>
      </c>
      <c r="G99" s="366">
        <v>22.22062865405962</v>
      </c>
      <c r="H99" s="366">
        <v>18.709801438173759</v>
      </c>
      <c r="I99" s="366">
        <v>20.126479250400688</v>
      </c>
      <c r="J99" s="366">
        <v>19.049722478191732</v>
      </c>
      <c r="K99" s="130">
        <f>IF('Products x speed'!E13=0,"",('Products x speed'!E163*10^6/'Products x speed'!E13))</f>
        <v>18</v>
      </c>
      <c r="L99" s="130" t="str">
        <f>IF('Products x speed'!F13=0,"",('Products x speed'!F163*10^6/'Products x speed'!F13))</f>
        <v/>
      </c>
      <c r="M99" s="130" t="str">
        <f>IF('Products x speed'!G13=0,"",('Products x speed'!G163*10^6/'Products x speed'!G13))</f>
        <v/>
      </c>
      <c r="N99" s="130" t="str">
        <f>IF('Products x speed'!H13=0,"",('Products x speed'!H163*10^6/'Products x speed'!H13))</f>
        <v/>
      </c>
      <c r="O99" s="130" t="str">
        <f>IF('Products x speed'!I13=0,"",('Products x speed'!I163*10^6/'Products x speed'!I13))</f>
        <v/>
      </c>
      <c r="P99" s="130" t="str">
        <f>IF('Products x speed'!J13=0,"",('Products x speed'!J163*10^6/'Products x speed'!J13))</f>
        <v/>
      </c>
      <c r="Q99" s="130" t="str">
        <f>IF('Products x speed'!K13=0,"",('Products x speed'!K163*10^6/'Products x speed'!K13))</f>
        <v/>
      </c>
      <c r="R99" s="387" t="str">
        <f>IF('Products x speed'!L13=0,"",('Products x speed'!L163*10^6/'Products x speed'!L13))</f>
        <v/>
      </c>
      <c r="S99" s="387" t="str">
        <f>IF('Products x speed'!M13=0,"",('Products x speed'!M163*10^6/'Products x speed'!M13))</f>
        <v/>
      </c>
      <c r="T99" s="387" t="str">
        <f>IF('Products x speed'!N13=0,"",('Products x speed'!N163*10^6/'Products x speed'!N13))</f>
        <v/>
      </c>
      <c r="U99" s="387" t="str">
        <f>IF('Products x speed'!O13=0,"",('Products x speed'!O163*10^6/'Products x speed'!O13))</f>
        <v/>
      </c>
    </row>
    <row r="100" spans="2:21">
      <c r="B100" s="96" t="str">
        <f>'Products x speed'!B14</f>
        <v>10G</v>
      </c>
      <c r="C100" s="97" t="s">
        <v>35</v>
      </c>
      <c r="D100" s="97" t="s">
        <v>38</v>
      </c>
      <c r="E100" s="374">
        <v>15.112743762429563</v>
      </c>
      <c r="F100" s="373">
        <v>13.644428836751862</v>
      </c>
      <c r="G100" s="373">
        <v>12.213062068937878</v>
      </c>
      <c r="H100" s="373">
        <v>10.358623644251628</v>
      </c>
      <c r="I100" s="373">
        <v>8.8299085008401157</v>
      </c>
      <c r="J100" s="373">
        <v>7.1240862463661356</v>
      </c>
      <c r="K100" s="128">
        <f>IF('Products x speed'!E14=0,"",('Products x speed'!E164*10^6/('Products x speed'!E14*10)))</f>
        <v>6.5084287545305619</v>
      </c>
      <c r="L100" s="128">
        <f>IF('Products x speed'!F14=0,"",('Products x speed'!F164*10^6/('Products x speed'!F14*10)))</f>
        <v>5.8749084731162213</v>
      </c>
      <c r="M100" s="128" t="str">
        <f>IF('Products x speed'!G14=0,"",('Products x speed'!G164*10^6/('Products x speed'!G14*10)))</f>
        <v/>
      </c>
      <c r="N100" s="128" t="str">
        <f>IF('Products x speed'!H14=0,"",('Products x speed'!H164*10^6/('Products x speed'!H14*10)))</f>
        <v/>
      </c>
      <c r="O100" s="128" t="str">
        <f>IF('Products x speed'!I14=0,"",('Products x speed'!I164*10^6/('Products x speed'!I14*10)))</f>
        <v/>
      </c>
      <c r="P100" s="128" t="str">
        <f>IF('Products x speed'!J14=0,"",('Products x speed'!J164*10^6/('Products x speed'!J14*10)))</f>
        <v/>
      </c>
      <c r="Q100" s="128" t="str">
        <f>IF('Products x speed'!K14=0,"",('Products x speed'!K164*10^6/('Products x speed'!K14*10)))</f>
        <v/>
      </c>
      <c r="R100" s="375" t="str">
        <f>IF('Products x speed'!L14=0,"",('Products x speed'!L164*10^6/('Products x speed'!L14*10)))</f>
        <v/>
      </c>
      <c r="S100" s="375" t="str">
        <f>IF('Products x speed'!M14=0,"",('Products x speed'!M164*10^6/('Products x speed'!M14*10)))</f>
        <v/>
      </c>
      <c r="T100" s="375" t="str">
        <f>IF('Products x speed'!N14=0,"",('Products x speed'!N164*10^6/('Products x speed'!N14*10)))</f>
        <v/>
      </c>
      <c r="U100" s="375" t="str">
        <f>IF('Products x speed'!O14=0,"",('Products x speed'!O164*10^6/('Products x speed'!O14*10)))</f>
        <v/>
      </c>
    </row>
    <row r="101" spans="2:21">
      <c r="B101" s="96" t="str">
        <f>'Products x speed'!B15</f>
        <v>10G</v>
      </c>
      <c r="C101" s="97" t="s">
        <v>35</v>
      </c>
      <c r="D101" s="335" t="s">
        <v>44</v>
      </c>
      <c r="E101" s="374">
        <v>6.3065721604628431</v>
      </c>
      <c r="F101" s="373">
        <v>5.2297989857359539</v>
      </c>
      <c r="G101" s="373">
        <v>4.4677992243753275</v>
      </c>
      <c r="H101" s="373">
        <v>3.4688754082935795</v>
      </c>
      <c r="I101" s="373">
        <v>2.6888660608661401</v>
      </c>
      <c r="J101" s="373">
        <v>2.1430684172313463</v>
      </c>
      <c r="K101" s="128">
        <f>IF('Products x speed'!E15=0,"",('Products x speed'!E165*10^6/('Products x speed'!E15*10)))</f>
        <v>1.8016278339273539</v>
      </c>
      <c r="L101" s="128">
        <f>IF('Products x speed'!F15=0,"",('Products x speed'!F165*10^6/('Products x speed'!F15*10)))</f>
        <v>1.5097691372748405</v>
      </c>
      <c r="M101" s="534" t="str">
        <f>IF('Products x speed'!G15=0,"",('Products x speed'!G165*10^6/('Products x speed'!G15*10)))</f>
        <v/>
      </c>
      <c r="N101" s="534" t="str">
        <f>IF('Products x speed'!H15=0,"",('Products x speed'!H165*10^6/('Products x speed'!H15*10)))</f>
        <v/>
      </c>
      <c r="O101" s="534" t="str">
        <f>IF('Products x speed'!I15=0,"",('Products x speed'!I165*10^6/('Products x speed'!I15*10)))</f>
        <v/>
      </c>
      <c r="P101" s="534" t="str">
        <f>IF('Products x speed'!J15=0,"",('Products x speed'!J165*10^6/('Products x speed'!J15*10)))</f>
        <v/>
      </c>
      <c r="Q101" s="534" t="str">
        <f>IF('Products x speed'!K15=0,"",('Products x speed'!K165*10^6/('Products x speed'!K15*10)))</f>
        <v/>
      </c>
      <c r="R101" s="535" t="str">
        <f>IF('Products x speed'!L15=0,"",('Products x speed'!L165*10^6/('Products x speed'!L15*10)))</f>
        <v/>
      </c>
      <c r="S101" s="535" t="str">
        <f>IF('Products x speed'!M15=0,"",('Products x speed'!M165*10^6/('Products x speed'!M15*10)))</f>
        <v/>
      </c>
      <c r="T101" s="535" t="str">
        <f>IF('Products x speed'!N15=0,"",('Products x speed'!N165*10^6/('Products x speed'!N15*10)))</f>
        <v/>
      </c>
      <c r="U101" s="535" t="str">
        <f>IF('Products x speed'!O15=0,"",('Products x speed'!O165*10^6/('Products x speed'!O15*10)))</f>
        <v/>
      </c>
    </row>
    <row r="102" spans="2:21">
      <c r="B102" s="96" t="str">
        <f>'Products x speed'!B16</f>
        <v>10G LRM</v>
      </c>
      <c r="C102" s="97" t="s">
        <v>42</v>
      </c>
      <c r="D102" s="97" t="s">
        <v>44</v>
      </c>
      <c r="E102" s="374">
        <v>14.424503640491661</v>
      </c>
      <c r="F102" s="373">
        <v>14.320708480982754</v>
      </c>
      <c r="G102" s="373">
        <v>12.179925063605946</v>
      </c>
      <c r="H102" s="373">
        <v>10.562327378629689</v>
      </c>
      <c r="I102" s="373">
        <v>12.750044659952088</v>
      </c>
      <c r="J102" s="373">
        <v>12.14662229411816</v>
      </c>
      <c r="K102" s="128">
        <f>IF('Products x speed'!E16=0,"",('Products x speed'!E166*10^6/('Products x speed'!E16*10)))</f>
        <v>7.8390761412913719</v>
      </c>
      <c r="L102" s="128">
        <f>IF('Products x speed'!F16=0,"",('Products x speed'!F166*10^6/('Products x speed'!F16*10)))</f>
        <v>6.6716018564745481</v>
      </c>
      <c r="M102" s="534" t="str">
        <f>IF('Products x speed'!G16=0,"",('Products x speed'!G166*10^6/('Products x speed'!G16*10)))</f>
        <v/>
      </c>
      <c r="N102" s="534" t="str">
        <f>IF('Products x speed'!H16=0,"",('Products x speed'!H166*10^6/('Products x speed'!H16*10)))</f>
        <v/>
      </c>
      <c r="O102" s="534" t="str">
        <f>IF('Products x speed'!I16=0,"",('Products x speed'!I166*10^6/('Products x speed'!I16*10)))</f>
        <v/>
      </c>
      <c r="P102" s="534" t="str">
        <f>IF('Products x speed'!J16=0,"",('Products x speed'!J166*10^6/('Products x speed'!J16*10)))</f>
        <v/>
      </c>
      <c r="Q102" s="534" t="str">
        <f>IF('Products x speed'!K16=0,"",('Products x speed'!K166*10^6/('Products x speed'!K16*10)))</f>
        <v/>
      </c>
      <c r="R102" s="535" t="str">
        <f>IF('Products x speed'!L16=0,"",('Products x speed'!L166*10^6/('Products x speed'!L16*10)))</f>
        <v/>
      </c>
      <c r="S102" s="535" t="str">
        <f>IF('Products x speed'!M16=0,"",('Products x speed'!M166*10^6/('Products x speed'!M16*10)))</f>
        <v/>
      </c>
      <c r="T102" s="535" t="str">
        <f>IF('Products x speed'!N16=0,"",('Products x speed'!N166*10^6/('Products x speed'!N16*10)))</f>
        <v/>
      </c>
      <c r="U102" s="535" t="str">
        <f>IF('Products x speed'!O16=0,"",('Products x speed'!O166*10^6/('Products x speed'!O16*10)))</f>
        <v/>
      </c>
    </row>
    <row r="103" spans="2:21">
      <c r="B103" s="96" t="str">
        <f>'Products x speed'!B17</f>
        <v>10G</v>
      </c>
      <c r="C103" s="97" t="s">
        <v>51</v>
      </c>
      <c r="D103" s="97" t="s">
        <v>38</v>
      </c>
      <c r="E103" s="374">
        <v>21.949942921858643</v>
      </c>
      <c r="F103" s="373">
        <v>16.075519589493304</v>
      </c>
      <c r="G103" s="373">
        <v>14.249466750501512</v>
      </c>
      <c r="H103" s="373">
        <v>10.184443824489581</v>
      </c>
      <c r="I103" s="373">
        <v>9.3993109419468723</v>
      </c>
      <c r="J103" s="373">
        <v>9.1544098465554882</v>
      </c>
      <c r="K103" s="128">
        <f>IF('Products x speed'!E17=0,"",('Products x speed'!E167*10^6/('Products x speed'!E17*10)))</f>
        <v>6.757697222104901</v>
      </c>
      <c r="L103" s="128">
        <f>IF('Products x speed'!F17=0,"",('Products x speed'!F167*10^6/('Products x speed'!F17*10)))</f>
        <v>5.1799368807617707</v>
      </c>
      <c r="M103" s="534" t="str">
        <f>IF('Products x speed'!G17=0,"",('Products x speed'!G167*10^6/('Products x speed'!G17*10)))</f>
        <v/>
      </c>
      <c r="N103" s="534" t="str">
        <f>IF('Products x speed'!H17=0,"",('Products x speed'!H167*10^6/('Products x speed'!H17*10)))</f>
        <v/>
      </c>
      <c r="O103" s="534" t="str">
        <f>IF('Products x speed'!I17=0,"",('Products x speed'!I167*10^6/('Products x speed'!I17*10)))</f>
        <v/>
      </c>
      <c r="P103" s="534" t="str">
        <f>IF('Products x speed'!J17=0,"",('Products x speed'!J167*10^6/('Products x speed'!J17*10)))</f>
        <v/>
      </c>
      <c r="Q103" s="534" t="str">
        <f>IF('Products x speed'!K17=0,"",('Products x speed'!K167*10^6/('Products x speed'!K17*10)))</f>
        <v/>
      </c>
      <c r="R103" s="535" t="str">
        <f>IF('Products x speed'!L17=0,"",('Products x speed'!L167*10^6/('Products x speed'!L17*10)))</f>
        <v/>
      </c>
      <c r="S103" s="535" t="str">
        <f>IF('Products x speed'!M17=0,"",('Products x speed'!M167*10^6/('Products x speed'!M17*10)))</f>
        <v/>
      </c>
      <c r="T103" s="535" t="str">
        <f>IF('Products x speed'!N17=0,"",('Products x speed'!N167*10^6/('Products x speed'!N17*10)))</f>
        <v/>
      </c>
      <c r="U103" s="535" t="str">
        <f>IF('Products x speed'!O17=0,"",('Products x speed'!O167*10^6/('Products x speed'!O17*10)))</f>
        <v/>
      </c>
    </row>
    <row r="104" spans="2:21">
      <c r="B104" s="96" t="str">
        <f>'Products x speed'!B18</f>
        <v>10G</v>
      </c>
      <c r="C104" s="97" t="s">
        <v>51</v>
      </c>
      <c r="D104" s="97" t="s">
        <v>44</v>
      </c>
      <c r="E104" s="374">
        <v>17.318530244368393</v>
      </c>
      <c r="F104" s="373">
        <v>14.620100776925561</v>
      </c>
      <c r="G104" s="373">
        <v>11.971948263419872</v>
      </c>
      <c r="H104" s="373">
        <v>9.4707702365193303</v>
      </c>
      <c r="I104" s="373">
        <v>6.5595897378862764</v>
      </c>
      <c r="J104" s="373">
        <v>5.4323012474402681</v>
      </c>
      <c r="K104" s="128">
        <f>IF('Products x speed'!E18=0,"",('Products x speed'!E168*10^6/('Products x speed'!E18*10)))</f>
        <v>3.846595831142734</v>
      </c>
      <c r="L104" s="128">
        <f>IF('Products x speed'!F18=0,"",('Products x speed'!F168*10^6/('Products x speed'!F18*10)))</f>
        <v>3.05</v>
      </c>
      <c r="M104" s="534" t="str">
        <f>IF('Products x speed'!G18=0,"",('Products x speed'!G168*10^6/('Products x speed'!G18*10)))</f>
        <v/>
      </c>
      <c r="N104" s="534" t="str">
        <f>IF('Products x speed'!H18=0,"",('Products x speed'!H168*10^6/('Products x speed'!H18*10)))</f>
        <v/>
      </c>
      <c r="O104" s="534" t="str">
        <f>IF('Products x speed'!I18=0,"",('Products x speed'!I168*10^6/('Products x speed'!I18*10)))</f>
        <v/>
      </c>
      <c r="P104" s="534" t="str">
        <f>IF('Products x speed'!J18=0,"",('Products x speed'!J168*10^6/('Products x speed'!J18*10)))</f>
        <v/>
      </c>
      <c r="Q104" s="534" t="str">
        <f>IF('Products x speed'!K18=0,"",('Products x speed'!K168*10^6/('Products x speed'!K18*10)))</f>
        <v/>
      </c>
      <c r="R104" s="535" t="str">
        <f>IF('Products x speed'!L18=0,"",('Products x speed'!L168*10^6/('Products x speed'!L18*10)))</f>
        <v/>
      </c>
      <c r="S104" s="535" t="str">
        <f>IF('Products x speed'!M18=0,"",('Products x speed'!M168*10^6/('Products x speed'!M18*10)))</f>
        <v/>
      </c>
      <c r="T104" s="535" t="str">
        <f>IF('Products x speed'!N18=0,"",('Products x speed'!N168*10^6/('Products x speed'!N18*10)))</f>
        <v/>
      </c>
      <c r="U104" s="535" t="str">
        <f>IF('Products x speed'!O18=0,"",('Products x speed'!O168*10^6/('Products x speed'!O18*10)))</f>
        <v/>
      </c>
    </row>
    <row r="105" spans="2:21">
      <c r="B105" s="96" t="str">
        <f>'Products x speed'!B19</f>
        <v>10G</v>
      </c>
      <c r="C105" s="97" t="s">
        <v>56</v>
      </c>
      <c r="D105" s="97" t="s">
        <v>40</v>
      </c>
      <c r="E105" s="374">
        <v>45.874914932918529</v>
      </c>
      <c r="F105" s="373">
        <v>37.910166436234448</v>
      </c>
      <c r="G105" s="373">
        <v>27.801267657346035</v>
      </c>
      <c r="H105" s="373">
        <v>24.705890892593853</v>
      </c>
      <c r="I105" s="373">
        <v>27.500914160292453</v>
      </c>
      <c r="J105" s="373">
        <v>18.976906755898383</v>
      </c>
      <c r="K105" s="128">
        <f>IF('Products x speed'!E19=0,"",('Products x speed'!E169*10^6/('Products x speed'!E19*10)))</f>
        <v>20.296860771881491</v>
      </c>
      <c r="L105" s="128">
        <f>IF('Products x speed'!F19=0,"",('Products x speed'!F169*10^6/('Products x speed'!F19*10)))</f>
        <v>13.947449702400384</v>
      </c>
      <c r="M105" s="128" t="str">
        <f>IF('Products x speed'!G19=0,"",('Products x speed'!G169*10^6/('Products x speed'!G19*10)))</f>
        <v/>
      </c>
      <c r="N105" s="128" t="str">
        <f>IF('Products x speed'!H19=0,"",('Products x speed'!H169*10^6/('Products x speed'!H19*10)))</f>
        <v/>
      </c>
      <c r="O105" s="128" t="str">
        <f>IF('Products x speed'!I19=0,"",('Products x speed'!I169*10^6/('Products x speed'!I19*10)))</f>
        <v/>
      </c>
      <c r="P105" s="128" t="str">
        <f>IF('Products x speed'!J19=0,"",('Products x speed'!J169*10^6/('Products x speed'!J19*10)))</f>
        <v/>
      </c>
      <c r="Q105" s="128" t="str">
        <f>IF('Products x speed'!K19=0,"",('Products x speed'!K169*10^6/('Products x speed'!K19*10)))</f>
        <v/>
      </c>
      <c r="R105" s="375" t="str">
        <f>IF('Products x speed'!L19=0,"",('Products x speed'!L169*10^6/('Products x speed'!L19*10)))</f>
        <v/>
      </c>
      <c r="S105" s="375" t="str">
        <f>IF('Products x speed'!M19=0,"",('Products x speed'!M169*10^6/('Products x speed'!M19*10)))</f>
        <v/>
      </c>
      <c r="T105" s="375" t="str">
        <f>IF('Products x speed'!N19=0,"",('Products x speed'!N169*10^6/('Products x speed'!N19*10)))</f>
        <v/>
      </c>
      <c r="U105" s="375" t="str">
        <f>IF('Products x speed'!O19=0,"",('Products x speed'!O169*10^6/('Products x speed'!O19*10)))</f>
        <v/>
      </c>
    </row>
    <row r="106" spans="2:21">
      <c r="B106" s="96" t="str">
        <f>'Products x speed'!B20</f>
        <v>10G</v>
      </c>
      <c r="C106" s="97" t="s">
        <v>56</v>
      </c>
      <c r="D106" s="97" t="s">
        <v>44</v>
      </c>
      <c r="E106" s="374">
        <v>49.522759992422806</v>
      </c>
      <c r="F106" s="373">
        <v>28.460997703897085</v>
      </c>
      <c r="G106" s="373">
        <v>28.065265440087025</v>
      </c>
      <c r="H106" s="373">
        <v>29.089882800330866</v>
      </c>
      <c r="I106" s="373">
        <v>26.671920773297607</v>
      </c>
      <c r="J106" s="373">
        <v>22.444621372233495</v>
      </c>
      <c r="K106" s="128">
        <f>IF('Products x speed'!E20=0,"",('Products x speed'!E170*10^6/('Products x speed'!E20*10)))</f>
        <v>19.120778168956544</v>
      </c>
      <c r="L106" s="128">
        <f>IF('Products x speed'!F20=0,"",('Products x speed'!F170*10^6/('Products x speed'!F20*10)))</f>
        <v>15.578241680453386</v>
      </c>
      <c r="M106" s="128" t="str">
        <f>IF('Products x speed'!G20=0,"",('Products x speed'!G170*10^6/('Products x speed'!G20*10)))</f>
        <v/>
      </c>
      <c r="N106" s="128" t="str">
        <f>IF('Products x speed'!H20=0,"",('Products x speed'!H170*10^6/('Products x speed'!H20*10)))</f>
        <v/>
      </c>
      <c r="O106" s="128" t="str">
        <f>IF('Products x speed'!I20=0,"",('Products x speed'!I170*10^6/('Products x speed'!I20*10)))</f>
        <v/>
      </c>
      <c r="P106" s="128" t="str">
        <f>IF('Products x speed'!J20=0,"",('Products x speed'!J170*10^6/('Products x speed'!J20*10)))</f>
        <v/>
      </c>
      <c r="Q106" s="128" t="str">
        <f>IF('Products x speed'!K20=0,"",('Products x speed'!K170*10^6/('Products x speed'!K20*10)))</f>
        <v/>
      </c>
      <c r="R106" s="375" t="str">
        <f>IF('Products x speed'!L20=0,"",('Products x speed'!L170*10^6/('Products x speed'!L20*10)))</f>
        <v/>
      </c>
      <c r="S106" s="375" t="str">
        <f>IF('Products x speed'!M20=0,"",('Products x speed'!M170*10^6/('Products x speed'!M20*10)))</f>
        <v/>
      </c>
      <c r="T106" s="375" t="str">
        <f>IF('Products x speed'!N20=0,"",('Products x speed'!N170*10^6/('Products x speed'!N20*10)))</f>
        <v/>
      </c>
      <c r="U106" s="375" t="str">
        <f>IF('Products x speed'!O20=0,"",('Products x speed'!O170*10^6/('Products x speed'!O20*10)))</f>
        <v/>
      </c>
    </row>
    <row r="107" spans="2:21">
      <c r="B107" s="96" t="str">
        <f>'Products x speed'!B21</f>
        <v>10G</v>
      </c>
      <c r="C107" s="97" t="s">
        <v>58</v>
      </c>
      <c r="D107" s="97" t="s">
        <v>40</v>
      </c>
      <c r="E107" s="374">
        <v>100.59981308411216</v>
      </c>
      <c r="F107" s="373">
        <v>89.19652258693533</v>
      </c>
      <c r="G107" s="373">
        <v>71.370818803180356</v>
      </c>
      <c r="H107" s="373">
        <v>49.034202541247865</v>
      </c>
      <c r="I107" s="373">
        <v>45.201280095262213</v>
      </c>
      <c r="J107" s="373">
        <v>40.142869182236097</v>
      </c>
      <c r="K107" s="128">
        <f>IF('Products x speed'!E21=0,"",('Products x speed'!E171*10^6/('Products x speed'!E21*10)))</f>
        <v>27.207487233854959</v>
      </c>
      <c r="L107" s="128">
        <f>IF('Products x speed'!F21=0,"",('Products x speed'!F171*10^6/('Products x speed'!F21*10)))</f>
        <v>27.905568350167474</v>
      </c>
      <c r="M107" s="128" t="str">
        <f>IF('Products x speed'!G21=0,"",('Products x speed'!G171*10^6/('Products x speed'!G21*10)))</f>
        <v/>
      </c>
      <c r="N107" s="128" t="str">
        <f>IF('Products x speed'!H21=0,"",('Products x speed'!H171*10^6/('Products x speed'!H21*10)))</f>
        <v/>
      </c>
      <c r="O107" s="128" t="str">
        <f>IF('Products x speed'!I21=0,"",('Products x speed'!I171*10^6/('Products x speed'!I21*10)))</f>
        <v/>
      </c>
      <c r="P107" s="128" t="str">
        <f>IF('Products x speed'!J21=0,"",('Products x speed'!J171*10^6/('Products x speed'!J21*10)))</f>
        <v/>
      </c>
      <c r="Q107" s="128" t="str">
        <f>IF('Products x speed'!K21=0,"",('Products x speed'!K171*10^6/('Products x speed'!K21*10)))</f>
        <v/>
      </c>
      <c r="R107" s="375" t="str">
        <f>IF('Products x speed'!L21=0,"",('Products x speed'!L171*10^6/('Products x speed'!L21*10)))</f>
        <v/>
      </c>
      <c r="S107" s="375" t="str">
        <f>IF('Products x speed'!M21=0,"",('Products x speed'!M171*10^6/('Products x speed'!M21*10)))</f>
        <v/>
      </c>
      <c r="T107" s="375" t="str">
        <f>IF('Products x speed'!N21=0,"",('Products x speed'!N171*10^6/('Products x speed'!N21*10)))</f>
        <v/>
      </c>
      <c r="U107" s="375" t="str">
        <f>IF('Products x speed'!O21=0,"",('Products x speed'!O171*10^6/('Products x speed'!O21*10)))</f>
        <v/>
      </c>
    </row>
    <row r="108" spans="2:21">
      <c r="B108" s="96" t="str">
        <f>'Products x speed'!B22</f>
        <v>10G</v>
      </c>
      <c r="C108" s="97" t="s">
        <v>58</v>
      </c>
      <c r="D108" s="97" t="s">
        <v>44</v>
      </c>
      <c r="E108" s="374">
        <v>90</v>
      </c>
      <c r="F108" s="373">
        <v>72</v>
      </c>
      <c r="G108" s="373">
        <v>70</v>
      </c>
      <c r="H108" s="373">
        <v>68.759579667644189</v>
      </c>
      <c r="I108" s="373">
        <v>61.089275470004111</v>
      </c>
      <c r="J108" s="373">
        <v>43.108286819302243</v>
      </c>
      <c r="K108" s="128">
        <f>IF('Products x speed'!E22=0,"",('Products x speed'!E172*10^6/('Products x speed'!E22*10)))</f>
        <v>36.231733736347387</v>
      </c>
      <c r="L108" s="128">
        <f>IF('Products x speed'!F22=0,"",('Products x speed'!F172*10^6/('Products x speed'!F22*10)))</f>
        <v>29.614130230693675</v>
      </c>
      <c r="M108" s="128" t="str">
        <f>IF('Products x speed'!G22=0,"",('Products x speed'!G172*10^6/('Products x speed'!G22*10)))</f>
        <v/>
      </c>
      <c r="N108" s="128" t="str">
        <f>IF('Products x speed'!H22=0,"",('Products x speed'!H172*10^6/('Products x speed'!H22*10)))</f>
        <v/>
      </c>
      <c r="O108" s="128" t="str">
        <f>IF('Products x speed'!I22=0,"",('Products x speed'!I172*10^6/('Products x speed'!I22*10)))</f>
        <v/>
      </c>
      <c r="P108" s="128" t="str">
        <f>IF('Products x speed'!J22=0,"",('Products x speed'!J172*10^6/('Products x speed'!J22*10)))</f>
        <v/>
      </c>
      <c r="Q108" s="128" t="str">
        <f>IF('Products x speed'!K22=0,"",('Products x speed'!K172*10^6/('Products x speed'!K22*10)))</f>
        <v/>
      </c>
      <c r="R108" s="375" t="str">
        <f>IF('Products x speed'!L22=0,"",('Products x speed'!L172*10^6/('Products x speed'!L22*10)))</f>
        <v/>
      </c>
      <c r="S108" s="375" t="str">
        <f>IF('Products x speed'!M22=0,"",('Products x speed'!M172*10^6/('Products x speed'!M22*10)))</f>
        <v/>
      </c>
      <c r="T108" s="375" t="str">
        <f>IF('Products x speed'!N22=0,"",('Products x speed'!N172*10^6/('Products x speed'!N22*10)))</f>
        <v/>
      </c>
      <c r="U108" s="375" t="str">
        <f>IF('Products x speed'!O22=0,"",('Products x speed'!O172*10^6/('Products x speed'!O22*10)))</f>
        <v/>
      </c>
    </row>
    <row r="109" spans="2:21">
      <c r="B109" s="92" t="str">
        <f>'Products x speed'!B23</f>
        <v>10G</v>
      </c>
      <c r="C109" s="93" t="s">
        <v>173</v>
      </c>
      <c r="D109" s="93" t="s">
        <v>174</v>
      </c>
      <c r="E109" s="374">
        <v>23.186054938926809</v>
      </c>
      <c r="F109" s="373">
        <v>18.046254106421078</v>
      </c>
      <c r="G109" s="373">
        <v>15.98759050008206</v>
      </c>
      <c r="H109" s="373">
        <v>14.120306156443664</v>
      </c>
      <c r="I109" s="373">
        <v>12.638928513741623</v>
      </c>
      <c r="J109" s="373">
        <v>11.370912284040928</v>
      </c>
      <c r="K109" s="128">
        <f>IF('Products x speed'!E23=0,"",('Products x speed'!E173*10^6/('Products x speed'!E23*10)))</f>
        <v>9.9093186017554924</v>
      </c>
      <c r="L109" s="128">
        <f>IF('Products x speed'!F23=0,"",('Products x speed'!F173*10^6/('Products x speed'!F23*10)))</f>
        <v>9.4281145957499302</v>
      </c>
      <c r="M109" s="128" t="str">
        <f>IF('Products x speed'!G23=0,"",('Products x speed'!G173*10^6/('Products x speed'!G23*10)))</f>
        <v/>
      </c>
      <c r="N109" s="128" t="str">
        <f>IF('Products x speed'!H23=0,"",('Products x speed'!H173*10^6/('Products x speed'!H23*10)))</f>
        <v/>
      </c>
      <c r="O109" s="128" t="str">
        <f>IF('Products x speed'!I23=0,"",('Products x speed'!I173*10^6/('Products x speed'!I23*10)))</f>
        <v/>
      </c>
      <c r="P109" s="128" t="str">
        <f>IF('Products x speed'!J23=0,"",('Products x speed'!J173*10^6/('Products x speed'!J23*10)))</f>
        <v/>
      </c>
      <c r="Q109" s="128" t="str">
        <f>IF('Products x speed'!K23=0,"",('Products x speed'!K173*10^6/('Products x speed'!K23*10)))</f>
        <v/>
      </c>
      <c r="R109" s="375" t="str">
        <f>IF('Products x speed'!L23=0,"",('Products x speed'!L173*10^6/('Products x speed'!L23*10)))</f>
        <v/>
      </c>
      <c r="S109" s="375" t="str">
        <f>IF('Products x speed'!M23=0,"",('Products x speed'!M173*10^6/('Products x speed'!M23*10)))</f>
        <v/>
      </c>
      <c r="T109" s="375" t="str">
        <f>IF('Products x speed'!N23=0,"",('Products x speed'!N173*10^6/('Products x speed'!N23*10)))</f>
        <v/>
      </c>
      <c r="U109" s="375" t="str">
        <f>IF('Products x speed'!O23=0,"",('Products x speed'!O173*10^6/('Products x speed'!O23*10)))</f>
        <v/>
      </c>
    </row>
    <row r="110" spans="2:21">
      <c r="B110" s="88" t="str">
        <f>'Products x speed'!B24</f>
        <v>25G SR, eSR</v>
      </c>
      <c r="C110" s="244" t="s">
        <v>35</v>
      </c>
      <c r="D110" s="244" t="s">
        <v>117</v>
      </c>
      <c r="E110" s="654" t="s">
        <v>95</v>
      </c>
      <c r="F110" s="365" t="s">
        <v>95</v>
      </c>
      <c r="G110" s="365" t="s">
        <v>95</v>
      </c>
      <c r="H110" s="365" t="s">
        <v>95</v>
      </c>
      <c r="I110" s="365" t="s">
        <v>95</v>
      </c>
      <c r="J110" s="365" t="s">
        <v>95</v>
      </c>
      <c r="K110" s="126">
        <f>IF('Products x speed'!E24=0,"",('Products x speed'!E174*10^6/('Products x speed'!E24*25)))</f>
        <v>7.4857262804366078</v>
      </c>
      <c r="L110" s="126">
        <f>IF('Products x speed'!F24=0,"",('Products x speed'!F174*10^6/('Products x speed'!F24*25)))</f>
        <v>5.6444287278986067</v>
      </c>
      <c r="M110" s="126" t="str">
        <f>IF('Products x speed'!G24=0,"",('Products x speed'!G174*10^6/('Products x speed'!G24*25)))</f>
        <v/>
      </c>
      <c r="N110" s="126" t="str">
        <f>IF('Products x speed'!H24=0,"",('Products x speed'!H174*10^6/('Products x speed'!H24*25)))</f>
        <v/>
      </c>
      <c r="O110" s="126" t="str">
        <f>IF('Products x speed'!I24=0,"",('Products x speed'!I174*10^6/('Products x speed'!I24*25)))</f>
        <v/>
      </c>
      <c r="P110" s="126" t="str">
        <f>IF('Products x speed'!J24=0,"",('Products x speed'!J174*10^6/('Products x speed'!J24*25)))</f>
        <v/>
      </c>
      <c r="Q110" s="126" t="str">
        <f>IF('Products x speed'!K24=0,"",('Products x speed'!K174*10^6/('Products x speed'!K24*25)))</f>
        <v/>
      </c>
      <c r="R110" s="386" t="str">
        <f>IF('Products x speed'!L24=0,"",('Products x speed'!L174*10^6/('Products x speed'!L24*25)))</f>
        <v/>
      </c>
      <c r="S110" s="386" t="str">
        <f>IF('Products x speed'!M24=0,"",('Products x speed'!M174*10^6/('Products x speed'!M24*25)))</f>
        <v/>
      </c>
      <c r="T110" s="386" t="str">
        <f>IF('Products x speed'!N24=0,"",('Products x speed'!N174*10^6/('Products x speed'!N24*25)))</f>
        <v/>
      </c>
      <c r="U110" s="386" t="str">
        <f>IF('Products x speed'!O24=0,"",('Products x speed'!O174*10^6/('Products x speed'!O24*25)))</f>
        <v/>
      </c>
    </row>
    <row r="111" spans="2:21">
      <c r="B111" s="96" t="str">
        <f>'Products x speed'!B25</f>
        <v>25G LR</v>
      </c>
      <c r="C111" s="244" t="s">
        <v>51</v>
      </c>
      <c r="D111" s="244" t="s">
        <v>117</v>
      </c>
      <c r="E111" s="374" t="s">
        <v>95</v>
      </c>
      <c r="F111" s="373" t="s">
        <v>95</v>
      </c>
      <c r="G111" s="373" t="s">
        <v>95</v>
      </c>
      <c r="H111" s="373" t="s">
        <v>95</v>
      </c>
      <c r="I111" s="373" t="s">
        <v>95</v>
      </c>
      <c r="J111" s="373" t="s">
        <v>95</v>
      </c>
      <c r="K111" s="128">
        <f>IF('Products x speed'!E25=0,"",('Products x speed'!E175*10^6/('Products x speed'!E25*25)))</f>
        <v>18.249613016710644</v>
      </c>
      <c r="L111" s="128">
        <f>IF('Products x speed'!F25=0,"",('Products x speed'!F175*10^6/('Products x speed'!F25*25)))</f>
        <v>12.964142267585002</v>
      </c>
      <c r="M111" s="128" t="str">
        <f>IF('Products x speed'!G25=0,"",('Products x speed'!G175*10^6/('Products x speed'!G25*25)))</f>
        <v/>
      </c>
      <c r="N111" s="128" t="str">
        <f>IF('Products x speed'!H25=0,"",('Products x speed'!H175*10^6/('Products x speed'!H25*25)))</f>
        <v/>
      </c>
      <c r="O111" s="128" t="str">
        <f>IF('Products x speed'!I25=0,"",('Products x speed'!I175*10^6/('Products x speed'!I25*25)))</f>
        <v/>
      </c>
      <c r="P111" s="128" t="str">
        <f>IF('Products x speed'!J25=0,"",('Products x speed'!J175*10^6/('Products x speed'!J25*25)))</f>
        <v/>
      </c>
      <c r="Q111" s="128" t="str">
        <f>IF('Products x speed'!K25=0,"",('Products x speed'!K175*10^6/('Products x speed'!K25*25)))</f>
        <v/>
      </c>
      <c r="R111" s="375" t="str">
        <f>IF('Products x speed'!L25=0,"",('Products x speed'!L175*10^6/('Products x speed'!L25*25)))</f>
        <v/>
      </c>
      <c r="S111" s="375" t="str">
        <f>IF('Products x speed'!M25=0,"",('Products x speed'!M175*10^6/('Products x speed'!M25*25)))</f>
        <v/>
      </c>
      <c r="T111" s="375" t="str">
        <f>IF('Products x speed'!N25=0,"",('Products x speed'!N175*10^6/('Products x speed'!N25*25)))</f>
        <v/>
      </c>
      <c r="U111" s="375" t="str">
        <f>IF('Products x speed'!O25=0,"",('Products x speed'!O175*10^6/('Products x speed'!O25*25)))</f>
        <v/>
      </c>
    </row>
    <row r="112" spans="2:21">
      <c r="B112" s="92" t="str">
        <f>'Products x speed'!B26</f>
        <v>25G ER</v>
      </c>
      <c r="C112" s="372" t="s">
        <v>56</v>
      </c>
      <c r="D112" s="244" t="s">
        <v>117</v>
      </c>
      <c r="E112" s="371" t="s">
        <v>95</v>
      </c>
      <c r="F112" s="366" t="s">
        <v>95</v>
      </c>
      <c r="G112" s="366" t="s">
        <v>95</v>
      </c>
      <c r="H112" s="366" t="s">
        <v>95</v>
      </c>
      <c r="I112" s="366" t="s">
        <v>95</v>
      </c>
      <c r="J112" s="366" t="s">
        <v>95</v>
      </c>
      <c r="K112" s="130" t="str">
        <f>IF('Products x speed'!E26=0,"",('Products x speed'!E176*10^6/('Products x speed'!E26*25)))</f>
        <v/>
      </c>
      <c r="L112" s="130" t="str">
        <f>IF('Products x speed'!F26=0,"",('Products x speed'!F176*10^6/('Products x speed'!F26*25)))</f>
        <v/>
      </c>
      <c r="M112" s="130" t="str">
        <f>IF('Products x speed'!G26=0,"",('Products x speed'!G176*10^6/('Products x speed'!G26*25)))</f>
        <v/>
      </c>
      <c r="N112" s="130" t="str">
        <f>IF('Products x speed'!H26=0,"",('Products x speed'!H176*10^6/('Products x speed'!H26*25)))</f>
        <v/>
      </c>
      <c r="O112" s="130" t="str">
        <f>IF('Products x speed'!I26=0,"",('Products x speed'!I176*10^6/('Products x speed'!I26*25)))</f>
        <v/>
      </c>
      <c r="P112" s="130" t="str">
        <f>IF('Products x speed'!J26=0,"",('Products x speed'!J176*10^6/('Products x speed'!J26*25)))</f>
        <v/>
      </c>
      <c r="Q112" s="130" t="str">
        <f>IF('Products x speed'!K26=0,"",('Products x speed'!K176*10^6/('Products x speed'!K26*25)))</f>
        <v/>
      </c>
      <c r="R112" s="387" t="str">
        <f>IF('Products x speed'!L26=0,"",('Products x speed'!L176*10^6/('Products x speed'!L26*25)))</f>
        <v/>
      </c>
      <c r="S112" s="387" t="str">
        <f>IF('Products x speed'!M26=0,"",('Products x speed'!M176*10^6/('Products x speed'!M26*25)))</f>
        <v/>
      </c>
      <c r="T112" s="387" t="str">
        <f>IF('Products x speed'!N26=0,"",('Products x speed'!N176*10^6/('Products x speed'!N26*25)))</f>
        <v/>
      </c>
      <c r="U112" s="387" t="str">
        <f>IF('Products x speed'!O26=0,"",('Products x speed'!O176*10^6/('Products x speed'!O26*25)))</f>
        <v/>
      </c>
    </row>
    <row r="113" spans="2:22">
      <c r="B113" s="88" t="str">
        <f>'Products x speed'!B27</f>
        <v>40G SR4</v>
      </c>
      <c r="C113" s="89" t="str">
        <f>'Products x speed'!C27</f>
        <v>100 m</v>
      </c>
      <c r="D113" s="89" t="str">
        <f>'Products x speed'!D27</f>
        <v>QSFP+</v>
      </c>
      <c r="E113" s="374">
        <v>16</v>
      </c>
      <c r="F113" s="373">
        <v>7.186692574411718</v>
      </c>
      <c r="G113" s="373">
        <v>5.2569352371264841</v>
      </c>
      <c r="H113" s="373">
        <v>4.7415806558600639</v>
      </c>
      <c r="I113" s="373">
        <v>4.2772281148687288</v>
      </c>
      <c r="J113" s="373">
        <v>2.8627568014306539</v>
      </c>
      <c r="K113" s="128">
        <f>IF('Products x speed'!E27=0,"",('Products x speed'!E177*10^6/('Products x speed'!E27*40)))</f>
        <v>2.4148765971891244</v>
      </c>
      <c r="L113" s="128">
        <f>IF('Products x speed'!F27=0,"",('Products x speed'!F177*10^6/('Products x speed'!F27*40)))</f>
        <v>2.0094949393981421</v>
      </c>
      <c r="M113" s="128" t="str">
        <f>IF('Products x speed'!G27=0,"",('Products x speed'!G177*10^6/('Products x speed'!G27*40)))</f>
        <v/>
      </c>
      <c r="N113" s="128" t="str">
        <f>IF('Products x speed'!H27=0,"",('Products x speed'!H177*10^6/('Products x speed'!H27*40)))</f>
        <v/>
      </c>
      <c r="O113" s="128" t="str">
        <f>IF('Products x speed'!I27=0,"",('Products x speed'!I177*10^6/('Products x speed'!I27*40)))</f>
        <v/>
      </c>
      <c r="P113" s="128" t="str">
        <f>IF('Products x speed'!J27=0,"",('Products x speed'!J177*10^6/('Products x speed'!J27*40)))</f>
        <v/>
      </c>
      <c r="Q113" s="128" t="str">
        <f>IF('Products x speed'!K27=0,"",('Products x speed'!K177*10^6/('Products x speed'!K27*40)))</f>
        <v/>
      </c>
      <c r="R113" s="375" t="str">
        <f>IF('Products x speed'!L27=0,"",('Products x speed'!L177*10^6/('Products x speed'!L27*40)))</f>
        <v/>
      </c>
      <c r="S113" s="375" t="str">
        <f>IF('Products x speed'!M27=0,"",('Products x speed'!M177*10^6/('Products x speed'!M27*40)))</f>
        <v/>
      </c>
      <c r="T113" s="375" t="str">
        <f>IF('Products x speed'!N27=0,"",('Products x speed'!N177*10^6/('Products x speed'!N27*40)))</f>
        <v/>
      </c>
      <c r="U113" s="375" t="str">
        <f>IF('Products x speed'!O27=0,"",('Products x speed'!O177*10^6/('Products x speed'!O27*40)))</f>
        <v/>
      </c>
    </row>
    <row r="114" spans="2:22">
      <c r="B114" s="96" t="str">
        <f>'Products x speed'!B28</f>
        <v>40G MM duplex</v>
      </c>
      <c r="C114" s="97" t="str">
        <f>'Products x speed'!C28</f>
        <v>100 m</v>
      </c>
      <c r="D114" s="97" t="str">
        <f>'Products x speed'!D28</f>
        <v>QSFP+</v>
      </c>
      <c r="E114" s="374" t="s">
        <v>95</v>
      </c>
      <c r="F114" s="373" t="s">
        <v>95</v>
      </c>
      <c r="G114" s="373" t="s">
        <v>95</v>
      </c>
      <c r="H114" s="373" t="s">
        <v>95</v>
      </c>
      <c r="I114" s="373">
        <v>3.0227272727272729</v>
      </c>
      <c r="J114" s="373">
        <v>2.6704545454545454</v>
      </c>
      <c r="K114" s="128">
        <f>IF('Products x speed'!E28=0,"",('Products x speed'!E178*10^6/('Products x speed'!E28*40)))</f>
        <v>6.25</v>
      </c>
      <c r="L114" s="128">
        <f>IF('Products x speed'!F28=0,"",('Products x speed'!F178*10^6/('Products x speed'!F28*40)))</f>
        <v>6</v>
      </c>
      <c r="M114" s="128" t="str">
        <f>IF('Products x speed'!G28=0,"",('Products x speed'!G178*10^6/('Products x speed'!G28*40)))</f>
        <v/>
      </c>
      <c r="N114" s="128" t="str">
        <f>IF('Products x speed'!H28=0,"",('Products x speed'!H178*10^6/('Products x speed'!H28*40)))</f>
        <v/>
      </c>
      <c r="O114" s="128" t="str">
        <f>IF('Products x speed'!I28=0,"",('Products x speed'!I178*10^6/('Products x speed'!I28*40)))</f>
        <v/>
      </c>
      <c r="P114" s="128" t="str">
        <f>IF('Products x speed'!J28=0,"",('Products x speed'!J178*10^6/('Products x speed'!J28*40)))</f>
        <v/>
      </c>
      <c r="Q114" s="128" t="str">
        <f>IF('Products x speed'!K28=0,"",('Products x speed'!K178*10^6/('Products x speed'!K28*40)))</f>
        <v/>
      </c>
      <c r="R114" s="375" t="str">
        <f>IF('Products x speed'!L28=0,"",('Products x speed'!L178*10^6/('Products x speed'!L28*40)))</f>
        <v/>
      </c>
      <c r="S114" s="375" t="str">
        <f>IF('Products x speed'!M28=0,"",('Products x speed'!M178*10^6/('Products x speed'!M28*40)))</f>
        <v/>
      </c>
      <c r="T114" s="375" t="str">
        <f>IF('Products x speed'!N28=0,"",('Products x speed'!N178*10^6/('Products x speed'!N28*40)))</f>
        <v/>
      </c>
      <c r="U114" s="375" t="str">
        <f>IF('Products x speed'!O28=0,"",('Products x speed'!O178*10^6/('Products x speed'!O28*40)))</f>
        <v/>
      </c>
    </row>
    <row r="115" spans="2:22">
      <c r="B115" s="96" t="str">
        <f>'Products x speed'!B29</f>
        <v>40G eSR4</v>
      </c>
      <c r="C115" s="97" t="str">
        <f>'Products x speed'!C29</f>
        <v>300 m</v>
      </c>
      <c r="D115" s="97" t="str">
        <f>'Products x speed'!D29</f>
        <v>QSFP+</v>
      </c>
      <c r="E115" s="374" t="s">
        <v>95</v>
      </c>
      <c r="F115" s="373" t="s">
        <v>95</v>
      </c>
      <c r="G115" s="373" t="s">
        <v>95</v>
      </c>
      <c r="H115" s="373" t="s">
        <v>95</v>
      </c>
      <c r="I115" s="373">
        <v>7.5329776155856303</v>
      </c>
      <c r="J115" s="373">
        <v>4.6144862787768171</v>
      </c>
      <c r="K115" s="128">
        <f>IF('Products x speed'!E29=0,"",('Products x speed'!E179*10^6/('Products x speed'!E29*40)))</f>
        <v>2.6666536469780473</v>
      </c>
      <c r="L115" s="128">
        <f>IF('Products x speed'!F29=0,"",('Products x speed'!F179*10^6/('Products x speed'!F29*40)))</f>
        <v>2.0249820485065428</v>
      </c>
      <c r="M115" s="128" t="str">
        <f>IF('Products x speed'!G29=0,"",('Products x speed'!G179*10^6/('Products x speed'!G29*40)))</f>
        <v/>
      </c>
      <c r="N115" s="128" t="str">
        <f>IF('Products x speed'!H29=0,"",('Products x speed'!H179*10^6/('Products x speed'!H29*40)))</f>
        <v/>
      </c>
      <c r="O115" s="128" t="str">
        <f>IF('Products x speed'!I29=0,"",('Products x speed'!I179*10^6/('Products x speed'!I29*40)))</f>
        <v/>
      </c>
      <c r="P115" s="128" t="str">
        <f>IF('Products x speed'!J29=0,"",('Products x speed'!J179*10^6/('Products x speed'!J29*40)))</f>
        <v/>
      </c>
      <c r="Q115" s="128" t="str">
        <f>IF('Products x speed'!K29=0,"",('Products x speed'!K179*10^6/('Products x speed'!K29*40)))</f>
        <v/>
      </c>
      <c r="R115" s="375" t="str">
        <f>IF('Products x speed'!L29=0,"",('Products x speed'!L179*10^6/('Products x speed'!L29*40)))</f>
        <v/>
      </c>
      <c r="S115" s="375" t="str">
        <f>IF('Products x speed'!M29=0,"",('Products x speed'!M179*10^6/('Products x speed'!M29*40)))</f>
        <v/>
      </c>
      <c r="T115" s="375" t="str">
        <f>IF('Products x speed'!N29=0,"",('Products x speed'!N179*10^6/('Products x speed'!N29*40)))</f>
        <v/>
      </c>
      <c r="U115" s="375" t="str">
        <f>IF('Products x speed'!O29=0,"",('Products x speed'!O179*10^6/('Products x speed'!O29*40)))</f>
        <v/>
      </c>
    </row>
    <row r="116" spans="2:22">
      <c r="B116" s="96" t="str">
        <f>'Products x speed'!B30</f>
        <v xml:space="preserve">40G PSM4 </v>
      </c>
      <c r="C116" s="97" t="str">
        <f>'Products x speed'!C30</f>
        <v>500 m</v>
      </c>
      <c r="D116" s="97" t="str">
        <f>'Products x speed'!D30</f>
        <v>QSFP+</v>
      </c>
      <c r="E116" s="374" t="s">
        <v>95</v>
      </c>
      <c r="F116" s="373" t="s">
        <v>95</v>
      </c>
      <c r="G116" s="373" t="s">
        <v>95</v>
      </c>
      <c r="H116" s="373" t="s">
        <v>95</v>
      </c>
      <c r="I116" s="373">
        <v>8.3375081428571427</v>
      </c>
      <c r="J116" s="373">
        <v>7.3062785546492055</v>
      </c>
      <c r="K116" s="128">
        <f>IF('Products x speed'!E30=0,"",('Products x speed'!E180*10^6/('Products x speed'!E30*40)))</f>
        <v>6.3297671318767739</v>
      </c>
      <c r="L116" s="128">
        <f>IF('Products x speed'!F30=0,"",('Products x speed'!F180*10^6/('Products x speed'!F30*40)))</f>
        <v>6.5697637865849687</v>
      </c>
      <c r="M116" s="128" t="str">
        <f>IF('Products x speed'!G30=0,"",('Products x speed'!G180*10^6/('Products x speed'!G30*40)))</f>
        <v/>
      </c>
      <c r="N116" s="128" t="str">
        <f>IF('Products x speed'!H30=0,"",('Products x speed'!H180*10^6/('Products x speed'!H30*40)))</f>
        <v/>
      </c>
      <c r="O116" s="128" t="str">
        <f>IF('Products x speed'!I30=0,"",('Products x speed'!I180*10^6/('Products x speed'!I30*40)))</f>
        <v/>
      </c>
      <c r="P116" s="128" t="str">
        <f>IF('Products x speed'!J30=0,"",('Products x speed'!J180*10^6/('Products x speed'!J30*40)))</f>
        <v/>
      </c>
      <c r="Q116" s="128" t="str">
        <f>IF('Products x speed'!K30=0,"",('Products x speed'!K180*10^6/('Products x speed'!K30*40)))</f>
        <v/>
      </c>
      <c r="R116" s="375" t="str">
        <f>IF('Products x speed'!L30=0,"",('Products x speed'!L180*10^6/('Products x speed'!L30*40)))</f>
        <v/>
      </c>
      <c r="S116" s="375" t="str">
        <f>IF('Products x speed'!M30=0,"",('Products x speed'!M180*10^6/('Products x speed'!M30*40)))</f>
        <v/>
      </c>
      <c r="T116" s="375" t="str">
        <f>IF('Products x speed'!N30=0,"",('Products x speed'!N180*10^6/('Products x speed'!N30*40)))</f>
        <v/>
      </c>
      <c r="U116" s="375" t="str">
        <f>IF('Products x speed'!O30=0,"",('Products x speed'!O180*10^6/('Products x speed'!O30*40)))</f>
        <v/>
      </c>
    </row>
    <row r="117" spans="2:22">
      <c r="B117" s="96" t="str">
        <f>'Products x speed'!B31</f>
        <v>40G (FR)</v>
      </c>
      <c r="C117" s="97" t="str">
        <f>'Products x speed'!C31</f>
        <v>2 km</v>
      </c>
      <c r="D117" s="97" t="str">
        <f>'Products x speed'!D31</f>
        <v>CFP</v>
      </c>
      <c r="E117" s="374" t="s">
        <v>95</v>
      </c>
      <c r="F117" s="373" t="s">
        <v>95</v>
      </c>
      <c r="G117" s="373">
        <v>188.98425314143944</v>
      </c>
      <c r="H117" s="373">
        <v>174.85484962406014</v>
      </c>
      <c r="I117" s="373">
        <v>131.36853256997671</v>
      </c>
      <c r="J117" s="373">
        <v>133.43195681591757</v>
      </c>
      <c r="K117" s="128">
        <f>IF('Products x speed'!E31=0,"",('Products x speed'!E181*10^6/('Products x speed'!E31*40)))</f>
        <v>114.24737353420382</v>
      </c>
      <c r="L117" s="128">
        <f>IF('Products x speed'!F31=0,"",('Products x speed'!F181*10^6/('Products x speed'!F31*40)))</f>
        <v>131.29203021598681</v>
      </c>
      <c r="M117" s="128" t="str">
        <f>IF('Products x speed'!G31=0,"",('Products x speed'!G181*10^6/('Products x speed'!G31*40)))</f>
        <v/>
      </c>
      <c r="N117" s="128" t="str">
        <f>IF('Products x speed'!H31=0,"",('Products x speed'!H181*10^6/('Products x speed'!H31*40)))</f>
        <v/>
      </c>
      <c r="O117" s="128" t="str">
        <f>IF('Products x speed'!I31=0,"",('Products x speed'!I181*10^6/('Products x speed'!I31*40)))</f>
        <v/>
      </c>
      <c r="P117" s="128" t="str">
        <f>IF('Products x speed'!J31=0,"",('Products x speed'!J181*10^6/('Products x speed'!J31*40)))</f>
        <v/>
      </c>
      <c r="Q117" s="128" t="str">
        <f>IF('Products x speed'!K31=0,"",('Products x speed'!K181*10^6/('Products x speed'!K31*40)))</f>
        <v/>
      </c>
      <c r="R117" s="375" t="str">
        <f>IF('Products x speed'!L31=0,"",('Products x speed'!L181*10^6/('Products x speed'!L31*40)))</f>
        <v/>
      </c>
      <c r="S117" s="375" t="str">
        <f>IF('Products x speed'!M31=0,"",('Products x speed'!M181*10^6/('Products x speed'!M31*40)))</f>
        <v/>
      </c>
      <c r="T117" s="375" t="str">
        <f>IF('Products x speed'!N31=0,"",('Products x speed'!N181*10^6/('Products x speed'!N31*40)))</f>
        <v/>
      </c>
      <c r="U117" s="375" t="str">
        <f>IF('Products x speed'!O31=0,"",('Products x speed'!O181*10^6/('Products x speed'!O31*40)))</f>
        <v/>
      </c>
    </row>
    <row r="118" spans="2:22">
      <c r="B118" s="96" t="str">
        <f>'Products x speed'!B32</f>
        <v>40G (LR4 subspec)</v>
      </c>
      <c r="C118" s="97" t="str">
        <f>'Products x speed'!C32</f>
        <v>2 km</v>
      </c>
      <c r="D118" s="97" t="str">
        <f>'Products x speed'!D32</f>
        <v>QSFP+</v>
      </c>
      <c r="E118" s="374" t="s">
        <v>95</v>
      </c>
      <c r="F118" s="373" t="s">
        <v>95</v>
      </c>
      <c r="G118" s="373">
        <v>22.994880546075084</v>
      </c>
      <c r="H118" s="373">
        <v>16.3</v>
      </c>
      <c r="I118" s="373">
        <v>12.289921790292748</v>
      </c>
      <c r="J118" s="373">
        <v>11.078376873965714</v>
      </c>
      <c r="K118" s="128">
        <f>IF('Products x speed'!E32=0,"",('Products x speed'!E182*10^6/('Products x speed'!E32*40)))</f>
        <v>9.440013802372988</v>
      </c>
      <c r="L118" s="128">
        <f>IF('Products x speed'!F32=0,"",('Products x speed'!F182*10^6/('Products x speed'!F32*40)))</f>
        <v>8.5881368172711685</v>
      </c>
      <c r="M118" s="128" t="str">
        <f>IF('Products x speed'!G32=0,"",('Products x speed'!G182*10^6/('Products x speed'!G32*40)))</f>
        <v/>
      </c>
      <c r="N118" s="128" t="str">
        <f>IF('Products x speed'!H32=0,"",('Products x speed'!H182*10^6/('Products x speed'!H32*40)))</f>
        <v/>
      </c>
      <c r="O118" s="128" t="str">
        <f>IF('Products x speed'!I32=0,"",('Products x speed'!I182*10^6/('Products x speed'!I32*40)))</f>
        <v/>
      </c>
      <c r="P118" s="128" t="str">
        <f>IF('Products x speed'!J32=0,"",('Products x speed'!J182*10^6/('Products x speed'!J32*40)))</f>
        <v/>
      </c>
      <c r="Q118" s="128" t="str">
        <f>IF('Products x speed'!K32=0,"",('Products x speed'!K182*10^6/('Products x speed'!K32*40)))</f>
        <v/>
      </c>
      <c r="R118" s="375" t="str">
        <f>IF('Products x speed'!L32=0,"",('Products x speed'!L182*10^6/('Products x speed'!L32*40)))</f>
        <v/>
      </c>
      <c r="S118" s="375" t="str">
        <f>IF('Products x speed'!M32=0,"",('Products x speed'!M182*10^6/('Products x speed'!M32*40)))</f>
        <v/>
      </c>
      <c r="T118" s="375" t="str">
        <f>IF('Products x speed'!N32=0,"",('Products x speed'!N182*10^6/('Products x speed'!N32*40)))</f>
        <v/>
      </c>
      <c r="U118" s="375" t="str">
        <f>IF('Products x speed'!O32=0,"",('Products x speed'!O182*10^6/('Products x speed'!O32*40)))</f>
        <v/>
      </c>
    </row>
    <row r="119" spans="2:22">
      <c r="B119" s="96" t="str">
        <f>'Products x speed'!B33</f>
        <v>40G</v>
      </c>
      <c r="C119" s="97" t="str">
        <f>'Products x speed'!C33</f>
        <v>10 km</v>
      </c>
      <c r="D119" s="97" t="str">
        <f>'Products x speed'!D33</f>
        <v>CFP</v>
      </c>
      <c r="E119" s="374">
        <v>80.784136641723492</v>
      </c>
      <c r="F119" s="373">
        <v>77.777449856733526</v>
      </c>
      <c r="G119" s="373">
        <v>52.069595336519832</v>
      </c>
      <c r="H119" s="373">
        <v>45.140192582025676</v>
      </c>
      <c r="I119" s="373">
        <v>36.971624726397984</v>
      </c>
      <c r="J119" s="373">
        <v>29.358141050842292</v>
      </c>
      <c r="K119" s="128">
        <f>IF('Products x speed'!E33=0,"",('Products x speed'!E183*10^6/('Products x speed'!E33*40)))</f>
        <v>29.374138267499919</v>
      </c>
      <c r="L119" s="128">
        <f>IF('Products x speed'!F33=0,"",('Products x speed'!F183*10^6/('Products x speed'!F33*40)))</f>
        <v>33.77249392830776</v>
      </c>
      <c r="M119" s="128" t="str">
        <f>IF('Products x speed'!G33=0,"",('Products x speed'!G183*10^6/('Products x speed'!G33*40)))</f>
        <v/>
      </c>
      <c r="N119" s="128" t="str">
        <f>IF('Products x speed'!H33=0,"",('Products x speed'!H183*10^6/('Products x speed'!H33*40)))</f>
        <v/>
      </c>
      <c r="O119" s="128" t="str">
        <f>IF('Products x speed'!I33=0,"",('Products x speed'!I183*10^6/('Products x speed'!I33*40)))</f>
        <v/>
      </c>
      <c r="P119" s="128" t="str">
        <f>IF('Products x speed'!J33=0,"",('Products x speed'!J183*10^6/('Products x speed'!J33*40)))</f>
        <v/>
      </c>
      <c r="Q119" s="128" t="str">
        <f>IF('Products x speed'!K33=0,"",('Products x speed'!K183*10^6/('Products x speed'!K33*40)))</f>
        <v/>
      </c>
      <c r="R119" s="375" t="str">
        <f>IF('Products x speed'!L33=0,"",('Products x speed'!L183*10^6/('Products x speed'!L33*40)))</f>
        <v/>
      </c>
      <c r="S119" s="375" t="str">
        <f>IF('Products x speed'!M33=0,"",('Products x speed'!M183*10^6/('Products x speed'!M33*40)))</f>
        <v/>
      </c>
      <c r="T119" s="375" t="str">
        <f>IF('Products x speed'!N33=0,"",('Products x speed'!N183*10^6/('Products x speed'!N33*40)))</f>
        <v/>
      </c>
      <c r="U119" s="375" t="str">
        <f>IF('Products x speed'!O33=0,"",('Products x speed'!O183*10^6/('Products x speed'!O33*40)))</f>
        <v/>
      </c>
    </row>
    <row r="120" spans="2:22">
      <c r="B120" s="96" t="str">
        <f>'Products x speed'!B34</f>
        <v>40G</v>
      </c>
      <c r="C120" s="97" t="str">
        <f>'Products x speed'!C34</f>
        <v>10 km</v>
      </c>
      <c r="D120" s="97" t="str">
        <f>'Products x speed'!D34</f>
        <v>QSFP+</v>
      </c>
      <c r="E120" s="374" t="s">
        <v>95</v>
      </c>
      <c r="F120" s="373" t="s">
        <v>95</v>
      </c>
      <c r="G120" s="373">
        <v>29.975964630225079</v>
      </c>
      <c r="H120" s="373">
        <v>36.096197608539143</v>
      </c>
      <c r="I120" s="373">
        <v>19.706712652216499</v>
      </c>
      <c r="J120" s="373">
        <v>14.650078967418724</v>
      </c>
      <c r="K120" s="128">
        <f>IF('Products x speed'!E34=0,"",('Products x speed'!E184*10^6/('Products x speed'!E34*40)))</f>
        <v>10.693185722192586</v>
      </c>
      <c r="L120" s="128">
        <f>IF('Products x speed'!F34=0,"",('Products x speed'!F184*10^6/('Products x speed'!F34*40)))</f>
        <v>10.034168127229407</v>
      </c>
      <c r="M120" s="128" t="str">
        <f>IF('Products x speed'!G34=0,"",('Products x speed'!G184*10^6/('Products x speed'!G34*40)))</f>
        <v/>
      </c>
      <c r="N120" s="128" t="str">
        <f>IF('Products x speed'!H34=0,"",('Products x speed'!H184*10^6/('Products x speed'!H34*40)))</f>
        <v/>
      </c>
      <c r="O120" s="128" t="str">
        <f>IF('Products x speed'!I34=0,"",('Products x speed'!I184*10^6/('Products x speed'!I34*40)))</f>
        <v/>
      </c>
      <c r="P120" s="128" t="str">
        <f>IF('Products x speed'!J34=0,"",('Products x speed'!J184*10^6/('Products x speed'!J34*40)))</f>
        <v/>
      </c>
      <c r="Q120" s="128" t="str">
        <f>IF('Products x speed'!K34=0,"",('Products x speed'!K184*10^6/('Products x speed'!K34*40)))</f>
        <v/>
      </c>
      <c r="R120" s="375" t="str">
        <f>IF('Products x speed'!L34=0,"",('Products x speed'!L184*10^6/('Products x speed'!L34*40)))</f>
        <v/>
      </c>
      <c r="S120" s="375" t="str">
        <f>IF('Products x speed'!M34=0,"",('Products x speed'!M184*10^6/('Products x speed'!M34*40)))</f>
        <v/>
      </c>
      <c r="T120" s="375" t="str">
        <f>IF('Products x speed'!N34=0,"",('Products x speed'!N184*10^6/('Products x speed'!N34*40)))</f>
        <v/>
      </c>
      <c r="U120" s="375" t="str">
        <f>IF('Products x speed'!O34=0,"",('Products x speed'!O184*10^6/('Products x speed'!O34*40)))</f>
        <v/>
      </c>
    </row>
    <row r="121" spans="2:22">
      <c r="B121" s="92" t="str">
        <f>'Products x speed'!B35</f>
        <v>40G</v>
      </c>
      <c r="C121" s="93" t="str">
        <f>'Products x speed'!C35</f>
        <v>40 km</v>
      </c>
      <c r="D121" s="93" t="str">
        <f>'Products x speed'!D35</f>
        <v>QSFP+</v>
      </c>
      <c r="E121" s="374" t="s">
        <v>95</v>
      </c>
      <c r="F121" s="373">
        <v>200</v>
      </c>
      <c r="G121" s="373">
        <v>125</v>
      </c>
      <c r="H121" s="373">
        <v>110</v>
      </c>
      <c r="I121" s="373">
        <v>62.5</v>
      </c>
      <c r="J121" s="373">
        <v>52.653694253849253</v>
      </c>
      <c r="K121" s="128">
        <f>IF('Products x speed'!E35=0,"",('Products x speed'!E185*10^6/('Products x speed'!E35*40)))</f>
        <v>41.826430810599277</v>
      </c>
      <c r="L121" s="128">
        <f>IF('Products x speed'!F35=0,"",('Products x speed'!F185*10^6/('Products x speed'!F35*40)))</f>
        <v>36.480825703225037</v>
      </c>
      <c r="M121" s="128" t="str">
        <f>IF('Products x speed'!G35=0,"",('Products x speed'!G185*10^6/('Products x speed'!G35*40)))</f>
        <v/>
      </c>
      <c r="N121" s="128" t="str">
        <f>IF('Products x speed'!H35=0,"",('Products x speed'!H185*10^6/('Products x speed'!H35*40)))</f>
        <v/>
      </c>
      <c r="O121" s="128" t="str">
        <f>IF('Products x speed'!I35=0,"",('Products x speed'!I185*10^6/('Products x speed'!I35*40)))</f>
        <v/>
      </c>
      <c r="P121" s="128" t="str">
        <f>IF('Products x speed'!J35=0,"",('Products x speed'!J185*10^6/('Products x speed'!J35*40)))</f>
        <v/>
      </c>
      <c r="Q121" s="128" t="str">
        <f>IF('Products x speed'!K35=0,"",('Products x speed'!K185*10^6/('Products x speed'!K35*40)))</f>
        <v/>
      </c>
      <c r="R121" s="375" t="str">
        <f>IF('Products x speed'!L35=0,"",('Products x speed'!L185*10^6/('Products x speed'!L35*40)))</f>
        <v/>
      </c>
      <c r="S121" s="375" t="str">
        <f>IF('Products x speed'!M35=0,"",('Products x speed'!M185*10^6/('Products x speed'!M35*40)))</f>
        <v/>
      </c>
      <c r="T121" s="375" t="str">
        <f>IF('Products x speed'!N35=0,"",('Products x speed'!N185*10^6/('Products x speed'!N35*40)))</f>
        <v/>
      </c>
      <c r="U121" s="375" t="str">
        <f>IF('Products x speed'!O35=0,"",('Products x speed'!O185*10^6/('Products x speed'!O35*40)))</f>
        <v/>
      </c>
    </row>
    <row r="122" spans="2:22" s="182" customFormat="1">
      <c r="B122" s="96" t="str">
        <f>'Products x speed'!B36</f>
        <v xml:space="preserve">50G </v>
      </c>
      <c r="C122" s="97" t="s">
        <v>35</v>
      </c>
      <c r="D122" s="97" t="s">
        <v>43</v>
      </c>
      <c r="E122" s="654" t="s">
        <v>95</v>
      </c>
      <c r="F122" s="365" t="s">
        <v>95</v>
      </c>
      <c r="G122" s="365" t="s">
        <v>95</v>
      </c>
      <c r="H122" s="365" t="s">
        <v>95</v>
      </c>
      <c r="I122" s="365" t="s">
        <v>95</v>
      </c>
      <c r="J122" s="365" t="s">
        <v>95</v>
      </c>
      <c r="K122" s="126" t="str">
        <f>IF('Products x speed'!E36=0,"",('Products x speed'!E186*10^6/('Products x speed'!E36*50)))</f>
        <v/>
      </c>
      <c r="L122" s="126" t="str">
        <f>IF('Products x speed'!F36=0,"",('Products x speed'!F186*10^6/('Products x speed'!F36*50)))</f>
        <v/>
      </c>
      <c r="M122" s="126" t="str">
        <f>IF('Products x speed'!G36=0,"",('Products x speed'!G186*10^6/('Products x speed'!G36*50)))</f>
        <v/>
      </c>
      <c r="N122" s="126" t="str">
        <f>IF('Products x speed'!H36=0,"",('Products x speed'!H186*10^6/('Products x speed'!H36*50)))</f>
        <v/>
      </c>
      <c r="O122" s="126" t="str">
        <f>IF('Products x speed'!I36=0,"",('Products x speed'!I186*10^6/('Products x speed'!I36*50)))</f>
        <v/>
      </c>
      <c r="P122" s="126" t="str">
        <f>IF('Products x speed'!J36=0,"",('Products x speed'!J186*10^6/('Products x speed'!J36*50)))</f>
        <v/>
      </c>
      <c r="Q122" s="126" t="str">
        <f>IF('Products x speed'!K36=0,"",('Products x speed'!K186*10^6/('Products x speed'!K36*50)))</f>
        <v/>
      </c>
      <c r="R122" s="386" t="str">
        <f>IF('Products x speed'!L36=0,"",('Products x speed'!L186*10^6/('Products x speed'!L36*50)))</f>
        <v/>
      </c>
      <c r="S122" s="386" t="str">
        <f>IF('Products x speed'!M36=0,"",('Products x speed'!M186*10^6/('Products x speed'!M36*50)))</f>
        <v/>
      </c>
      <c r="T122" s="386" t="str">
        <f>IF('Products x speed'!N36=0,"",('Products x speed'!N186*10^6/('Products x speed'!N36*50)))</f>
        <v/>
      </c>
      <c r="U122" s="386" t="str">
        <f>IF('Products x speed'!O36=0,"",('Products x speed'!O186*10^6/('Products x speed'!O36*50)))</f>
        <v/>
      </c>
      <c r="V122" s="119"/>
    </row>
    <row r="123" spans="2:22" s="182" customFormat="1">
      <c r="B123" s="96" t="str">
        <f>'Products x speed'!B37</f>
        <v xml:space="preserve">50G </v>
      </c>
      <c r="C123" s="97" t="s">
        <v>48</v>
      </c>
      <c r="D123" s="335" t="s">
        <v>43</v>
      </c>
      <c r="E123" s="374" t="s">
        <v>95</v>
      </c>
      <c r="F123" s="373" t="s">
        <v>95</v>
      </c>
      <c r="G123" s="373" t="s">
        <v>95</v>
      </c>
      <c r="H123" s="373" t="s">
        <v>95</v>
      </c>
      <c r="I123" s="373" t="s">
        <v>95</v>
      </c>
      <c r="J123" s="373" t="s">
        <v>95</v>
      </c>
      <c r="K123" s="128" t="str">
        <f>IF('Products x speed'!E37=0,"",('Products x speed'!E187*10^6/('Products x speed'!E37*50)))</f>
        <v/>
      </c>
      <c r="L123" s="128" t="str">
        <f>IF('Products x speed'!F37=0,"",('Products x speed'!F187*10^6/('Products x speed'!F37*50)))</f>
        <v/>
      </c>
      <c r="M123" s="128" t="str">
        <f>IF('Products x speed'!G37=0,"",('Products x speed'!G187*10^6/('Products x speed'!G37*50)))</f>
        <v/>
      </c>
      <c r="N123" s="128" t="str">
        <f>IF('Products x speed'!H37=0,"",('Products x speed'!H187*10^6/('Products x speed'!H37*50)))</f>
        <v/>
      </c>
      <c r="O123" s="128" t="str">
        <f>IF('Products x speed'!I37=0,"",('Products x speed'!I187*10^6/('Products x speed'!I37*50)))</f>
        <v/>
      </c>
      <c r="P123" s="128" t="str">
        <f>IF('Products x speed'!J37=0,"",('Products x speed'!J187*10^6/('Products x speed'!J37*50)))</f>
        <v/>
      </c>
      <c r="Q123" s="128" t="str">
        <f>IF('Products x speed'!K37=0,"",('Products x speed'!K187*10^6/('Products x speed'!K37*50)))</f>
        <v/>
      </c>
      <c r="R123" s="375" t="str">
        <f>IF('Products x speed'!L37=0,"",('Products x speed'!L187*10^6/('Products x speed'!L37*50)))</f>
        <v/>
      </c>
      <c r="S123" s="375" t="str">
        <f>IF('Products x speed'!M37=0,"",('Products x speed'!M187*10^6/('Products x speed'!M37*50)))</f>
        <v/>
      </c>
      <c r="T123" s="375" t="str">
        <f>IF('Products x speed'!N37=0,"",('Products x speed'!N187*10^6/('Products x speed'!N37*50)))</f>
        <v/>
      </c>
      <c r="U123" s="375" t="str">
        <f>IF('Products x speed'!O37=0,"",('Products x speed'!O187*10^6/('Products x speed'!O37*50)))</f>
        <v/>
      </c>
      <c r="V123" s="119"/>
    </row>
    <row r="124" spans="2:22" s="182" customFormat="1">
      <c r="B124" s="96" t="str">
        <f>'Products x speed'!B38</f>
        <v xml:space="preserve">50G </v>
      </c>
      <c r="C124" s="97" t="s">
        <v>51</v>
      </c>
      <c r="D124" s="97" t="s">
        <v>43</v>
      </c>
      <c r="E124" s="374" t="s">
        <v>95</v>
      </c>
      <c r="F124" s="373" t="s">
        <v>95</v>
      </c>
      <c r="G124" s="373" t="s">
        <v>95</v>
      </c>
      <c r="H124" s="373" t="s">
        <v>95</v>
      </c>
      <c r="I124" s="373" t="s">
        <v>95</v>
      </c>
      <c r="J124" s="373" t="s">
        <v>95</v>
      </c>
      <c r="K124" s="128" t="str">
        <f>IF('Products x speed'!E38=0,"",('Products x speed'!E188*10^6/('Products x speed'!E38*50)))</f>
        <v/>
      </c>
      <c r="L124" s="128" t="str">
        <f>IF('Products x speed'!F38=0,"",('Products x speed'!F188*10^6/('Products x speed'!F38*50)))</f>
        <v/>
      </c>
      <c r="M124" s="128" t="str">
        <f>IF('Products x speed'!G38=0,"",('Products x speed'!G188*10^6/('Products x speed'!G38*50)))</f>
        <v/>
      </c>
      <c r="N124" s="128" t="str">
        <f>IF('Products x speed'!H38=0,"",('Products x speed'!H188*10^6/('Products x speed'!H38*50)))</f>
        <v/>
      </c>
      <c r="O124" s="128" t="str">
        <f>IF('Products x speed'!I38=0,"",('Products x speed'!I188*10^6/('Products x speed'!I38*50)))</f>
        <v/>
      </c>
      <c r="P124" s="128" t="str">
        <f>IF('Products x speed'!J38=0,"",('Products x speed'!J188*10^6/('Products x speed'!J38*50)))</f>
        <v/>
      </c>
      <c r="Q124" s="128" t="str">
        <f>IF('Products x speed'!K38=0,"",('Products x speed'!K188*10^6/('Products x speed'!K38*50)))</f>
        <v/>
      </c>
      <c r="R124" s="375" t="str">
        <f>IF('Products x speed'!L38=0,"",('Products x speed'!L188*10^6/('Products x speed'!L38*50)))</f>
        <v/>
      </c>
      <c r="S124" s="375" t="str">
        <f>IF('Products x speed'!M38=0,"",('Products x speed'!M188*10^6/('Products x speed'!M38*50)))</f>
        <v/>
      </c>
      <c r="T124" s="375" t="str">
        <f>IF('Products x speed'!N38=0,"",('Products x speed'!N188*10^6/('Products x speed'!N38*50)))</f>
        <v/>
      </c>
      <c r="U124" s="375" t="str">
        <f>IF('Products x speed'!O38=0,"",('Products x speed'!O188*10^6/('Products x speed'!O38*50)))</f>
        <v/>
      </c>
      <c r="V124" s="119"/>
    </row>
    <row r="125" spans="2:22">
      <c r="B125" s="96" t="str">
        <f>'Products x speed'!B39</f>
        <v>100G SR4</v>
      </c>
      <c r="C125" s="97" t="str">
        <f>'Products x speed'!C39</f>
        <v>100 m</v>
      </c>
      <c r="D125" s="97" t="str">
        <f>'Products x speed'!D39</f>
        <v>CFP</v>
      </c>
      <c r="E125" s="374" t="s">
        <v>95</v>
      </c>
      <c r="F125" s="373" t="s">
        <v>95</v>
      </c>
      <c r="G125" s="373">
        <v>23.897826358525922</v>
      </c>
      <c r="H125" s="373">
        <v>18.815171215351814</v>
      </c>
      <c r="I125" s="373">
        <v>18.039118145620023</v>
      </c>
      <c r="J125" s="373">
        <v>17.02889970674488</v>
      </c>
      <c r="K125" s="128">
        <f>IF('Products x speed'!E39=0,"",('Products x speed'!E189*10^6/('Products x speed'!E39*100)))</f>
        <v>14.227039686825053</v>
      </c>
      <c r="L125" s="377">
        <f>IF('Products x speed'!F39=0,"",('Products x speed'!F189*10^6/('Products x speed'!F39*100)))</f>
        <v>12.733986691740203</v>
      </c>
      <c r="M125" s="377" t="str">
        <f>IF('Products x speed'!G39=0,"",('Products x speed'!G189*10^6/('Products x speed'!G39*100)))</f>
        <v/>
      </c>
      <c r="N125" s="377" t="str">
        <f>IF('Products x speed'!H39=0,"",('Products x speed'!H189*10^6/('Products x speed'!H39*100)))</f>
        <v/>
      </c>
      <c r="O125" s="377" t="str">
        <f>IF('Products x speed'!I39=0,"",('Products x speed'!I189*10^6/('Products x speed'!I39*100)))</f>
        <v/>
      </c>
      <c r="P125" s="377" t="str">
        <f>IF('Products x speed'!J39=0,"",('Products x speed'!J189*10^6/('Products x speed'!J39*100)))</f>
        <v/>
      </c>
      <c r="Q125" s="377" t="str">
        <f>IF('Products x speed'!K39=0,"",('Products x speed'!K189*10^6/('Products x speed'!K39*100)))</f>
        <v/>
      </c>
      <c r="R125" s="375" t="str">
        <f>IF('Products x speed'!L39=0,"",('Products x speed'!L189*10^6/('Products x speed'!L39*100)))</f>
        <v/>
      </c>
      <c r="S125" s="375" t="str">
        <f>IF('Products x speed'!M39=0,"",('Products x speed'!M189*10^6/('Products x speed'!M39*100)))</f>
        <v/>
      </c>
      <c r="T125" s="375" t="str">
        <f>IF('Products x speed'!N39=0,"",('Products x speed'!N189*10^6/('Products x speed'!N39*100)))</f>
        <v/>
      </c>
      <c r="U125" s="375" t="str">
        <f>IF('Products x speed'!O39=0,"",('Products x speed'!O189*10^6/('Products x speed'!O39*100)))</f>
        <v/>
      </c>
    </row>
    <row r="126" spans="2:22">
      <c r="B126" s="96" t="str">
        <f>'Products x speed'!B40</f>
        <v>100G SR4</v>
      </c>
      <c r="C126" s="97" t="str">
        <f>'Products x speed'!C40</f>
        <v>100 m</v>
      </c>
      <c r="D126" s="97" t="str">
        <f>'Products x speed'!D40</f>
        <v>CFP2/4</v>
      </c>
      <c r="E126" s="374" t="s">
        <v>95</v>
      </c>
      <c r="F126" s="373" t="s">
        <v>95</v>
      </c>
      <c r="G126" s="373" t="s">
        <v>95</v>
      </c>
      <c r="H126" s="373" t="s">
        <v>95</v>
      </c>
      <c r="I126" s="373" t="s">
        <v>95</v>
      </c>
      <c r="J126" s="373">
        <v>13.44281603659357</v>
      </c>
      <c r="K126" s="128">
        <f>IF('Products x speed'!E40=0,"",('Products x speed'!E190*10^6/('Products x speed'!E40*100)))</f>
        <v>12.047629951912068</v>
      </c>
      <c r="L126" s="377">
        <f>IF('Products x speed'!F40=0,"",('Products x speed'!F190*10^6/('Products x speed'!F40*100)))</f>
        <v>10.92608197443808</v>
      </c>
      <c r="M126" s="377" t="str">
        <f>IF('Products x speed'!G40=0,"",('Products x speed'!G190*10^6/('Products x speed'!G40*100)))</f>
        <v/>
      </c>
      <c r="N126" s="377" t="str">
        <f>IF('Products x speed'!H40=0,"",('Products x speed'!H190*10^6/('Products x speed'!H40*100)))</f>
        <v/>
      </c>
      <c r="O126" s="377" t="str">
        <f>IF('Products x speed'!I40=0,"",('Products x speed'!I190*10^6/('Products x speed'!I40*100)))</f>
        <v/>
      </c>
      <c r="P126" s="377" t="str">
        <f>IF('Products x speed'!J40=0,"",('Products x speed'!J190*10^6/('Products x speed'!J40*100)))</f>
        <v/>
      </c>
      <c r="Q126" s="377" t="str">
        <f>IF('Products x speed'!K40=0,"",('Products x speed'!K190*10^6/('Products x speed'!K40*100)))</f>
        <v/>
      </c>
      <c r="R126" s="375" t="str">
        <f>IF('Products x speed'!L40=0,"",('Products x speed'!L190*10^6/('Products x speed'!L40*100)))</f>
        <v/>
      </c>
      <c r="S126" s="375" t="str">
        <f>IF('Products x speed'!M40=0,"",('Products x speed'!M190*10^6/('Products x speed'!M40*100)))</f>
        <v/>
      </c>
      <c r="T126" s="375" t="str">
        <f>IF('Products x speed'!N40=0,"",('Products x speed'!N190*10^6/('Products x speed'!N40*100)))</f>
        <v/>
      </c>
      <c r="U126" s="375" t="str">
        <f>IF('Products x speed'!O40=0,"",('Products x speed'!O190*10^6/('Products x speed'!O40*100)))</f>
        <v/>
      </c>
    </row>
    <row r="127" spans="2:22">
      <c r="B127" s="96" t="str">
        <f>'Products x speed'!B41</f>
        <v>100G SR4</v>
      </c>
      <c r="C127" s="97" t="str">
        <f>'Products x speed'!C41</f>
        <v>100 m</v>
      </c>
      <c r="D127" s="97" t="str">
        <f>'Products x speed'!D41</f>
        <v>QSFP28</v>
      </c>
      <c r="E127" s="374" t="s">
        <v>95</v>
      </c>
      <c r="F127" s="373" t="s">
        <v>95</v>
      </c>
      <c r="G127" s="373" t="s">
        <v>95</v>
      </c>
      <c r="H127" s="373" t="s">
        <v>95</v>
      </c>
      <c r="I127" s="373">
        <v>9.5</v>
      </c>
      <c r="J127" s="373">
        <v>8.2501787283914449</v>
      </c>
      <c r="K127" s="377">
        <f>IF('Products x speed'!E41=0,"",('Products x speed'!E191*10^6/('Products x speed'!E41*100)))</f>
        <v>2.5809426618771827</v>
      </c>
      <c r="L127" s="377">
        <f>IF('Products x speed'!F41=0,"",('Products x speed'!F191*10^6/('Products x speed'!F41*100)))</f>
        <v>1.8202277386466108</v>
      </c>
      <c r="M127" s="377" t="str">
        <f>IF('Products x speed'!G41=0,"",('Products x speed'!G191*10^6/('Products x speed'!G41*100)))</f>
        <v/>
      </c>
      <c r="N127" s="377" t="str">
        <f>IF('Products x speed'!H41=0,"",('Products x speed'!H191*10^6/('Products x speed'!H41*100)))</f>
        <v/>
      </c>
      <c r="O127" s="377" t="str">
        <f>IF('Products x speed'!I41=0,"",('Products x speed'!I191*10^6/('Products x speed'!I41*100)))</f>
        <v/>
      </c>
      <c r="P127" s="377" t="str">
        <f>IF('Products x speed'!J41=0,"",('Products x speed'!J191*10^6/('Products x speed'!J41*100)))</f>
        <v/>
      </c>
      <c r="Q127" s="377" t="str">
        <f>IF('Products x speed'!K41=0,"",('Products x speed'!K191*10^6/('Products x speed'!K41*100)))</f>
        <v/>
      </c>
      <c r="R127" s="375" t="str">
        <f>IF('Products x speed'!L41=0,"",('Products x speed'!L191*10^6/('Products x speed'!L41*100)))</f>
        <v/>
      </c>
      <c r="S127" s="375" t="str">
        <f>IF('Products x speed'!M41=0,"",('Products x speed'!M191*10^6/('Products x speed'!M41*100)))</f>
        <v/>
      </c>
      <c r="T127" s="375" t="str">
        <f>IF('Products x speed'!N41=0,"",('Products x speed'!N191*10^6/('Products x speed'!N41*100)))</f>
        <v/>
      </c>
      <c r="U127" s="375" t="str">
        <f>IF('Products x speed'!O41=0,"",('Products x speed'!O191*10^6/('Products x speed'!O41*100)))</f>
        <v/>
      </c>
    </row>
    <row r="128" spans="2:22">
      <c r="B128" s="96" t="str">
        <f>'Products x speed'!B42</f>
        <v>100G SR2</v>
      </c>
      <c r="C128" s="97" t="str">
        <f>'Products x speed'!C42</f>
        <v>100 m</v>
      </c>
      <c r="D128" s="97" t="str">
        <f>'Products x speed'!D42</f>
        <v>All</v>
      </c>
      <c r="E128" s="374" t="s">
        <v>95</v>
      </c>
      <c r="F128" s="373" t="s">
        <v>95</v>
      </c>
      <c r="G128" s="373" t="s">
        <v>95</v>
      </c>
      <c r="H128" s="373" t="s">
        <v>95</v>
      </c>
      <c r="I128" s="373" t="s">
        <v>95</v>
      </c>
      <c r="J128" s="373" t="s">
        <v>95</v>
      </c>
      <c r="K128" s="377" t="str">
        <f>IF('Products x speed'!E42=0,"",('Products x speed'!E192*10^6/('Products x speed'!E42*100)))</f>
        <v/>
      </c>
      <c r="L128" s="377" t="str">
        <f>IF('Products x speed'!F42=0,"",('Products x speed'!F192*10^6/('Products x speed'!F42*100)))</f>
        <v/>
      </c>
      <c r="M128" s="377" t="str">
        <f>IF('Products x speed'!G42=0,"",('Products x speed'!G192*10^6/('Products x speed'!G42*100)))</f>
        <v/>
      </c>
      <c r="N128" s="377" t="str">
        <f>IF('Products x speed'!H42=0,"",('Products x speed'!H192*10^6/('Products x speed'!H42*100)))</f>
        <v/>
      </c>
      <c r="O128" s="377" t="str">
        <f>IF('Products x speed'!I42=0,"",('Products x speed'!I192*10^6/('Products x speed'!I42*100)))</f>
        <v/>
      </c>
      <c r="P128" s="377" t="str">
        <f>IF('Products x speed'!J42=0,"",('Products x speed'!J192*10^6/('Products x speed'!J42*100)))</f>
        <v/>
      </c>
      <c r="Q128" s="377" t="str">
        <f>IF('Products x speed'!K42=0,"",('Products x speed'!K192*10^6/('Products x speed'!K42*100)))</f>
        <v/>
      </c>
      <c r="R128" s="375" t="str">
        <f>IF('Products x speed'!L42=0,"",('Products x speed'!L192*10^6/('Products x speed'!L42*100)))</f>
        <v/>
      </c>
      <c r="S128" s="375" t="str">
        <f>IF('Products x speed'!M42=0,"",('Products x speed'!M192*10^6/('Products x speed'!M42*100)))</f>
        <v/>
      </c>
      <c r="T128" s="375" t="str">
        <f>IF('Products x speed'!N42=0,"",('Products x speed'!N192*10^6/('Products x speed'!N42*100)))</f>
        <v/>
      </c>
      <c r="U128" s="375" t="str">
        <f>IF('Products x speed'!O42=0,"",('Products x speed'!O192*10^6/('Products x speed'!O42*100)))</f>
        <v/>
      </c>
    </row>
    <row r="129" spans="2:21">
      <c r="B129" s="96" t="str">
        <f>'Products x speed'!B43</f>
        <v>100G MM Duplex</v>
      </c>
      <c r="C129" s="97" t="str">
        <f>'Products x speed'!C43</f>
        <v>100 - 300 m</v>
      </c>
      <c r="D129" s="97" t="str">
        <f>'Products x speed'!D43</f>
        <v>QSFP28</v>
      </c>
      <c r="E129" s="374"/>
      <c r="F129" s="373"/>
      <c r="G129" s="373"/>
      <c r="H129" s="373"/>
      <c r="I129" s="373" t="s">
        <v>95</v>
      </c>
      <c r="J129" s="373" t="s">
        <v>95</v>
      </c>
      <c r="K129" s="377" t="str">
        <f>IF('Products x speed'!E43=0,"",('Products x speed'!E193*10^6/('Products x speed'!E43*100)))</f>
        <v/>
      </c>
      <c r="L129" s="377" t="str">
        <f>IF('Products x speed'!F43=0,"",('Products x speed'!F193*10^6/('Products x speed'!F43*100)))</f>
        <v/>
      </c>
      <c r="M129" s="377" t="str">
        <f>IF('Products x speed'!G43=0,"",('Products x speed'!G193*10^6/('Products x speed'!G43*100)))</f>
        <v/>
      </c>
      <c r="N129" s="377" t="str">
        <f>IF('Products x speed'!H43=0,"",('Products x speed'!H193*10^6/('Products x speed'!H43*100)))</f>
        <v/>
      </c>
      <c r="O129" s="377" t="str">
        <f>IF('Products x speed'!I43=0,"",('Products x speed'!I193*10^6/('Products x speed'!I43*100)))</f>
        <v/>
      </c>
      <c r="P129" s="377" t="str">
        <f>IF('Products x speed'!J43=0,"",('Products x speed'!J193*10^6/('Products x speed'!J43*100)))</f>
        <v/>
      </c>
      <c r="Q129" s="377" t="str">
        <f>IF('Products x speed'!K43=0,"",('Products x speed'!K193*10^6/('Products x speed'!K43*100)))</f>
        <v/>
      </c>
      <c r="R129" s="375" t="str">
        <f>IF('Products x speed'!L43=0,"",('Products x speed'!L193*10^6/('Products x speed'!L43*100)))</f>
        <v/>
      </c>
      <c r="S129" s="375" t="str">
        <f>IF('Products x speed'!M43=0,"",('Products x speed'!M193*10^6/('Products x speed'!M43*100)))</f>
        <v/>
      </c>
      <c r="T129" s="375" t="str">
        <f>IF('Products x speed'!N43=0,"",('Products x speed'!N193*10^6/('Products x speed'!N43*100)))</f>
        <v/>
      </c>
      <c r="U129" s="375" t="str">
        <f>IF('Products x speed'!O43=0,"",('Products x speed'!O193*10^6/('Products x speed'!O43*100)))</f>
        <v/>
      </c>
    </row>
    <row r="130" spans="2:21">
      <c r="B130" s="96" t="str">
        <f>'Products x speed'!B44</f>
        <v>100G eSR4</v>
      </c>
      <c r="C130" s="97" t="str">
        <f>'Products x speed'!C44</f>
        <v>300 m</v>
      </c>
      <c r="D130" s="97" t="str">
        <f>'Products x speed'!D44</f>
        <v>QSFP28</v>
      </c>
      <c r="E130" s="374"/>
      <c r="F130" s="373"/>
      <c r="G130" s="373"/>
      <c r="H130" s="373"/>
      <c r="I130" s="373" t="s">
        <v>95</v>
      </c>
      <c r="J130" s="373" t="s">
        <v>95</v>
      </c>
      <c r="K130" s="377" t="str">
        <f>IF('Products x speed'!E44=0,"",('Products x speed'!E194*10^6/('Products x speed'!E44*100)))</f>
        <v/>
      </c>
      <c r="L130" s="377" t="str">
        <f>IF('Products x speed'!F44=0,"",('Products x speed'!F194*10^6/('Products x speed'!F44*100)))</f>
        <v/>
      </c>
      <c r="M130" s="377" t="str">
        <f>IF('Products x speed'!G44=0,"",('Products x speed'!G194*10^6/('Products x speed'!G44*100)))</f>
        <v/>
      </c>
      <c r="N130" s="377" t="str">
        <f>IF('Products x speed'!H44=0,"",('Products x speed'!H194*10^6/('Products x speed'!H44*100)))</f>
        <v/>
      </c>
      <c r="O130" s="377" t="str">
        <f>IF('Products x speed'!I44=0,"",('Products x speed'!I194*10^6/('Products x speed'!I44*100)))</f>
        <v/>
      </c>
      <c r="P130" s="377" t="str">
        <f>IF('Products x speed'!J44=0,"",('Products x speed'!J194*10^6/('Products x speed'!J44*100)))</f>
        <v/>
      </c>
      <c r="Q130" s="377" t="str">
        <f>IF('Products x speed'!K44=0,"",('Products x speed'!K194*10^6/('Products x speed'!K44*100)))</f>
        <v/>
      </c>
      <c r="R130" s="375" t="str">
        <f>IF('Products x speed'!L44=0,"",('Products x speed'!L194*10^6/('Products x speed'!L44*100)))</f>
        <v/>
      </c>
      <c r="S130" s="375" t="str">
        <f>IF('Products x speed'!M44=0,"",('Products x speed'!M194*10^6/('Products x speed'!M44*100)))</f>
        <v/>
      </c>
      <c r="T130" s="375" t="str">
        <f>IF('Products x speed'!N44=0,"",('Products x speed'!N194*10^6/('Products x speed'!N44*100)))</f>
        <v/>
      </c>
      <c r="U130" s="375" t="str">
        <f>IF('Products x speed'!O44=0,"",('Products x speed'!O194*10^6/('Products x speed'!O44*100)))</f>
        <v/>
      </c>
    </row>
    <row r="131" spans="2:21">
      <c r="B131" s="96" t="str">
        <f>'Products x speed'!B45</f>
        <v>100G PSM4</v>
      </c>
      <c r="C131" s="97" t="str">
        <f>'Products x speed'!C45</f>
        <v>500 m</v>
      </c>
      <c r="D131" s="97" t="str">
        <f>'Products x speed'!D45</f>
        <v>QSFP28</v>
      </c>
      <c r="E131" s="374" t="s">
        <v>95</v>
      </c>
      <c r="F131" s="373" t="s">
        <v>95</v>
      </c>
      <c r="G131" s="373" t="s">
        <v>95</v>
      </c>
      <c r="H131" s="373" t="s">
        <v>95</v>
      </c>
      <c r="I131" s="373">
        <v>0</v>
      </c>
      <c r="J131" s="373">
        <v>0</v>
      </c>
      <c r="K131" s="377">
        <f>IF('Products x speed'!E45=0,"",('Products x speed'!E195*10^6/('Products x speed'!E45*100)))</f>
        <v>3.3741687156790023</v>
      </c>
      <c r="L131" s="377">
        <f>IF('Products x speed'!F45=0,"",('Products x speed'!F195*10^6/('Products x speed'!F45*100)))</f>
        <v>2.2265569307558186</v>
      </c>
      <c r="M131" s="377" t="str">
        <f>IF('Products x speed'!G45=0,"",('Products x speed'!G195*10^6/('Products x speed'!G45*100)))</f>
        <v/>
      </c>
      <c r="N131" s="377" t="str">
        <f>IF('Products x speed'!H45=0,"",('Products x speed'!H195*10^6/('Products x speed'!H45*100)))</f>
        <v/>
      </c>
      <c r="O131" s="377" t="str">
        <f>IF('Products x speed'!I45=0,"",('Products x speed'!I195*10^6/('Products x speed'!I45*100)))</f>
        <v/>
      </c>
      <c r="P131" s="377" t="str">
        <f>IF('Products x speed'!J45=0,"",('Products x speed'!J195*10^6/('Products x speed'!J45*100)))</f>
        <v/>
      </c>
      <c r="Q131" s="377" t="str">
        <f>IF('Products x speed'!K45=0,"",('Products x speed'!K195*10^6/('Products x speed'!K45*100)))</f>
        <v/>
      </c>
      <c r="R131" s="375" t="str">
        <f>IF('Products x speed'!L45=0,"",('Products x speed'!L195*10^6/('Products x speed'!L45*100)))</f>
        <v/>
      </c>
      <c r="S131" s="375" t="str">
        <f>IF('Products x speed'!M45=0,"",('Products x speed'!M195*10^6/('Products x speed'!M45*100)))</f>
        <v/>
      </c>
      <c r="T131" s="375" t="str">
        <f>IF('Products x speed'!N45=0,"",('Products x speed'!N195*10^6/('Products x speed'!N45*100)))</f>
        <v/>
      </c>
      <c r="U131" s="375" t="str">
        <f>IF('Products x speed'!O45=0,"",('Products x speed'!O195*10^6/('Products x speed'!O45*100)))</f>
        <v/>
      </c>
    </row>
    <row r="132" spans="2:21">
      <c r="B132" s="96" t="str">
        <f>'Products x speed'!B46</f>
        <v>100G DR/DR+</v>
      </c>
      <c r="C132" s="97" t="str">
        <f>'Products x speed'!C46</f>
        <v>500m, 2km</v>
      </c>
      <c r="D132" s="97" t="str">
        <f>'Products x speed'!D46</f>
        <v>QSFP28</v>
      </c>
      <c r="E132" s="374" t="s">
        <v>95</v>
      </c>
      <c r="F132" s="373" t="s">
        <v>95</v>
      </c>
      <c r="G132" s="373" t="s">
        <v>95</v>
      </c>
      <c r="H132" s="373" t="s">
        <v>95</v>
      </c>
      <c r="I132" s="373" t="s">
        <v>95</v>
      </c>
      <c r="J132" s="373" t="s">
        <v>95</v>
      </c>
      <c r="K132" s="377" t="str">
        <f>IF('Products x speed'!E46=0,"",('Products x speed'!E196*10^6/('Products x speed'!E46*100)))</f>
        <v/>
      </c>
      <c r="L132" s="377" t="str">
        <f>IF('Products x speed'!F46=0,"",('Products x speed'!F196*10^6/('Products x speed'!F46*100)))</f>
        <v/>
      </c>
      <c r="M132" s="377" t="str">
        <f>IF('Products x speed'!G46=0,"",('Products x speed'!G196*10^6/('Products x speed'!G46*100)))</f>
        <v/>
      </c>
      <c r="N132" s="377" t="str">
        <f>IF('Products x speed'!H46=0,"",('Products x speed'!H196*10^6/('Products x speed'!H46*100)))</f>
        <v/>
      </c>
      <c r="O132" s="377" t="str">
        <f>IF('Products x speed'!I46=0,"",('Products x speed'!I196*10^6/('Products x speed'!I46*100)))</f>
        <v/>
      </c>
      <c r="P132" s="377" t="str">
        <f>IF('Products x speed'!J46=0,"",('Products x speed'!J196*10^6/('Products x speed'!J46*100)))</f>
        <v/>
      </c>
      <c r="Q132" s="377" t="str">
        <f>IF('Products x speed'!K46=0,"",('Products x speed'!K196*10^6/('Products x speed'!K46*100)))</f>
        <v/>
      </c>
      <c r="R132" s="375" t="str">
        <f>IF('Products x speed'!L46=0,"",('Products x speed'!L196*10^6/('Products x speed'!L46*100)))</f>
        <v/>
      </c>
      <c r="S132" s="375" t="str">
        <f>IF('Products x speed'!M46=0,"",('Products x speed'!M196*10^6/('Products x speed'!M46*100)))</f>
        <v/>
      </c>
      <c r="T132" s="375" t="str">
        <f>IF('Products x speed'!N46=0,"",('Products x speed'!N196*10^6/('Products x speed'!N46*100)))</f>
        <v/>
      </c>
      <c r="U132" s="375" t="str">
        <f>IF('Products x speed'!O46=0,"",('Products x speed'!O196*10^6/('Products x speed'!O46*100)))</f>
        <v/>
      </c>
    </row>
    <row r="133" spans="2:21">
      <c r="B133" s="96" t="str">
        <f>'Products x speed'!B47</f>
        <v>100G CWDM4-subspec</v>
      </c>
      <c r="C133" s="97" t="str">
        <f>'Products x speed'!C47</f>
        <v>500 m</v>
      </c>
      <c r="D133" s="97" t="str">
        <f>'Products x speed'!D47</f>
        <v>QSFP28</v>
      </c>
      <c r="E133" s="374" t="s">
        <v>95</v>
      </c>
      <c r="F133" s="373" t="s">
        <v>95</v>
      </c>
      <c r="G133" s="373" t="s">
        <v>95</v>
      </c>
      <c r="H133" s="373" t="s">
        <v>95</v>
      </c>
      <c r="I133" s="373" t="s">
        <v>95</v>
      </c>
      <c r="J133" s="373" t="s">
        <v>95</v>
      </c>
      <c r="K133" s="377">
        <f>IF('Products x speed'!E47=0,"",('Products x speed'!E197*10^6/('Products x speed'!E47*100)))</f>
        <v>6.25</v>
      </c>
      <c r="L133" s="377">
        <f>IF('Products x speed'!F47=0,"",('Products x speed'!F197*10^6/('Products x speed'!F47*100)))</f>
        <v>4.5</v>
      </c>
      <c r="M133" s="377" t="str">
        <f>IF('Products x speed'!G47=0,"",('Products x speed'!G197*10^6/('Products x speed'!G47*100)))</f>
        <v/>
      </c>
      <c r="N133" s="377" t="str">
        <f>IF('Products x speed'!H47=0,"",('Products x speed'!H197*10^6/('Products x speed'!H47*100)))</f>
        <v/>
      </c>
      <c r="O133" s="377" t="str">
        <f>IF('Products x speed'!I47=0,"",('Products x speed'!I197*10^6/('Products x speed'!I47*100)))</f>
        <v/>
      </c>
      <c r="P133" s="377" t="str">
        <f>IF('Products x speed'!J47=0,"",('Products x speed'!J197*10^6/('Products x speed'!J47*100)))</f>
        <v/>
      </c>
      <c r="Q133" s="377" t="str">
        <f>IF('Products x speed'!K47=0,"",('Products x speed'!K197*10^6/('Products x speed'!K47*100)))</f>
        <v/>
      </c>
      <c r="R133" s="375" t="str">
        <f>IF('Products x speed'!L47=0,"",('Products x speed'!L197*10^6/('Products x speed'!L47*100)))</f>
        <v/>
      </c>
      <c r="S133" s="375" t="str">
        <f>IF('Products x speed'!M47=0,"",('Products x speed'!M197*10^6/('Products x speed'!M47*100)))</f>
        <v/>
      </c>
      <c r="T133" s="375" t="str">
        <f>IF('Products x speed'!N47=0,"",('Products x speed'!N197*10^6/('Products x speed'!N47*100)))</f>
        <v/>
      </c>
      <c r="U133" s="375" t="str">
        <f>IF('Products x speed'!O47=0,"",('Products x speed'!O197*10^6/('Products x speed'!O47*100)))</f>
        <v/>
      </c>
    </row>
    <row r="134" spans="2:21">
      <c r="B134" s="96" t="str">
        <f>'Products x speed'!B48</f>
        <v>100G CWDM4</v>
      </c>
      <c r="C134" s="97" t="str">
        <f>'Products x speed'!C48</f>
        <v>2 km</v>
      </c>
      <c r="D134" s="97" t="str">
        <f>'Products x speed'!D48</f>
        <v>QSFP28</v>
      </c>
      <c r="E134" s="374" t="s">
        <v>95</v>
      </c>
      <c r="F134" s="373" t="s">
        <v>95</v>
      </c>
      <c r="G134" s="373" t="s">
        <v>95</v>
      </c>
      <c r="H134" s="373" t="s">
        <v>95</v>
      </c>
      <c r="I134" s="373" t="s">
        <v>95</v>
      </c>
      <c r="J134" s="373">
        <v>14</v>
      </c>
      <c r="K134" s="128">
        <f>IF('Products x speed'!E48=0,"",('Products x speed'!E198*10^6/('Products x speed'!E48*100)))</f>
        <v>8.25</v>
      </c>
      <c r="L134" s="377">
        <f>IF('Products x speed'!F48=0,"",('Products x speed'!F198*10^6/('Products x speed'!F48*100)))</f>
        <v>6.5</v>
      </c>
      <c r="M134" s="377" t="str">
        <f>IF('Products x speed'!G48=0,"",('Products x speed'!G198*10^6/('Products x speed'!G48*100)))</f>
        <v/>
      </c>
      <c r="N134" s="377" t="str">
        <f>IF('Products x speed'!H48=0,"",('Products x speed'!H198*10^6/('Products x speed'!H48*100)))</f>
        <v/>
      </c>
      <c r="O134" s="377" t="str">
        <f>IF('Products x speed'!I48=0,"",('Products x speed'!I198*10^6/('Products x speed'!I48*100)))</f>
        <v/>
      </c>
      <c r="P134" s="377" t="str">
        <f>IF('Products x speed'!J48=0,"",('Products x speed'!J198*10^6/('Products x speed'!J48*100)))</f>
        <v/>
      </c>
      <c r="Q134" s="377" t="str">
        <f>IF('Products x speed'!K48=0,"",('Products x speed'!K198*10^6/('Products x speed'!K48*100)))</f>
        <v/>
      </c>
      <c r="R134" s="375" t="str">
        <f>IF('Products x speed'!L48=0,"",('Products x speed'!L198*10^6/('Products x speed'!L48*100)))</f>
        <v/>
      </c>
      <c r="S134" s="375" t="str">
        <f>IF('Products x speed'!M48=0,"",('Products x speed'!M198*10^6/('Products x speed'!M48*100)))</f>
        <v/>
      </c>
      <c r="T134" s="375" t="str">
        <f>IF('Products x speed'!N48=0,"",('Products x speed'!N198*10^6/('Products x speed'!N48*100)))</f>
        <v/>
      </c>
      <c r="U134" s="375" t="str">
        <f>IF('Products x speed'!O48=0,"",('Products x speed'!O198*10^6/('Products x speed'!O48*100)))</f>
        <v/>
      </c>
    </row>
    <row r="135" spans="2:21">
      <c r="B135" s="96" t="str">
        <f>'Products x speed'!B49</f>
        <v>100G FR1</v>
      </c>
      <c r="C135" s="97" t="str">
        <f>'Products x speed'!C49</f>
        <v>2 km</v>
      </c>
      <c r="D135" s="97" t="str">
        <f>'Products x speed'!D49</f>
        <v>QSFP28</v>
      </c>
      <c r="E135" s="374" t="s">
        <v>95</v>
      </c>
      <c r="F135" s="373" t="s">
        <v>95</v>
      </c>
      <c r="G135" s="373" t="s">
        <v>95</v>
      </c>
      <c r="H135" s="373" t="s">
        <v>95</v>
      </c>
      <c r="I135" s="373" t="s">
        <v>95</v>
      </c>
      <c r="J135" s="373" t="s">
        <v>95</v>
      </c>
      <c r="K135" s="128" t="str">
        <f>IF('Products x speed'!E49=0,"",('Products x speed'!E199*10^6/('Products x speed'!E49*100)))</f>
        <v/>
      </c>
      <c r="L135" s="377" t="str">
        <f>IF('Products x speed'!F49=0,"",('Products x speed'!F199*10^6/('Products x speed'!F49*100)))</f>
        <v/>
      </c>
      <c r="M135" s="377" t="str">
        <f>IF('Products x speed'!G49=0,"",('Products x speed'!G199*10^6/('Products x speed'!G49*100)))</f>
        <v/>
      </c>
      <c r="N135" s="377" t="str">
        <f>IF('Products x speed'!H49=0,"",('Products x speed'!H199*10^6/('Products x speed'!H49*100)))</f>
        <v/>
      </c>
      <c r="O135" s="377" t="str">
        <f>IF('Products x speed'!I49=0,"",('Products x speed'!I199*10^6/('Products x speed'!I49*100)))</f>
        <v/>
      </c>
      <c r="P135" s="377" t="str">
        <f>IF('Products x speed'!J49=0,"",('Products x speed'!J199*10^6/('Products x speed'!J49*100)))</f>
        <v/>
      </c>
      <c r="Q135" s="377" t="str">
        <f>IF('Products x speed'!K49=0,"",('Products x speed'!K199*10^6/('Products x speed'!K49*100)))</f>
        <v/>
      </c>
      <c r="R135" s="375" t="str">
        <f>IF('Products x speed'!L49=0,"",('Products x speed'!L199*10^6/('Products x speed'!L49*100)))</f>
        <v/>
      </c>
      <c r="S135" s="375" t="str">
        <f>IF('Products x speed'!M49=0,"",('Products x speed'!M199*10^6/('Products x speed'!M49*100)))</f>
        <v/>
      </c>
      <c r="T135" s="375" t="str">
        <f>IF('Products x speed'!N49=0,"",('Products x speed'!N199*10^6/('Products x speed'!N49*100)))</f>
        <v/>
      </c>
      <c r="U135" s="375" t="str">
        <f>IF('Products x speed'!O49=0,"",('Products x speed'!O199*10^6/('Products x speed'!O49*100)))</f>
        <v/>
      </c>
    </row>
    <row r="136" spans="2:21">
      <c r="B136" s="96" t="str">
        <f>'Products x speed'!B50</f>
        <v>100G LR4</v>
      </c>
      <c r="C136" s="97" t="str">
        <f>'Products x speed'!C50</f>
        <v>10 km</v>
      </c>
      <c r="D136" s="97" t="str">
        <f>'Products x speed'!D50</f>
        <v>CFP</v>
      </c>
      <c r="E136" s="374">
        <v>262.22519083969468</v>
      </c>
      <c r="F136" s="373">
        <v>223.61202964182792</v>
      </c>
      <c r="G136" s="373">
        <v>136.50492489270385</v>
      </c>
      <c r="H136" s="373">
        <v>101.78582887438024</v>
      </c>
      <c r="I136" s="373">
        <v>68.921181122138364</v>
      </c>
      <c r="J136" s="373">
        <v>47.323499987345386</v>
      </c>
      <c r="K136" s="128">
        <f>IF('Products x speed'!E50=0,"",('Products x speed'!E200*10^6/('Products x speed'!E50*100)))</f>
        <v>35.278709620331334</v>
      </c>
      <c r="L136" s="377">
        <f>IF('Products x speed'!F50=0,"",('Products x speed'!F200*10^6/('Products x speed'!F50*100)))</f>
        <v>27.680701132780364</v>
      </c>
      <c r="M136" s="377" t="str">
        <f>IF('Products x speed'!G50=0,"",('Products x speed'!G200*10^6/('Products x speed'!G50*100)))</f>
        <v/>
      </c>
      <c r="N136" s="377" t="str">
        <f>IF('Products x speed'!H50=0,"",('Products x speed'!H200*10^6/('Products x speed'!H50*100)))</f>
        <v/>
      </c>
      <c r="O136" s="377" t="str">
        <f>IF('Products x speed'!I50=0,"",('Products x speed'!I200*10^6/('Products x speed'!I50*100)))</f>
        <v/>
      </c>
      <c r="P136" s="377" t="str">
        <f>IF('Products x speed'!J50=0,"",('Products x speed'!J200*10^6/('Products x speed'!J50*100)))</f>
        <v/>
      </c>
      <c r="Q136" s="377" t="str">
        <f>IF('Products x speed'!K50=0,"",('Products x speed'!K200*10^6/('Products x speed'!K50*100)))</f>
        <v/>
      </c>
      <c r="R136" s="375" t="str">
        <f>IF('Products x speed'!L50=0,"",('Products x speed'!L200*10^6/('Products x speed'!L50*100)))</f>
        <v/>
      </c>
      <c r="S136" s="375" t="str">
        <f>IF('Products x speed'!M50=0,"",('Products x speed'!M200*10^6/('Products x speed'!M50*100)))</f>
        <v/>
      </c>
      <c r="T136" s="375" t="str">
        <f>IF('Products x speed'!N50=0,"",('Products x speed'!N200*10^6/('Products x speed'!N50*100)))</f>
        <v/>
      </c>
      <c r="U136" s="375" t="str">
        <f>IF('Products x speed'!O50=0,"",('Products x speed'!O200*10^6/('Products x speed'!O50*100)))</f>
        <v/>
      </c>
    </row>
    <row r="137" spans="2:21">
      <c r="B137" s="96" t="str">
        <f>'Products x speed'!B51</f>
        <v>100G LR4</v>
      </c>
      <c r="C137" s="97" t="str">
        <f>'Products x speed'!C51</f>
        <v>10 km</v>
      </c>
      <c r="D137" s="335" t="str">
        <f>'Products x speed'!D51</f>
        <v>CFP2/4</v>
      </c>
      <c r="E137" s="374" t="s">
        <v>95</v>
      </c>
      <c r="F137" s="373" t="s">
        <v>95</v>
      </c>
      <c r="G137" s="373" t="s">
        <v>95</v>
      </c>
      <c r="H137" s="373">
        <v>123.08948069241012</v>
      </c>
      <c r="I137" s="373">
        <v>58.038538159350431</v>
      </c>
      <c r="J137" s="373">
        <v>43.04984187973956</v>
      </c>
      <c r="K137" s="128">
        <f>IF('Products x speed'!E51=0,"",('Products x speed'!E201*10^6/('Products x speed'!E51*100)))</f>
        <v>28.825268681316725</v>
      </c>
      <c r="L137" s="377">
        <f>IF('Products x speed'!F51=0,"",('Products x speed'!F201*10^6/('Products x speed'!F51*100)))</f>
        <v>21.403307221126155</v>
      </c>
      <c r="M137" s="377" t="str">
        <f>IF('Products x speed'!G51=0,"",('Products x speed'!G201*10^6/('Products x speed'!G51*100)))</f>
        <v/>
      </c>
      <c r="N137" s="377" t="str">
        <f>IF('Products x speed'!H51=0,"",('Products x speed'!H201*10^6/('Products x speed'!H51*100)))</f>
        <v/>
      </c>
      <c r="O137" s="377" t="str">
        <f>IF('Products x speed'!I51=0,"",('Products x speed'!I201*10^6/('Products x speed'!I51*100)))</f>
        <v/>
      </c>
      <c r="P137" s="377" t="str">
        <f>IF('Products x speed'!J51=0,"",('Products x speed'!J201*10^6/('Products x speed'!J51*100)))</f>
        <v/>
      </c>
      <c r="Q137" s="377" t="str">
        <f>IF('Products x speed'!K51=0,"",('Products x speed'!K201*10^6/('Products x speed'!K51*100)))</f>
        <v/>
      </c>
      <c r="R137" s="375" t="str">
        <f>IF('Products x speed'!L51=0,"",('Products x speed'!L201*10^6/('Products x speed'!L51*100)))</f>
        <v/>
      </c>
      <c r="S137" s="375" t="str">
        <f>IF('Products x speed'!M51=0,"",('Products x speed'!M201*10^6/('Products x speed'!M51*100)))</f>
        <v/>
      </c>
      <c r="T137" s="375" t="str">
        <f>IF('Products x speed'!N51=0,"",('Products x speed'!N201*10^6/('Products x speed'!N51*100)))</f>
        <v/>
      </c>
      <c r="U137" s="375" t="str">
        <f>IF('Products x speed'!O51=0,"",('Products x speed'!O201*10^6/('Products x speed'!O51*100)))</f>
        <v/>
      </c>
    </row>
    <row r="138" spans="2:21">
      <c r="B138" s="96" t="str">
        <f>'Products x speed'!B52</f>
        <v>100G LR4 and LR1</v>
      </c>
      <c r="C138" s="97" t="str">
        <f>'Products x speed'!C52</f>
        <v>10 km</v>
      </c>
      <c r="D138" s="97" t="str">
        <f>'Products x speed'!D52</f>
        <v>QSFP28</v>
      </c>
      <c r="E138" s="374" t="s">
        <v>95</v>
      </c>
      <c r="F138" s="373" t="s">
        <v>95</v>
      </c>
      <c r="G138" s="373" t="s">
        <v>95</v>
      </c>
      <c r="H138" s="373" t="s">
        <v>95</v>
      </c>
      <c r="I138" s="373" t="s">
        <v>95</v>
      </c>
      <c r="J138" s="373">
        <v>27.779039760536037</v>
      </c>
      <c r="K138" s="128">
        <f>IF('Products x speed'!E52=0,"",('Products x speed'!E202*10^6/('Products x speed'!E52*100)))</f>
        <v>19.381501024552811</v>
      </c>
      <c r="L138" s="377">
        <f>IF('Products x speed'!F52=0,"",('Products x speed'!F202*10^6/('Products x speed'!F52*100)))</f>
        <v>12</v>
      </c>
      <c r="M138" s="377" t="str">
        <f>IF('Products x speed'!G52=0,"",('Products x speed'!G202*10^6/('Products x speed'!G52*100)))</f>
        <v/>
      </c>
      <c r="N138" s="377" t="str">
        <f>IF('Products x speed'!H52=0,"",('Products x speed'!H202*10^6/('Products x speed'!H52*100)))</f>
        <v/>
      </c>
      <c r="O138" s="377" t="str">
        <f>IF('Products x speed'!I52=0,"",('Products x speed'!I202*10^6/('Products x speed'!I52*100)))</f>
        <v/>
      </c>
      <c r="P138" s="377" t="str">
        <f>IF('Products x speed'!J52=0,"",('Products x speed'!J202*10^6/('Products x speed'!J52*100)))</f>
        <v/>
      </c>
      <c r="Q138" s="377" t="str">
        <f>IF('Products x speed'!K52=0,"",('Products x speed'!K202*10^6/('Products x speed'!K52*100)))</f>
        <v/>
      </c>
      <c r="R138" s="375" t="str">
        <f>IF('Products x speed'!L52=0,"",('Products x speed'!L202*10^6/('Products x speed'!L52*100)))</f>
        <v/>
      </c>
      <c r="S138" s="375" t="str">
        <f>IF('Products x speed'!M52=0,"",('Products x speed'!M202*10^6/('Products x speed'!M52*100)))</f>
        <v/>
      </c>
      <c r="T138" s="375" t="str">
        <f>IF('Products x speed'!N52=0,"",('Products x speed'!N202*10^6/('Products x speed'!N52*100)))</f>
        <v/>
      </c>
      <c r="U138" s="375" t="str">
        <f>IF('Products x speed'!O52=0,"",('Products x speed'!O202*10^6/('Products x speed'!O52*100)))</f>
        <v/>
      </c>
    </row>
    <row r="139" spans="2:21">
      <c r="B139" s="96" t="str">
        <f>'Products x speed'!B53</f>
        <v>100G 4WDM10</v>
      </c>
      <c r="C139" s="97" t="str">
        <f>'Products x speed'!C53</f>
        <v>10 km</v>
      </c>
      <c r="D139" s="97" t="str">
        <f>'Products x speed'!D53</f>
        <v>QSFP28</v>
      </c>
      <c r="E139" s="374" t="s">
        <v>95</v>
      </c>
      <c r="F139" s="373" t="s">
        <v>95</v>
      </c>
      <c r="G139" s="373" t="s">
        <v>95</v>
      </c>
      <c r="H139" s="373" t="s">
        <v>95</v>
      </c>
      <c r="I139" s="373" t="s">
        <v>95</v>
      </c>
      <c r="J139" s="373" t="s">
        <v>95</v>
      </c>
      <c r="K139" s="128" t="str">
        <f>IF('Products x speed'!E53=0,"",('Products x speed'!E203*10^6/('Products x speed'!E53*100)))</f>
        <v/>
      </c>
      <c r="L139" s="377">
        <f>IF('Products x speed'!F53=0,"",('Products x speed'!F203*10^6/('Products x speed'!F53*100)))</f>
        <v>5</v>
      </c>
      <c r="M139" s="377" t="str">
        <f>IF('Products x speed'!G53=0,"",('Products x speed'!G203*10^6/('Products x speed'!G53*100)))</f>
        <v/>
      </c>
      <c r="N139" s="377" t="str">
        <f>IF('Products x speed'!H53=0,"",('Products x speed'!H203*10^6/('Products x speed'!H53*100)))</f>
        <v/>
      </c>
      <c r="O139" s="377" t="str">
        <f>IF('Products x speed'!I53=0,"",('Products x speed'!I203*10^6/('Products x speed'!I53*100)))</f>
        <v/>
      </c>
      <c r="P139" s="377" t="str">
        <f>IF('Products x speed'!J53=0,"",('Products x speed'!J203*10^6/('Products x speed'!J53*100)))</f>
        <v/>
      </c>
      <c r="Q139" s="377" t="str">
        <f>IF('Products x speed'!K53=0,"",('Products x speed'!K203*10^6/('Products x speed'!K53*100)))</f>
        <v/>
      </c>
      <c r="R139" s="375" t="str">
        <f>IF('Products x speed'!L53=0,"",('Products x speed'!L203*10^6/('Products x speed'!L53*100)))</f>
        <v/>
      </c>
      <c r="S139" s="375" t="str">
        <f>IF('Products x speed'!M53=0,"",('Products x speed'!M203*10^6/('Products x speed'!M53*100)))</f>
        <v/>
      </c>
      <c r="T139" s="375" t="str">
        <f>IF('Products x speed'!N53=0,"",('Products x speed'!N203*10^6/('Products x speed'!N53*100)))</f>
        <v/>
      </c>
      <c r="U139" s="375" t="str">
        <f>IF('Products x speed'!O53=0,"",('Products x speed'!O203*10^6/('Products x speed'!O53*100)))</f>
        <v/>
      </c>
    </row>
    <row r="140" spans="2:21">
      <c r="B140" s="96" t="str">
        <f>'Products x speed'!B54</f>
        <v>100G 4WDM20</v>
      </c>
      <c r="C140" s="97" t="str">
        <f>'Products x speed'!C54</f>
        <v>20 km</v>
      </c>
      <c r="D140" s="97" t="str">
        <f>'Products x speed'!D54</f>
        <v>QSFP28</v>
      </c>
      <c r="E140" s="374"/>
      <c r="F140" s="373"/>
      <c r="G140" s="373"/>
      <c r="H140" s="373"/>
      <c r="I140" s="373" t="s">
        <v>95</v>
      </c>
      <c r="J140" s="373" t="s">
        <v>95</v>
      </c>
      <c r="K140" s="128" t="str">
        <f>IF('Products x speed'!E54=0,"",('Products x speed'!E204*10^6/('Products x speed'!E54*100)))</f>
        <v/>
      </c>
      <c r="L140" s="377" t="str">
        <f>IF('Products x speed'!F54=0,"",('Products x speed'!F204*10^6/('Products x speed'!F54*100)))</f>
        <v/>
      </c>
      <c r="M140" s="377" t="str">
        <f>IF('Products x speed'!G54=0,"",('Products x speed'!G204*10^6/('Products x speed'!G54*100)))</f>
        <v/>
      </c>
      <c r="N140" s="377" t="str">
        <f>IF('Products x speed'!H54=0,"",('Products x speed'!H204*10^6/('Products x speed'!H54*100)))</f>
        <v/>
      </c>
      <c r="O140" s="377" t="str">
        <f>IF('Products x speed'!I54=0,"",('Products x speed'!I204*10^6/('Products x speed'!I54*100)))</f>
        <v/>
      </c>
      <c r="P140" s="377" t="str">
        <f>IF('Products x speed'!J54=0,"",('Products x speed'!J204*10^6/('Products x speed'!J54*100)))</f>
        <v/>
      </c>
      <c r="Q140" s="377" t="str">
        <f>IF('Products x speed'!K54=0,"",('Products x speed'!K204*10^6/('Products x speed'!K54*100)))</f>
        <v/>
      </c>
      <c r="R140" s="375" t="str">
        <f>IF('Products x speed'!L54=0,"",('Products x speed'!L204*10^6/('Products x speed'!L54*100)))</f>
        <v/>
      </c>
      <c r="S140" s="375" t="str">
        <f>IF('Products x speed'!M54=0,"",('Products x speed'!M204*10^6/('Products x speed'!M54*100)))</f>
        <v/>
      </c>
      <c r="T140" s="375" t="str">
        <f>IF('Products x speed'!N54=0,"",('Products x speed'!N204*10^6/('Products x speed'!N54*100)))</f>
        <v/>
      </c>
      <c r="U140" s="375" t="str">
        <f>IF('Products x speed'!O54=0,"",('Products x speed'!O204*10^6/('Products x speed'!O54*100)))</f>
        <v/>
      </c>
    </row>
    <row r="141" spans="2:21">
      <c r="B141" s="96" t="str">
        <f>'Products x speed'!B57</f>
        <v>100G ZR4</v>
      </c>
      <c r="C141" s="97" t="str">
        <f>'Products x speed'!C57</f>
        <v>80 km</v>
      </c>
      <c r="D141" s="97" t="str">
        <f>'Products x speed'!D57</f>
        <v>QSFP28</v>
      </c>
      <c r="E141" s="374" t="s">
        <v>95</v>
      </c>
      <c r="F141" s="373" t="s">
        <v>95</v>
      </c>
      <c r="G141" s="373" t="s">
        <v>95</v>
      </c>
      <c r="H141" s="373" t="s">
        <v>95</v>
      </c>
      <c r="I141" s="373" t="s">
        <v>95</v>
      </c>
      <c r="J141" s="373">
        <v>78.003211991434696</v>
      </c>
      <c r="K141" s="128" t="str">
        <f>IF('Products x speed'!E57=0,"",('Products x speed'!E207*10^6/('Products x speed'!E57*100)))</f>
        <v/>
      </c>
      <c r="L141" s="377" t="str">
        <f>IF('Products x speed'!F57=0,"",('Products x speed'!F207*10^6/('Products x speed'!F57*100)))</f>
        <v/>
      </c>
      <c r="M141" s="377" t="str">
        <f>IF('Products x speed'!G57=0,"",('Products x speed'!G207*10^6/('Products x speed'!G57*100)))</f>
        <v/>
      </c>
      <c r="N141" s="377" t="str">
        <f>IF('Products x speed'!H57=0,"",('Products x speed'!H207*10^6/('Products x speed'!H57*100)))</f>
        <v/>
      </c>
      <c r="O141" s="377" t="str">
        <f>IF('Products x speed'!I57=0,"",('Products x speed'!I207*10^6/('Products x speed'!I57*100)))</f>
        <v/>
      </c>
      <c r="P141" s="377" t="str">
        <f>IF('Products x speed'!J57=0,"",('Products x speed'!J207*10^6/('Products x speed'!J57*100)))</f>
        <v/>
      </c>
      <c r="Q141" s="377" t="str">
        <f>IF('Products x speed'!K57=0,"",('Products x speed'!K207*10^6/('Products x speed'!K57*100)))</f>
        <v/>
      </c>
      <c r="R141" s="375" t="str">
        <f>IF('Products x speed'!L57=0,"",('Products x speed'!L207*10^6/('Products x speed'!L57*100)))</f>
        <v/>
      </c>
      <c r="S141" s="375" t="str">
        <f>IF('Products x speed'!M57=0,"",('Products x speed'!M207*10^6/('Products x speed'!M57*100)))</f>
        <v/>
      </c>
      <c r="T141" s="375" t="str">
        <f>IF('Products x speed'!N57=0,"",('Products x speed'!N207*10^6/('Products x speed'!N57*100)))</f>
        <v/>
      </c>
      <c r="U141" s="375" t="str">
        <f>IF('Products x speed'!O57=0,"",('Products x speed'!O207*10^6/('Products x speed'!O57*100)))</f>
        <v/>
      </c>
    </row>
    <row r="142" spans="2:21">
      <c r="B142" s="88" t="str">
        <f>'Products x speed'!B58</f>
        <v>200G SR4</v>
      </c>
      <c r="C142" s="89" t="str">
        <f>'Products x speed'!C58</f>
        <v>100 m</v>
      </c>
      <c r="D142" s="90" t="str">
        <f>'Products x speed'!D58</f>
        <v>QSFP56</v>
      </c>
      <c r="E142" s="365" t="s">
        <v>95</v>
      </c>
      <c r="F142" s="365" t="s">
        <v>95</v>
      </c>
      <c r="G142" s="365" t="s">
        <v>95</v>
      </c>
      <c r="H142" s="365" t="s">
        <v>95</v>
      </c>
      <c r="I142" s="365" t="s">
        <v>95</v>
      </c>
      <c r="J142" s="365" t="s">
        <v>95</v>
      </c>
      <c r="K142" s="365" t="str">
        <f>IF('Products x speed'!E58=0,"",('Products x speed'!E208*10^6/('Products x speed'!E58*200)))</f>
        <v/>
      </c>
      <c r="L142" s="386" t="str">
        <f>IF('Products x speed'!F58=0,"",('Products x speed'!F208*10^6/('Products x speed'!F58*200)))</f>
        <v/>
      </c>
      <c r="M142" s="386" t="str">
        <f>IF('Products x speed'!G58=0,"",('Products x speed'!G208*10^6/('Products x speed'!G58*200)))</f>
        <v/>
      </c>
      <c r="N142" s="386" t="str">
        <f>IF('Products x speed'!H58=0,"",('Products x speed'!H208*10^6/('Products x speed'!H58*200)))</f>
        <v/>
      </c>
      <c r="O142" s="386" t="str">
        <f>IF('Products x speed'!I58=0,"",('Products x speed'!I208*10^6/('Products x speed'!I58*200)))</f>
        <v/>
      </c>
      <c r="P142" s="386" t="str">
        <f>IF('Products x speed'!J58=0,"",('Products x speed'!J208*10^6/('Products x speed'!J58*200)))</f>
        <v/>
      </c>
      <c r="Q142" s="386" t="str">
        <f>IF('Products x speed'!K58=0,"",('Products x speed'!K208*10^6/('Products x speed'!K58*200)))</f>
        <v/>
      </c>
      <c r="R142" s="386" t="str">
        <f>IF('Products x speed'!L58=0,"",('Products x speed'!L208*10^6/('Products x speed'!L58*200)))</f>
        <v/>
      </c>
      <c r="S142" s="386" t="str">
        <f>IF('Products x speed'!M58=0,"",('Products x speed'!M208*10^6/('Products x speed'!M58*200)))</f>
        <v/>
      </c>
      <c r="T142" s="386" t="str">
        <f>IF('Products x speed'!N58=0,"",('Products x speed'!N208*10^6/('Products x speed'!N58*200)))</f>
        <v/>
      </c>
      <c r="U142" s="386" t="str">
        <f>IF('Products x speed'!O58=0,"",('Products x speed'!O208*10^6/('Products x speed'!O58*200)))</f>
        <v/>
      </c>
    </row>
    <row r="143" spans="2:21">
      <c r="B143" s="96" t="str">
        <f>'Products x speed'!B59</f>
        <v>2x200 (400G-SR8)</v>
      </c>
      <c r="C143" s="97" t="str">
        <f>'Products x speed'!C59</f>
        <v>100 m</v>
      </c>
      <c r="D143" s="98" t="str">
        <f>'Products x speed'!D59</f>
        <v>OSFP, QSFP-DD</v>
      </c>
      <c r="E143" s="373" t="s">
        <v>95</v>
      </c>
      <c r="F143" s="373" t="s">
        <v>95</v>
      </c>
      <c r="G143" s="373" t="s">
        <v>95</v>
      </c>
      <c r="H143" s="373" t="s">
        <v>95</v>
      </c>
      <c r="I143" s="373" t="s">
        <v>95</v>
      </c>
      <c r="J143" s="373" t="s">
        <v>95</v>
      </c>
      <c r="K143" s="373" t="str">
        <f>IF('Products x speed'!E59=0,"",('Products x speed'!E209*10^6/('Products x speed'!E59*200)))</f>
        <v/>
      </c>
      <c r="L143" s="375" t="str">
        <f>IF('Products x speed'!F59=0,"",('Products x speed'!F209*10^6/('Products x speed'!F59*200)))</f>
        <v/>
      </c>
      <c r="M143" s="375" t="str">
        <f>IF('Products x speed'!G59=0,"",('Products x speed'!G209*10^6/('Products x speed'!G59*400)))</f>
        <v/>
      </c>
      <c r="N143" s="375" t="str">
        <f>IF('Products x speed'!H59=0,"",('Products x speed'!H209*10^6/('Products x speed'!H59*400)))</f>
        <v/>
      </c>
      <c r="O143" s="375" t="str">
        <f>IF('Products x speed'!I59=0,"",('Products x speed'!I209*10^6/('Products x speed'!I59*400)))</f>
        <v/>
      </c>
      <c r="P143" s="375" t="str">
        <f>IF('Products x speed'!J59=0,"",('Products x speed'!J209*10^6/('Products x speed'!J59*400)))</f>
        <v/>
      </c>
      <c r="Q143" s="375" t="str">
        <f>IF('Products x speed'!K59=0,"",('Products x speed'!K209*10^6/('Products x speed'!K59*400)))</f>
        <v/>
      </c>
      <c r="R143" s="375" t="str">
        <f>IF('Products x speed'!L59=0,"",('Products x speed'!L209*10^6/('Products x speed'!L59*400)))</f>
        <v/>
      </c>
      <c r="S143" s="375" t="str">
        <f>IF('Products x speed'!M59=0,"",('Products x speed'!M209*10^6/('Products x speed'!M59*400)))</f>
        <v/>
      </c>
      <c r="T143" s="375" t="str">
        <f>IF('Products x speed'!N59=0,"",('Products x speed'!N209*10^6/('Products x speed'!N59*400)))</f>
        <v/>
      </c>
      <c r="U143" s="375" t="str">
        <f>IF('Products x speed'!O59=0,"",('Products x speed'!O209*10^6/('Products x speed'!O59*400)))</f>
        <v/>
      </c>
    </row>
    <row r="144" spans="2:21">
      <c r="B144" s="96" t="str">
        <f>'Products x speed'!B60</f>
        <v>200G FR4</v>
      </c>
      <c r="C144" s="97" t="str">
        <f>'Products x speed'!C60</f>
        <v>3 km</v>
      </c>
      <c r="D144" s="98" t="str">
        <f>'Products x speed'!D60</f>
        <v>QSFP56</v>
      </c>
      <c r="E144" s="373"/>
      <c r="F144" s="373"/>
      <c r="G144" s="373"/>
      <c r="H144" s="373"/>
      <c r="I144" s="373"/>
      <c r="J144" s="373"/>
      <c r="K144" s="373"/>
      <c r="L144" s="375" t="str">
        <f>IF('Products x speed'!F60=0,"",('Products x speed'!F210*10^6/('Products x speed'!F60*200)))</f>
        <v/>
      </c>
      <c r="M144" s="375" t="str">
        <f>IF('Products x speed'!G60=0,"",('Products x speed'!G210*10^6/('Products x speed'!G60*200)))</f>
        <v/>
      </c>
      <c r="N144" s="375" t="str">
        <f>IF('Products x speed'!H60=0,"",('Products x speed'!H210*10^6/('Products x speed'!H60*200)))</f>
        <v/>
      </c>
      <c r="O144" s="375" t="str">
        <f>IF('Products x speed'!I60=0,"",('Products x speed'!I210*10^6/('Products x speed'!I60*200)))</f>
        <v/>
      </c>
      <c r="P144" s="375" t="str">
        <f>IF('Products x speed'!J60=0,"",('Products x speed'!J210*10^6/('Products x speed'!J60*200)))</f>
        <v/>
      </c>
      <c r="Q144" s="375" t="str">
        <f>IF('Products x speed'!K60=0,"",('Products x speed'!K210*10^6/('Products x speed'!K60*200)))</f>
        <v/>
      </c>
      <c r="R144" s="375" t="str">
        <f>IF('Products x speed'!L60=0,"",('Products x speed'!L210*10^6/('Products x speed'!L60*200)))</f>
        <v/>
      </c>
      <c r="S144" s="375" t="str">
        <f>IF('Products x speed'!M60=0,"",('Products x speed'!M210*10^6/('Products x speed'!M60*200)))</f>
        <v/>
      </c>
      <c r="T144" s="375" t="str">
        <f>IF('Products x speed'!N60=0,"",('Products x speed'!N210*10^6/('Products x speed'!N60*200)))</f>
        <v/>
      </c>
      <c r="U144" s="375" t="str">
        <f>IF('Products x speed'!O60=0,"",('Products x speed'!O210*10^6/('Products x speed'!O60*200)))</f>
        <v/>
      </c>
    </row>
    <row r="145" spans="2:21">
      <c r="B145" s="92" t="str">
        <f>'Products x speed'!B61</f>
        <v>2x(200G FR4)</v>
      </c>
      <c r="C145" s="93" t="str">
        <f>'Products x speed'!C61</f>
        <v>2 km</v>
      </c>
      <c r="D145" s="94" t="str">
        <f>'Products x speed'!D61</f>
        <v>OSFP</v>
      </c>
      <c r="E145" s="366" t="s">
        <v>95</v>
      </c>
      <c r="F145" s="366" t="s">
        <v>95</v>
      </c>
      <c r="G145" s="366" t="s">
        <v>95</v>
      </c>
      <c r="H145" s="366" t="s">
        <v>95</v>
      </c>
      <c r="I145" s="366" t="s">
        <v>95</v>
      </c>
      <c r="J145" s="366" t="s">
        <v>95</v>
      </c>
      <c r="K145" s="366" t="str">
        <f>IF('Products x speed'!E61=0,"",('Products x speed'!E211*10^6/('Products x speed'!E61*200)))</f>
        <v/>
      </c>
      <c r="L145" s="387" t="str">
        <f>IF('Products x speed'!F61=0,"",('Products x speed'!F211*10^6/('Products x speed'!F61*200)))</f>
        <v/>
      </c>
      <c r="M145" s="387" t="str">
        <f>IF('Products x speed'!G61=0,"",('Products x speed'!G211*10^6/('Products x speed'!G61*400)))</f>
        <v/>
      </c>
      <c r="N145" s="387" t="str">
        <f>IF('Products x speed'!H61=0,"",('Products x speed'!H211*10^6/('Products x speed'!H61*400)))</f>
        <v/>
      </c>
      <c r="O145" s="387" t="str">
        <f>IF('Products x speed'!I61=0,"",('Products x speed'!I211*10^6/('Products x speed'!I61*400)))</f>
        <v/>
      </c>
      <c r="P145" s="387" t="str">
        <f>IF('Products x speed'!J61=0,"",('Products x speed'!J211*10^6/('Products x speed'!J61*400)))</f>
        <v/>
      </c>
      <c r="Q145" s="387" t="str">
        <f>IF('Products x speed'!K61=0,"",('Products x speed'!K211*10^6/('Products x speed'!K61*400)))</f>
        <v/>
      </c>
      <c r="R145" s="387" t="str">
        <f>IF('Products x speed'!L61=0,"",('Products x speed'!L211*10^6/('Products x speed'!L61*400)))</f>
        <v/>
      </c>
      <c r="S145" s="387" t="str">
        <f>IF('Products x speed'!M61=0,"",('Products x speed'!M211*10^6/('Products x speed'!M61*400)))</f>
        <v/>
      </c>
      <c r="T145" s="387" t="str">
        <f>IF('Products x speed'!N61=0,"",('Products x speed'!N211*10^6/('Products x speed'!N61*400)))</f>
        <v/>
      </c>
      <c r="U145" s="387" t="str">
        <f>IF('Products x speed'!O61=0,"",('Products x speed'!O211*10^6/('Products x speed'!O61*400)))</f>
        <v/>
      </c>
    </row>
    <row r="146" spans="2:21">
      <c r="B146" s="88" t="str">
        <f>'Products x speed'!B62</f>
        <v>400G SR4.2, SR4</v>
      </c>
      <c r="C146" s="89" t="str">
        <f>'Products x speed'!C62</f>
        <v>100 m</v>
      </c>
      <c r="D146" s="90" t="str">
        <f>'Products x speed'!D62</f>
        <v>OSFP, QSFP-DD, QSFP112</v>
      </c>
      <c r="E146" s="374" t="s">
        <v>95</v>
      </c>
      <c r="F146" s="373" t="s">
        <v>95</v>
      </c>
      <c r="G146" s="373" t="s">
        <v>95</v>
      </c>
      <c r="H146" s="373" t="s">
        <v>95</v>
      </c>
      <c r="I146" s="373" t="s">
        <v>95</v>
      </c>
      <c r="J146" s="373" t="s">
        <v>95</v>
      </c>
      <c r="K146" s="373" t="str">
        <f>IF('Products x speed'!E62=0,"",('Products x speed'!E212*10^6/('Products x speed'!E62*400)))</f>
        <v/>
      </c>
      <c r="L146" s="375" t="str">
        <f>IF('Products x speed'!F62=0,"",('Products x speed'!F212*10^6/('Products x speed'!F62*400)))</f>
        <v/>
      </c>
      <c r="M146" s="375" t="str">
        <f>IF('Products x speed'!G62=0,"",('Products x speed'!G212*10^6/('Products x speed'!G62*400)))</f>
        <v/>
      </c>
      <c r="N146" s="375" t="str">
        <f>IF('Products x speed'!H62=0,"",('Products x speed'!H212*10^6/('Products x speed'!H62*400)))</f>
        <v/>
      </c>
      <c r="O146" s="375" t="str">
        <f>IF('Products x speed'!I62=0,"",('Products x speed'!I212*10^6/('Products x speed'!I62*400)))</f>
        <v/>
      </c>
      <c r="P146" s="375" t="str">
        <f>IF('Products x speed'!J62=0,"",('Products x speed'!J212*10^6/('Products x speed'!J62*400)))</f>
        <v/>
      </c>
      <c r="Q146" s="375" t="str">
        <f>IF('Products x speed'!K62=0,"",('Products x speed'!K212*10^6/('Products x speed'!K62*400)))</f>
        <v/>
      </c>
      <c r="R146" s="375" t="str">
        <f>IF('Products x speed'!L62=0,"",('Products x speed'!L212*10^6/('Products x speed'!L62*400)))</f>
        <v/>
      </c>
      <c r="S146" s="375" t="str">
        <f>IF('Products x speed'!M62=0,"",('Products x speed'!M212*10^6/('Products x speed'!M62*400)))</f>
        <v/>
      </c>
      <c r="T146" s="375" t="str">
        <f>IF('Products x speed'!N62=0,"",('Products x speed'!N212*10^6/('Products x speed'!N62*400)))</f>
        <v/>
      </c>
      <c r="U146" s="375" t="str">
        <f>IF('Products x speed'!O62=0,"",('Products x speed'!O212*10^6/('Products x speed'!O62*400)))</f>
        <v/>
      </c>
    </row>
    <row r="147" spans="2:21">
      <c r="B147" s="96" t="str">
        <f>'Products x speed'!B63</f>
        <v>400G DR4</v>
      </c>
      <c r="C147" s="97" t="str">
        <f>'Products x speed'!C63</f>
        <v>500 m</v>
      </c>
      <c r="D147" s="98" t="str">
        <f>'Products x speed'!D63</f>
        <v>OSFP, QSFP-DD, QSFP112</v>
      </c>
      <c r="E147" s="374" t="s">
        <v>95</v>
      </c>
      <c r="F147" s="373" t="s">
        <v>95</v>
      </c>
      <c r="G147" s="373" t="s">
        <v>95</v>
      </c>
      <c r="H147" s="373" t="s">
        <v>95</v>
      </c>
      <c r="I147" s="373" t="s">
        <v>95</v>
      </c>
      <c r="J147" s="373" t="s">
        <v>95</v>
      </c>
      <c r="K147" s="373" t="str">
        <f>IF('Products x speed'!E63=0,"",('Products x speed'!E213*10^6/('Products x speed'!E63*400)))</f>
        <v/>
      </c>
      <c r="L147" s="375" t="str">
        <f>IF('Products x speed'!F63=0,"",('Products x speed'!F213*10^6/('Products x speed'!F63*400)))</f>
        <v/>
      </c>
      <c r="M147" s="375" t="str">
        <f>IF('Products x speed'!G63=0,"",('Products x speed'!G213*10^6/('Products x speed'!G63*400)))</f>
        <v/>
      </c>
      <c r="N147" s="375" t="str">
        <f>IF('Products x speed'!H63=0,"",('Products x speed'!H213*10^6/('Products x speed'!H63*400)))</f>
        <v/>
      </c>
      <c r="O147" s="375" t="str">
        <f>IF('Products x speed'!I63=0,"",('Products x speed'!I213*10^6/('Products x speed'!I63*400)))</f>
        <v/>
      </c>
      <c r="P147" s="375" t="str">
        <f>IF('Products x speed'!J63=0,"",('Products x speed'!J213*10^6/('Products x speed'!J63*400)))</f>
        <v/>
      </c>
      <c r="Q147" s="375" t="str">
        <f>IF('Products x speed'!K63=0,"",('Products x speed'!K213*10^6/('Products x speed'!K63*400)))</f>
        <v/>
      </c>
      <c r="R147" s="375" t="str">
        <f>IF('Products x speed'!L63=0,"",('Products x speed'!L213*10^6/('Products x speed'!L63*400)))</f>
        <v/>
      </c>
      <c r="S147" s="375" t="str">
        <f>IF('Products x speed'!M63=0,"",('Products x speed'!M213*10^6/('Products x speed'!M63*400)))</f>
        <v/>
      </c>
      <c r="T147" s="375" t="str">
        <f>IF('Products x speed'!N63=0,"",('Products x speed'!N213*10^6/('Products x speed'!N63*400)))</f>
        <v/>
      </c>
      <c r="U147" s="375" t="str">
        <f>IF('Products x speed'!O63=0,"",('Products x speed'!O213*10^6/('Products x speed'!O63*400)))</f>
        <v/>
      </c>
    </row>
    <row r="148" spans="2:21">
      <c r="B148" s="96" t="str">
        <f>'Products x speed'!B64</f>
        <v>400G FR4</v>
      </c>
      <c r="C148" s="97" t="str">
        <f>'Products x speed'!C64</f>
        <v>2 km</v>
      </c>
      <c r="D148" s="98" t="str">
        <f>'Products x speed'!D64</f>
        <v>OSFP, QSFP-DD, QSFP112</v>
      </c>
      <c r="E148" s="374"/>
      <c r="F148" s="373"/>
      <c r="G148" s="373"/>
      <c r="H148" s="373"/>
      <c r="I148" s="373"/>
      <c r="J148" s="373"/>
      <c r="K148" s="373"/>
      <c r="L148" s="375"/>
      <c r="M148" s="375" t="str">
        <f>IF('Products x speed'!G64=0,"",('Products x speed'!G214*10^6/('Products x speed'!G64*400)))</f>
        <v/>
      </c>
      <c r="N148" s="375" t="str">
        <f>IF('Products x speed'!H64=0,"",('Products x speed'!H214*10^6/('Products x speed'!H64*400)))</f>
        <v/>
      </c>
      <c r="O148" s="375" t="str">
        <f>IF('Products x speed'!I64=0,"",('Products x speed'!I214*10^6/('Products x speed'!I64*400)))</f>
        <v/>
      </c>
      <c r="P148" s="375" t="str">
        <f>IF('Products x speed'!J64=0,"",('Products x speed'!J214*10^6/('Products x speed'!J64*400)))</f>
        <v/>
      </c>
      <c r="Q148" s="375" t="str">
        <f>IF('Products x speed'!K64=0,"",('Products x speed'!K214*10^6/('Products x speed'!K64*400)))</f>
        <v/>
      </c>
      <c r="R148" s="375" t="str">
        <f>IF('Products x speed'!L64=0,"",('Products x speed'!L214*10^6/('Products x speed'!L64*400)))</f>
        <v/>
      </c>
      <c r="S148" s="375" t="str">
        <f>IF('Products x speed'!M64=0,"",('Products x speed'!M214*10^6/('Products x speed'!M64*400)))</f>
        <v/>
      </c>
      <c r="T148" s="375" t="str">
        <f>IF('Products x speed'!N64=0,"",('Products x speed'!N214*10^6/('Products x speed'!N64*400)))</f>
        <v/>
      </c>
      <c r="U148" s="375" t="str">
        <f>IF('Products x speed'!O64=0,"",('Products x speed'!O214*10^6/('Products x speed'!O64*400)))</f>
        <v/>
      </c>
    </row>
    <row r="149" spans="2:21">
      <c r="B149" s="96" t="str">
        <f>'Products x speed'!B65</f>
        <v>400G LR4, LR8</v>
      </c>
      <c r="C149" s="97" t="str">
        <f>'Products x speed'!C65</f>
        <v>10 km</v>
      </c>
      <c r="D149" s="98" t="str">
        <f>'Products x speed'!D65</f>
        <v>OSFP, QSFP-DD, QSFP112</v>
      </c>
      <c r="E149" s="371" t="s">
        <v>95</v>
      </c>
      <c r="F149" s="366" t="s">
        <v>95</v>
      </c>
      <c r="G149" s="366" t="s">
        <v>95</v>
      </c>
      <c r="H149" s="366" t="s">
        <v>95</v>
      </c>
      <c r="I149" s="366" t="s">
        <v>95</v>
      </c>
      <c r="J149" s="366" t="s">
        <v>95</v>
      </c>
      <c r="K149" s="366" t="str">
        <f>IF('Products x speed'!E65=0,"",('Products x speed'!E215*10^6/('Products x speed'!E65*400)))</f>
        <v/>
      </c>
      <c r="L149" s="387">
        <f>IF('Products x speed'!F65=0,"",('Products x speed'!F215*10^6/('Products x speed'!F65*400)))</f>
        <v>38.628048780487802</v>
      </c>
      <c r="M149" s="387" t="str">
        <f>IF('Products x speed'!G65=0,"",('Products x speed'!G215*10^6/('Products x speed'!G65*400)))</f>
        <v/>
      </c>
      <c r="N149" s="387" t="str">
        <f>IF('Products x speed'!H65=0,"",('Products x speed'!H215*10^6/('Products x speed'!H65*400)))</f>
        <v/>
      </c>
      <c r="O149" s="387" t="str">
        <f>IF('Products x speed'!I65=0,"",('Products x speed'!I215*10^6/('Products x speed'!I65*400)))</f>
        <v/>
      </c>
      <c r="P149" s="387" t="str">
        <f>IF('Products x speed'!J65=0,"",('Products x speed'!J215*10^6/('Products x speed'!J65*400)))</f>
        <v/>
      </c>
      <c r="Q149" s="387" t="str">
        <f>IF('Products x speed'!K65=0,"",('Products x speed'!K215*10^6/('Products x speed'!K65*400)))</f>
        <v/>
      </c>
      <c r="R149" s="387" t="str">
        <f>IF('Products x speed'!L65=0,"",('Products x speed'!L215*10^6/('Products x speed'!L65*400)))</f>
        <v/>
      </c>
      <c r="S149" s="387" t="str">
        <f>IF('Products x speed'!M65=0,"",('Products x speed'!M215*10^6/('Products x speed'!M65*400)))</f>
        <v/>
      </c>
      <c r="T149" s="387" t="str">
        <f>IF('Products x speed'!N65=0,"",('Products x speed'!N215*10^6/('Products x speed'!N65*400)))</f>
        <v/>
      </c>
      <c r="U149" s="387" t="str">
        <f>IF('Products x speed'!O65=0,"",('Products x speed'!O215*10^6/('Products x speed'!O65*400)))</f>
        <v/>
      </c>
    </row>
    <row r="150" spans="2:21">
      <c r="B150" s="88" t="str">
        <f>'Products x speed'!B66</f>
        <v>800G SR8</v>
      </c>
      <c r="C150" s="89" t="str">
        <f>'Products x speed'!C66</f>
        <v>50 m</v>
      </c>
      <c r="D150" s="90" t="str">
        <f>'Products x speed'!D66</f>
        <v>OSFP, QSFP-DD800</v>
      </c>
      <c r="E150" s="654"/>
      <c r="F150" s="365"/>
      <c r="G150" s="365"/>
      <c r="H150" s="365"/>
      <c r="I150" s="365"/>
      <c r="J150" s="365"/>
      <c r="K150" s="365"/>
      <c r="L150" s="386"/>
      <c r="M150" s="386"/>
      <c r="N150" s="386"/>
      <c r="O150" s="386"/>
      <c r="P150" s="386" t="str">
        <f>IF('Products x speed'!J66=0,"",('Products x speed'!J216*10^6/('Products x speed'!J66*800)))</f>
        <v/>
      </c>
      <c r="Q150" s="386" t="str">
        <f>IF('Products x speed'!K66=0,"",('Products x speed'!K216*10^6/('Products x speed'!K66*800)))</f>
        <v/>
      </c>
      <c r="R150" s="386" t="str">
        <f>IF('Products x speed'!L66=0,"",('Products x speed'!L216*10^6/('Products x speed'!L66*800)))</f>
        <v/>
      </c>
      <c r="S150" s="386" t="str">
        <f>IF('Products x speed'!M66=0,"",('Products x speed'!M216*10^6/('Products x speed'!M66*800)))</f>
        <v/>
      </c>
      <c r="T150" s="386" t="str">
        <f>IF('Products x speed'!N66=0,"",('Products x speed'!N216*10^6/('Products x speed'!N66*800)))</f>
        <v/>
      </c>
      <c r="U150" s="386" t="str">
        <f>IF('Products x speed'!O66=0,"",('Products x speed'!O216*10^6/('Products x speed'!O66*800)))</f>
        <v/>
      </c>
    </row>
    <row r="151" spans="2:21">
      <c r="B151" s="96"/>
      <c r="C151" s="97"/>
      <c r="D151" s="98"/>
      <c r="E151" s="374"/>
      <c r="F151" s="373"/>
      <c r="G151" s="373"/>
      <c r="H151" s="373"/>
      <c r="I151" s="373"/>
      <c r="J151" s="373"/>
      <c r="K151" s="373"/>
      <c r="L151" s="375"/>
      <c r="M151" s="375"/>
      <c r="N151" s="375"/>
      <c r="O151" s="375"/>
      <c r="P151" s="375"/>
      <c r="Q151" s="375"/>
      <c r="R151" s="375"/>
      <c r="S151" s="375"/>
      <c r="T151" s="375"/>
      <c r="U151" s="375"/>
    </row>
    <row r="152" spans="2:21">
      <c r="B152" s="96"/>
      <c r="C152" s="97"/>
      <c r="D152" s="98"/>
      <c r="E152" s="374"/>
      <c r="F152" s="373"/>
      <c r="G152" s="373"/>
      <c r="H152" s="373"/>
      <c r="I152" s="373"/>
      <c r="J152" s="373"/>
      <c r="K152" s="373"/>
      <c r="L152" s="375"/>
      <c r="M152" s="375"/>
      <c r="N152" s="375"/>
      <c r="O152" s="375"/>
      <c r="P152" s="375"/>
      <c r="Q152" s="375"/>
      <c r="R152" s="375"/>
      <c r="S152" s="375"/>
      <c r="T152" s="375"/>
      <c r="U152" s="375"/>
    </row>
    <row r="153" spans="2:21">
      <c r="B153" s="92"/>
      <c r="C153" s="93"/>
      <c r="D153" s="94"/>
      <c r="E153" s="371"/>
      <c r="F153" s="366"/>
      <c r="G153" s="366"/>
      <c r="H153" s="366"/>
      <c r="I153" s="366"/>
      <c r="J153" s="366"/>
      <c r="K153" s="366"/>
      <c r="L153" s="387"/>
      <c r="M153" s="387"/>
      <c r="N153" s="387"/>
      <c r="O153" s="387"/>
      <c r="P153" s="387"/>
      <c r="Q153" s="387"/>
      <c r="R153" s="387"/>
      <c r="S153" s="387"/>
      <c r="T153" s="387"/>
      <c r="U153" s="387"/>
    </row>
    <row r="154" spans="2:21">
      <c r="R154" s="370"/>
      <c r="S154" s="370"/>
      <c r="T154" s="370"/>
      <c r="U154" s="370"/>
    </row>
    <row r="155" spans="2:21" ht="14.5">
      <c r="B155" s="233" t="s">
        <v>182</v>
      </c>
      <c r="Q155" s="370"/>
      <c r="R155" s="370"/>
      <c r="S155" s="370"/>
      <c r="T155" s="370"/>
      <c r="U155" s="370"/>
    </row>
    <row r="156" spans="2:21">
      <c r="B156" s="367" t="s">
        <v>33</v>
      </c>
      <c r="C156" s="368" t="s">
        <v>32</v>
      </c>
      <c r="D156" s="368" t="s">
        <v>34</v>
      </c>
      <c r="E156" s="123">
        <v>2010</v>
      </c>
      <c r="F156" s="124">
        <v>2011</v>
      </c>
      <c r="G156" s="124">
        <v>2012</v>
      </c>
      <c r="H156" s="124">
        <v>2013</v>
      </c>
      <c r="I156" s="124">
        <v>2014</v>
      </c>
      <c r="J156" s="124">
        <v>2015</v>
      </c>
      <c r="K156" s="124">
        <v>2016</v>
      </c>
      <c r="L156" s="124">
        <v>2017</v>
      </c>
      <c r="M156" s="124">
        <v>2018</v>
      </c>
      <c r="N156" s="124">
        <v>2019</v>
      </c>
      <c r="O156" s="124">
        <v>2020</v>
      </c>
      <c r="P156" s="124">
        <v>2021</v>
      </c>
      <c r="Q156" s="124">
        <v>2022</v>
      </c>
      <c r="R156" s="124">
        <v>2023</v>
      </c>
      <c r="S156" s="124">
        <v>2024</v>
      </c>
      <c r="T156" s="125">
        <v>2025</v>
      </c>
      <c r="U156" s="125">
        <v>2026</v>
      </c>
    </row>
    <row r="157" spans="2:21">
      <c r="B157" s="88" t="s">
        <v>49</v>
      </c>
      <c r="C157" s="89" t="s">
        <v>48</v>
      </c>
      <c r="D157" s="90" t="s">
        <v>50</v>
      </c>
      <c r="E157" s="373">
        <v>274.06249367438778</v>
      </c>
      <c r="F157" s="373">
        <v>239.45512444253498</v>
      </c>
      <c r="G157" s="373">
        <v>222.69357921658363</v>
      </c>
      <c r="H157" s="373">
        <v>172.65303564324924</v>
      </c>
      <c r="I157" s="373">
        <v>177.73233103197674</v>
      </c>
      <c r="J157" s="373">
        <v>194.94455650737342</v>
      </c>
      <c r="K157" s="128">
        <v>0</v>
      </c>
      <c r="L157" s="128" t="s">
        <v>95</v>
      </c>
      <c r="M157" s="128" t="s">
        <v>95</v>
      </c>
      <c r="N157" s="128" t="s">
        <v>95</v>
      </c>
      <c r="O157" s="128" t="s">
        <v>95</v>
      </c>
      <c r="P157" s="128" t="s">
        <v>95</v>
      </c>
      <c r="Q157" s="373" t="s">
        <v>95</v>
      </c>
      <c r="R157" s="373" t="s">
        <v>95</v>
      </c>
      <c r="S157" s="373" t="s">
        <v>95</v>
      </c>
      <c r="T157" s="373" t="s">
        <v>95</v>
      </c>
      <c r="U157" s="373" t="s">
        <v>95</v>
      </c>
    </row>
    <row r="158" spans="2:21">
      <c r="B158" s="92" t="s">
        <v>49</v>
      </c>
      <c r="C158" s="93" t="s">
        <v>55</v>
      </c>
      <c r="D158" s="94" t="s">
        <v>50</v>
      </c>
      <c r="E158" s="366">
        <v>408.18962355062325</v>
      </c>
      <c r="F158" s="366">
        <v>250</v>
      </c>
      <c r="G158" s="366">
        <v>257.22320966907961</v>
      </c>
      <c r="H158" s="366">
        <v>279.86098194911409</v>
      </c>
      <c r="I158" s="366">
        <v>236.30748112560056</v>
      </c>
      <c r="J158" s="366">
        <v>166.47058823529412</v>
      </c>
      <c r="K158" s="130" t="s">
        <v>95</v>
      </c>
      <c r="L158" s="130" t="s">
        <v>95</v>
      </c>
      <c r="M158" s="130" t="s">
        <v>95</v>
      </c>
      <c r="N158" s="130" t="s">
        <v>95</v>
      </c>
      <c r="O158" s="130" t="s">
        <v>95</v>
      </c>
      <c r="P158" s="130" t="s">
        <v>95</v>
      </c>
      <c r="Q158" s="366" t="s">
        <v>95</v>
      </c>
      <c r="R158" s="366" t="s">
        <v>95</v>
      </c>
      <c r="S158" s="366" t="s">
        <v>95</v>
      </c>
      <c r="T158" s="366" t="s">
        <v>95</v>
      </c>
      <c r="U158" s="366" t="s">
        <v>95</v>
      </c>
    </row>
    <row r="159" spans="2:21">
      <c r="B159" s="88" t="s">
        <v>60</v>
      </c>
      <c r="C159" s="89" t="s">
        <v>45</v>
      </c>
      <c r="D159" s="90" t="s">
        <v>46</v>
      </c>
      <c r="E159" s="329">
        <v>18.206652850742383</v>
      </c>
      <c r="F159" s="329">
        <v>17.526901331276267</v>
      </c>
      <c r="G159" s="329">
        <v>17.095853477680556</v>
      </c>
      <c r="H159" s="329">
        <v>17.769954721744874</v>
      </c>
      <c r="I159" s="329">
        <v>18.264693750467032</v>
      </c>
      <c r="J159" s="329">
        <v>16.71487059956247</v>
      </c>
      <c r="K159" s="180" t="s">
        <v>95</v>
      </c>
      <c r="L159" s="180" t="s">
        <v>95</v>
      </c>
      <c r="M159" s="180" t="s">
        <v>95</v>
      </c>
      <c r="N159" s="180" t="s">
        <v>95</v>
      </c>
      <c r="O159" s="180" t="s">
        <v>95</v>
      </c>
      <c r="P159" s="180" t="s">
        <v>95</v>
      </c>
      <c r="Q159" s="329" t="s">
        <v>95</v>
      </c>
      <c r="R159" s="329" t="s">
        <v>95</v>
      </c>
      <c r="S159" s="329" t="s">
        <v>95</v>
      </c>
      <c r="T159" s="329" t="s">
        <v>95</v>
      </c>
      <c r="U159" s="329" t="s">
        <v>95</v>
      </c>
    </row>
    <row r="160" spans="2:21">
      <c r="B160" s="96" t="s">
        <v>60</v>
      </c>
      <c r="C160" s="100" t="s">
        <v>45</v>
      </c>
      <c r="D160" s="98" t="s">
        <v>40</v>
      </c>
      <c r="E160" s="329">
        <v>11.099633018262569</v>
      </c>
      <c r="F160" s="329">
        <v>11.035062575041373</v>
      </c>
      <c r="G160" s="329">
        <v>20.216612225851609</v>
      </c>
      <c r="H160" s="329">
        <v>21.197803054670214</v>
      </c>
      <c r="I160" s="329">
        <v>23.496655215906642</v>
      </c>
      <c r="J160" s="329">
        <v>24.291288695439938</v>
      </c>
      <c r="K160" s="180"/>
      <c r="L160" s="180"/>
      <c r="M160" s="180"/>
      <c r="N160" s="180"/>
      <c r="O160" s="180"/>
      <c r="P160" s="180"/>
      <c r="Q160" s="329"/>
      <c r="R160" s="329"/>
      <c r="S160" s="329"/>
      <c r="T160" s="329"/>
      <c r="U160" s="329"/>
    </row>
    <row r="161" spans="2:21">
      <c r="B161" s="96" t="s">
        <v>60</v>
      </c>
      <c r="C161" s="97" t="s">
        <v>51</v>
      </c>
      <c r="D161" s="98" t="s">
        <v>46</v>
      </c>
      <c r="E161" s="329">
        <v>23.39814100647137</v>
      </c>
      <c r="F161" s="329">
        <v>25.292353605697045</v>
      </c>
      <c r="G161" s="329">
        <v>22.283888496308389</v>
      </c>
      <c r="H161" s="329"/>
      <c r="I161" s="329" t="s">
        <v>95</v>
      </c>
      <c r="J161" s="329" t="s">
        <v>95</v>
      </c>
      <c r="K161" s="180"/>
      <c r="L161" s="180"/>
      <c r="M161" s="180"/>
      <c r="N161" s="180"/>
      <c r="O161" s="180"/>
      <c r="P161" s="180"/>
      <c r="Q161" s="329"/>
      <c r="R161" s="329"/>
      <c r="S161" s="329"/>
      <c r="T161" s="329"/>
      <c r="U161" s="329"/>
    </row>
    <row r="162" spans="2:21">
      <c r="B162" s="96" t="s">
        <v>60</v>
      </c>
      <c r="C162" s="97" t="s">
        <v>51</v>
      </c>
      <c r="D162" s="98" t="s">
        <v>52</v>
      </c>
      <c r="E162" s="329">
        <v>29.754221056484081</v>
      </c>
      <c r="F162" s="329">
        <v>29.532924515815946</v>
      </c>
      <c r="G162" s="329">
        <v>27.117140188120089</v>
      </c>
      <c r="H162" s="329">
        <v>25.445438495566442</v>
      </c>
      <c r="I162" s="329">
        <v>28.570454668617568</v>
      </c>
      <c r="J162" s="329">
        <v>64.697302697302732</v>
      </c>
      <c r="K162" s="180"/>
      <c r="L162" s="180"/>
      <c r="M162" s="180"/>
      <c r="N162" s="180"/>
      <c r="O162" s="180"/>
      <c r="P162" s="180"/>
      <c r="Q162" s="329"/>
      <c r="R162" s="329"/>
      <c r="S162" s="329"/>
      <c r="T162" s="329"/>
      <c r="U162" s="329"/>
    </row>
    <row r="163" spans="2:21">
      <c r="B163" s="96" t="s">
        <v>60</v>
      </c>
      <c r="C163" s="97" t="s">
        <v>56</v>
      </c>
      <c r="D163" s="98" t="s">
        <v>40</v>
      </c>
      <c r="E163" s="329">
        <v>76.717999203464927</v>
      </c>
      <c r="F163" s="329">
        <v>59.143771385122292</v>
      </c>
      <c r="G163" s="329">
        <v>39.079348493141595</v>
      </c>
      <c r="H163" s="329"/>
      <c r="I163" s="329" t="s">
        <v>95</v>
      </c>
      <c r="J163" s="329" t="s">
        <v>95</v>
      </c>
      <c r="K163" s="180"/>
      <c r="L163" s="180"/>
      <c r="M163" s="180"/>
      <c r="N163" s="180"/>
      <c r="O163" s="180"/>
      <c r="P163" s="180"/>
      <c r="Q163" s="329"/>
      <c r="R163" s="329"/>
      <c r="S163" s="329"/>
      <c r="T163" s="329"/>
      <c r="U163" s="329"/>
    </row>
    <row r="164" spans="2:21">
      <c r="B164" s="92" t="s">
        <v>60</v>
      </c>
      <c r="C164" s="93" t="s">
        <v>58</v>
      </c>
      <c r="D164" s="94" t="s">
        <v>40</v>
      </c>
      <c r="E164" s="371">
        <v>143.88166575041231</v>
      </c>
      <c r="F164" s="366">
        <v>143.84128914563698</v>
      </c>
      <c r="G164" s="366">
        <v>139.18409466153</v>
      </c>
      <c r="H164" s="366"/>
      <c r="I164" s="366" t="s">
        <v>95</v>
      </c>
      <c r="J164" s="366" t="s">
        <v>95</v>
      </c>
      <c r="K164" s="130"/>
      <c r="L164" s="130"/>
      <c r="M164" s="130"/>
      <c r="N164" s="130"/>
      <c r="O164" s="130"/>
      <c r="P164" s="130"/>
      <c r="Q164" s="366"/>
      <c r="R164" s="366"/>
      <c r="S164" s="366"/>
      <c r="T164" s="366"/>
      <c r="U164" s="366"/>
    </row>
    <row r="165" spans="2:21">
      <c r="B165" s="88" t="s">
        <v>61</v>
      </c>
      <c r="C165" s="89" t="s">
        <v>35</v>
      </c>
      <c r="D165" s="90" t="s">
        <v>36</v>
      </c>
      <c r="E165" s="329">
        <v>21.681017994211651</v>
      </c>
      <c r="F165" s="329">
        <v>16.06518077383889</v>
      </c>
      <c r="G165" s="329">
        <v>16.098718300474268</v>
      </c>
      <c r="H165" s="329"/>
      <c r="I165" s="329" t="s">
        <v>95</v>
      </c>
      <c r="J165" s="329" t="s">
        <v>95</v>
      </c>
      <c r="K165" s="180"/>
      <c r="L165" s="180"/>
      <c r="M165" s="180"/>
      <c r="N165" s="180"/>
      <c r="O165" s="180"/>
      <c r="P165" s="180"/>
      <c r="Q165" s="329"/>
      <c r="R165" s="329"/>
      <c r="S165" s="329"/>
      <c r="T165" s="329"/>
      <c r="U165" s="329"/>
    </row>
    <row r="166" spans="2:21">
      <c r="B166" s="96" t="s">
        <v>61</v>
      </c>
      <c r="C166" s="97" t="s">
        <v>42</v>
      </c>
      <c r="D166" s="98" t="s">
        <v>40</v>
      </c>
      <c r="E166" s="329">
        <v>30.463357047118258</v>
      </c>
      <c r="F166" s="329">
        <v>26.457340149118842</v>
      </c>
      <c r="G166" s="329">
        <v>23.477793907905461</v>
      </c>
      <c r="H166" s="329">
        <v>22.490035568296438</v>
      </c>
      <c r="I166" s="329">
        <v>18.806903651668385</v>
      </c>
      <c r="J166" s="329">
        <v>14.197024556372105</v>
      </c>
      <c r="K166" s="180"/>
      <c r="L166" s="180"/>
      <c r="M166" s="180"/>
      <c r="N166" s="180"/>
      <c r="O166" s="180"/>
      <c r="P166" s="180"/>
      <c r="Q166" s="329"/>
      <c r="R166" s="329"/>
      <c r="S166" s="329"/>
      <c r="T166" s="329"/>
      <c r="U166" s="329"/>
    </row>
    <row r="167" spans="2:21">
      <c r="B167" s="96" t="s">
        <v>61</v>
      </c>
      <c r="C167" s="97" t="s">
        <v>51</v>
      </c>
      <c r="D167" s="98" t="s">
        <v>53</v>
      </c>
      <c r="E167" s="329">
        <v>29.304823525939916</v>
      </c>
      <c r="F167" s="329">
        <v>25.929656648826676</v>
      </c>
      <c r="G167" s="329">
        <v>23.088225324217781</v>
      </c>
      <c r="H167" s="329">
        <v>17.641950034698127</v>
      </c>
      <c r="I167" s="329">
        <v>16.034090123883324</v>
      </c>
      <c r="J167" s="329">
        <v>15.763719512195134</v>
      </c>
      <c r="K167" s="180"/>
      <c r="L167" s="180"/>
      <c r="M167" s="180"/>
      <c r="N167" s="180"/>
      <c r="O167" s="180"/>
      <c r="P167" s="180"/>
      <c r="Q167" s="329"/>
      <c r="R167" s="329"/>
      <c r="S167" s="329"/>
      <c r="T167" s="329"/>
      <c r="U167" s="329"/>
    </row>
    <row r="168" spans="2:21">
      <c r="B168" s="92" t="s">
        <v>61</v>
      </c>
      <c r="C168" s="93" t="s">
        <v>56</v>
      </c>
      <c r="D168" s="94" t="s">
        <v>37</v>
      </c>
      <c r="E168" s="366">
        <v>73.993303417328278</v>
      </c>
      <c r="F168" s="366">
        <v>94.311510598336469</v>
      </c>
      <c r="G168" s="366">
        <v>84.690790562913918</v>
      </c>
      <c r="H168" s="366"/>
      <c r="I168" s="366" t="s">
        <v>95</v>
      </c>
      <c r="J168" s="366" t="s">
        <v>95</v>
      </c>
      <c r="K168" s="130"/>
      <c r="L168" s="130"/>
      <c r="M168" s="130"/>
      <c r="N168" s="130"/>
      <c r="O168" s="130"/>
      <c r="P168" s="130"/>
      <c r="Q168" s="366"/>
      <c r="R168" s="366"/>
      <c r="S168" s="366"/>
      <c r="T168" s="366"/>
      <c r="U168" s="366"/>
    </row>
  </sheetData>
  <pageMargins left="0.7" right="0.7" top="0.75" bottom="0.75" header="0.3" footer="0.3"/>
  <pageSetup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W128"/>
  <sheetViews>
    <sheetView zoomScale="50" zoomScaleNormal="50" workbookViewId="0">
      <selection activeCell="K122" sqref="K122:V124"/>
    </sheetView>
  </sheetViews>
  <sheetFormatPr defaultColWidth="8.453125" defaultRowHeight="13"/>
  <cols>
    <col min="1" max="3" width="8.453125" style="273"/>
    <col min="4" max="5" width="9.1796875" style="273" bestFit="1" customWidth="1"/>
    <col min="6" max="7" width="9.36328125" style="273" bestFit="1" customWidth="1"/>
    <col min="8" max="8" width="10.36328125" style="273" bestFit="1" customWidth="1"/>
    <col min="9" max="11" width="11.453125" style="273" bestFit="1" customWidth="1"/>
    <col min="12" max="12" width="12" style="273" customWidth="1"/>
    <col min="13" max="13" width="10.36328125" style="273" customWidth="1"/>
    <col min="14" max="14" width="11.1796875" style="273" customWidth="1"/>
    <col min="15" max="16384" width="8.453125" style="273"/>
  </cols>
  <sheetData>
    <row r="2" spans="2:23" ht="23.5">
      <c r="B2" s="423" t="str">
        <f>Introduction!$B$2</f>
        <v>LightCounting Ethernet Transceivers Forecast</v>
      </c>
      <c r="C2" s="423"/>
      <c r="D2" s="423"/>
      <c r="E2" s="294"/>
      <c r="F2" s="294"/>
      <c r="N2" s="453"/>
      <c r="R2" s="273" t="s">
        <v>14</v>
      </c>
      <c r="V2" s="12"/>
      <c r="W2" s="12"/>
    </row>
    <row r="3" spans="2:23" ht="15.5">
      <c r="B3" s="454" t="str">
        <f>Introduction!B3</f>
        <v xml:space="preserve">Sample template for forecast published 31 March 2021 </v>
      </c>
      <c r="C3" s="294"/>
      <c r="D3" s="294"/>
      <c r="E3" s="294"/>
      <c r="F3" s="294"/>
    </row>
    <row r="4" spans="2:23" ht="18.5">
      <c r="B4" s="423" t="s">
        <v>218</v>
      </c>
      <c r="C4" s="423"/>
      <c r="D4" s="423"/>
      <c r="E4" s="294"/>
      <c r="F4" s="294"/>
    </row>
    <row r="6" spans="2:23">
      <c r="B6" s="81" t="s">
        <v>219</v>
      </c>
    </row>
    <row r="8" spans="2:23">
      <c r="B8" s="81" t="s">
        <v>445</v>
      </c>
      <c r="J8" s="641" t="s">
        <v>482</v>
      </c>
      <c r="L8" s="81" t="s">
        <v>446</v>
      </c>
      <c r="R8" s="214"/>
      <c r="T8" s="641" t="s">
        <v>482</v>
      </c>
      <c r="U8" s="408"/>
    </row>
    <row r="28" spans="2:21">
      <c r="B28" s="81" t="s">
        <v>387</v>
      </c>
      <c r="H28" s="238"/>
      <c r="J28" s="641" t="s">
        <v>482</v>
      </c>
      <c r="L28" s="81" t="s">
        <v>388</v>
      </c>
      <c r="R28" s="214" t="s">
        <v>461</v>
      </c>
      <c r="T28" s="641" t="s">
        <v>482</v>
      </c>
      <c r="U28" s="408"/>
    </row>
    <row r="49" spans="2:14">
      <c r="B49" s="331"/>
      <c r="C49" s="274"/>
      <c r="D49" s="274"/>
      <c r="E49" s="274"/>
      <c r="F49" s="274"/>
      <c r="G49" s="274"/>
      <c r="H49" s="274"/>
      <c r="I49" s="274"/>
      <c r="J49" s="274"/>
      <c r="K49" s="274"/>
      <c r="L49" s="274"/>
      <c r="M49" s="274"/>
      <c r="N49" s="274"/>
    </row>
    <row r="50" spans="2:14" ht="14.5">
      <c r="B50" s="640" t="s">
        <v>479</v>
      </c>
      <c r="C50" s="274"/>
      <c r="D50" s="274"/>
      <c r="E50" s="274"/>
      <c r="F50" s="274"/>
      <c r="G50" s="274"/>
      <c r="H50" s="274"/>
      <c r="I50" s="274"/>
      <c r="J50" s="274"/>
      <c r="K50" s="274"/>
      <c r="L50" s="274"/>
      <c r="M50" s="274"/>
      <c r="N50" s="274"/>
    </row>
    <row r="51" spans="2:14">
      <c r="B51" s="331"/>
      <c r="C51" s="274"/>
      <c r="D51" s="274"/>
      <c r="E51" s="274"/>
      <c r="F51" s="274"/>
      <c r="G51" s="274"/>
      <c r="H51" s="274"/>
      <c r="I51" s="274"/>
      <c r="J51" s="274"/>
      <c r="K51" s="274"/>
      <c r="L51" s="274"/>
      <c r="M51" s="274"/>
      <c r="N51" s="274"/>
    </row>
    <row r="52" spans="2:14">
      <c r="B52" s="331"/>
      <c r="C52" s="274"/>
      <c r="D52" s="274"/>
      <c r="E52" s="274"/>
      <c r="F52" s="274"/>
      <c r="G52" s="274"/>
      <c r="H52" s="274"/>
      <c r="I52" s="274"/>
      <c r="J52" s="274"/>
      <c r="K52" s="274"/>
      <c r="L52" s="274"/>
      <c r="M52" s="274"/>
      <c r="N52" s="274"/>
    </row>
    <row r="53" spans="2:14">
      <c r="B53" s="331"/>
      <c r="C53" s="274"/>
      <c r="D53" s="274"/>
      <c r="E53" s="274"/>
      <c r="F53" s="274"/>
      <c r="G53" s="274"/>
      <c r="H53" s="274"/>
      <c r="I53" s="274"/>
      <c r="J53" s="274"/>
      <c r="K53" s="274"/>
      <c r="L53" s="274"/>
      <c r="M53" s="274"/>
      <c r="N53" s="274"/>
    </row>
    <row r="54" spans="2:14">
      <c r="B54" s="331"/>
      <c r="C54" s="274"/>
      <c r="D54" s="274"/>
      <c r="E54" s="274"/>
      <c r="F54" s="274"/>
      <c r="G54" s="274"/>
      <c r="H54" s="274"/>
      <c r="I54" s="274"/>
      <c r="J54" s="274"/>
      <c r="K54" s="274"/>
      <c r="L54" s="274"/>
      <c r="M54" s="274"/>
      <c r="N54" s="274"/>
    </row>
    <row r="55" spans="2:14">
      <c r="B55" s="331"/>
      <c r="C55" s="274"/>
      <c r="D55" s="274"/>
      <c r="E55" s="274"/>
      <c r="F55" s="274"/>
      <c r="G55" s="274"/>
      <c r="H55" s="274"/>
      <c r="I55" s="274"/>
      <c r="J55" s="274"/>
      <c r="K55" s="274"/>
      <c r="L55" s="274"/>
      <c r="M55" s="274"/>
      <c r="N55" s="274"/>
    </row>
    <row r="56" spans="2:14">
      <c r="B56" s="331"/>
      <c r="C56" s="274"/>
      <c r="D56" s="274"/>
      <c r="E56" s="274"/>
      <c r="F56" s="274"/>
      <c r="G56" s="274"/>
      <c r="H56" s="274"/>
      <c r="I56" s="274"/>
      <c r="J56" s="274"/>
      <c r="K56" s="274"/>
      <c r="L56" s="274"/>
      <c r="M56" s="274"/>
      <c r="N56" s="274"/>
    </row>
    <row r="57" spans="2:14">
      <c r="B57" s="331"/>
      <c r="C57" s="274"/>
      <c r="D57" s="274"/>
      <c r="E57" s="274"/>
      <c r="F57" s="274"/>
      <c r="G57" s="274"/>
      <c r="H57" s="274"/>
      <c r="I57" s="274"/>
      <c r="J57" s="274"/>
      <c r="K57" s="274"/>
      <c r="L57" s="274"/>
      <c r="M57" s="274"/>
      <c r="N57" s="274"/>
    </row>
    <row r="58" spans="2:14">
      <c r="B58" s="331"/>
      <c r="C58" s="274"/>
      <c r="D58" s="274"/>
      <c r="E58" s="274"/>
      <c r="F58" s="274"/>
      <c r="G58" s="274"/>
      <c r="H58" s="274"/>
      <c r="I58" s="274"/>
      <c r="J58" s="274"/>
      <c r="K58" s="274"/>
      <c r="L58" s="274"/>
      <c r="M58" s="274"/>
      <c r="N58" s="274"/>
    </row>
    <row r="59" spans="2:14">
      <c r="B59" s="331"/>
      <c r="C59" s="274"/>
      <c r="D59" s="274"/>
      <c r="E59" s="274"/>
      <c r="F59" s="274"/>
      <c r="G59" s="274"/>
      <c r="H59" s="274"/>
      <c r="I59" s="274"/>
      <c r="J59" s="274"/>
      <c r="K59" s="274"/>
      <c r="L59" s="274"/>
      <c r="M59" s="274"/>
      <c r="N59" s="274"/>
    </row>
    <row r="60" spans="2:14">
      <c r="B60" s="331"/>
      <c r="C60" s="274"/>
      <c r="D60" s="274"/>
      <c r="E60" s="274"/>
      <c r="F60" s="274"/>
      <c r="G60" s="274"/>
      <c r="H60" s="274"/>
      <c r="I60" s="274"/>
      <c r="J60" s="274"/>
      <c r="K60" s="274"/>
      <c r="L60" s="274"/>
      <c r="M60" s="274"/>
      <c r="N60" s="274"/>
    </row>
    <row r="61" spans="2:14">
      <c r="B61" s="331"/>
      <c r="C61" s="274"/>
      <c r="D61" s="274"/>
      <c r="E61" s="274"/>
      <c r="F61" s="274"/>
      <c r="G61" s="274"/>
      <c r="H61" s="274"/>
      <c r="I61" s="274"/>
      <c r="J61" s="274"/>
      <c r="K61" s="274"/>
      <c r="L61" s="274"/>
      <c r="M61" s="274"/>
      <c r="N61" s="274"/>
    </row>
    <row r="62" spans="2:14">
      <c r="B62" s="331"/>
      <c r="C62" s="274"/>
      <c r="D62" s="274"/>
      <c r="E62" s="274"/>
      <c r="F62" s="274"/>
      <c r="G62" s="274"/>
      <c r="H62" s="274"/>
      <c r="I62" s="274"/>
      <c r="J62" s="274"/>
      <c r="K62" s="274"/>
      <c r="L62" s="274"/>
      <c r="M62" s="274"/>
      <c r="N62" s="274"/>
    </row>
    <row r="63" spans="2:14">
      <c r="B63" s="331"/>
      <c r="C63" s="274"/>
      <c r="D63" s="274"/>
      <c r="E63" s="274"/>
      <c r="F63" s="274"/>
      <c r="G63" s="274"/>
      <c r="H63" s="274"/>
      <c r="I63" s="274"/>
      <c r="J63" s="274"/>
      <c r="K63" s="274"/>
      <c r="L63" s="274"/>
      <c r="M63" s="274"/>
      <c r="N63" s="274"/>
    </row>
    <row r="64" spans="2:14">
      <c r="B64" s="331"/>
      <c r="C64" s="274"/>
      <c r="D64" s="274"/>
      <c r="E64" s="274"/>
      <c r="F64" s="274"/>
      <c r="G64" s="274"/>
      <c r="H64" s="274"/>
      <c r="I64" s="274"/>
      <c r="J64" s="274"/>
      <c r="K64" s="274"/>
      <c r="L64" s="274"/>
      <c r="M64" s="274"/>
      <c r="N64" s="274"/>
    </row>
    <row r="65" spans="2:14">
      <c r="B65" s="331"/>
      <c r="C65" s="274"/>
      <c r="D65" s="274"/>
      <c r="E65" s="274"/>
      <c r="F65" s="274"/>
      <c r="G65" s="274"/>
      <c r="H65" s="274"/>
      <c r="I65" s="274"/>
      <c r="J65" s="274"/>
      <c r="K65" s="274"/>
      <c r="L65" s="274"/>
      <c r="M65" s="274"/>
      <c r="N65" s="274"/>
    </row>
    <row r="66" spans="2:14">
      <c r="B66" s="331"/>
      <c r="C66" s="274"/>
      <c r="D66" s="274"/>
      <c r="E66" s="274"/>
      <c r="F66" s="274"/>
      <c r="G66" s="274"/>
      <c r="H66" s="274"/>
      <c r="I66" s="274"/>
      <c r="J66" s="274"/>
      <c r="K66" s="274"/>
      <c r="L66" s="274"/>
      <c r="M66" s="274"/>
      <c r="N66" s="274"/>
    </row>
    <row r="67" spans="2:14">
      <c r="B67" s="331"/>
      <c r="C67" s="274"/>
      <c r="D67" s="274"/>
      <c r="E67" s="274"/>
      <c r="F67" s="274"/>
      <c r="G67" s="274"/>
      <c r="H67" s="274"/>
      <c r="I67" s="274"/>
      <c r="J67" s="274"/>
      <c r="K67" s="274"/>
      <c r="L67" s="274"/>
      <c r="M67" s="274"/>
      <c r="N67" s="274"/>
    </row>
    <row r="68" spans="2:14">
      <c r="B68" s="331"/>
      <c r="C68" s="274"/>
      <c r="D68" s="274"/>
      <c r="E68" s="274"/>
      <c r="F68" s="274"/>
      <c r="G68" s="274"/>
      <c r="H68" s="274"/>
      <c r="I68" s="274"/>
      <c r="J68" s="274"/>
      <c r="K68" s="274"/>
      <c r="L68" s="274"/>
      <c r="M68" s="274"/>
      <c r="N68" s="274"/>
    </row>
    <row r="69" spans="2:14">
      <c r="B69" s="331"/>
      <c r="C69" s="639"/>
      <c r="D69" s="299">
        <v>2016</v>
      </c>
      <c r="E69" s="299">
        <v>2017</v>
      </c>
      <c r="F69" s="299">
        <v>2018</v>
      </c>
      <c r="G69" s="299">
        <v>2019</v>
      </c>
      <c r="H69" s="299">
        <v>2020</v>
      </c>
      <c r="I69" s="299">
        <v>2021</v>
      </c>
      <c r="J69" s="299">
        <v>2022</v>
      </c>
      <c r="K69" s="299">
        <v>2023</v>
      </c>
      <c r="L69" s="299">
        <v>2024</v>
      </c>
      <c r="M69" s="299">
        <v>2025</v>
      </c>
      <c r="N69" s="299">
        <v>2026</v>
      </c>
    </row>
    <row r="70" spans="2:14">
      <c r="B70" s="331"/>
      <c r="C70" s="274" t="s">
        <v>128</v>
      </c>
      <c r="D70" s="284">
        <f>SUM('Products x speed'!E212:E215)+'Products x speed'!E211+'Products x speed'!E209</f>
        <v>0</v>
      </c>
      <c r="E70" s="284">
        <f>SUM('Products x speed'!F212:F215)+'Products x speed'!F211+'Products x speed'!F209</f>
        <v>1.3482999999999998</v>
      </c>
      <c r="F70" s="284">
        <f>SUM('Products x speed'!G212:G215)+'Products x speed'!G211+'Products x speed'!G209</f>
        <v>0</v>
      </c>
      <c r="G70" s="284">
        <f>SUM('Products x speed'!H212:H215)+'Products x speed'!H211+'Products x speed'!H209</f>
        <v>0</v>
      </c>
      <c r="H70" s="284">
        <f>SUM('Products x speed'!I212:I215)+'Products x speed'!I211+'Products x speed'!I209</f>
        <v>0</v>
      </c>
      <c r="I70" s="284">
        <f>SUM('Products x speed'!J212:J215)+'Products x speed'!J211+'Products x speed'!J209</f>
        <v>0</v>
      </c>
      <c r="J70" s="284">
        <f>SUM('Products x speed'!K212:K215)+'Products x speed'!K211+'Products x speed'!K209</f>
        <v>0</v>
      </c>
      <c r="K70" s="284">
        <f>SUM('Products x speed'!L212:L215)+'Products x speed'!L211+'Products x speed'!L209</f>
        <v>0</v>
      </c>
      <c r="L70" s="284">
        <f>SUM('Products x speed'!M212:M215)+'Products x speed'!M211+'Products x speed'!M209</f>
        <v>0</v>
      </c>
      <c r="M70" s="284">
        <f>SUM('Products x speed'!N212:N215)+'Products x speed'!N211+'Products x speed'!N209</f>
        <v>0</v>
      </c>
      <c r="N70" s="284">
        <f>SUM('Products x speed'!O212:O215)+'Products x speed'!O211+'Products x speed'!O209</f>
        <v>0</v>
      </c>
    </row>
    <row r="71" spans="2:14">
      <c r="B71" s="331"/>
      <c r="C71" s="274" t="s">
        <v>398</v>
      </c>
      <c r="D71" s="284">
        <f>SUM('Products x speed'!E216:E219)</f>
        <v>0</v>
      </c>
      <c r="E71" s="284">
        <f>SUM('Products x speed'!F216:F219)</f>
        <v>0</v>
      </c>
      <c r="F71" s="284">
        <f>SUM('Products x speed'!G216:G219)</f>
        <v>0</v>
      </c>
      <c r="G71" s="284">
        <f>SUM('Products x speed'!H216:H219)</f>
        <v>0</v>
      </c>
      <c r="H71" s="284">
        <f>SUM('Products x speed'!I216:I219)</f>
        <v>0</v>
      </c>
      <c r="I71" s="284">
        <f>SUM('Products x speed'!J216:J219)</f>
        <v>0</v>
      </c>
      <c r="J71" s="284">
        <f>SUM('Products x speed'!K216:K219)</f>
        <v>0</v>
      </c>
      <c r="K71" s="284">
        <f>SUM('Products x speed'!L216:L219)</f>
        <v>0</v>
      </c>
      <c r="L71" s="284">
        <f>SUM('Products x speed'!M216:M219)</f>
        <v>0</v>
      </c>
      <c r="M71" s="284">
        <f>SUM('Products x speed'!N216:N219)</f>
        <v>0</v>
      </c>
      <c r="N71" s="284">
        <f>SUM('Products x speed'!O216:O219)</f>
        <v>0</v>
      </c>
    </row>
    <row r="72" spans="2:14">
      <c r="B72" s="331"/>
      <c r="C72" s="274"/>
      <c r="D72" s="274"/>
      <c r="E72" s="274"/>
      <c r="F72" s="274"/>
      <c r="G72" s="274"/>
      <c r="H72" s="274"/>
      <c r="I72" s="274"/>
      <c r="J72" s="274"/>
      <c r="K72" s="274"/>
      <c r="L72" s="274"/>
      <c r="M72" s="274"/>
      <c r="N72" s="274"/>
    </row>
    <row r="73" spans="2:14">
      <c r="B73" s="331"/>
      <c r="C73" s="274"/>
      <c r="D73" s="274"/>
      <c r="E73" s="274"/>
      <c r="F73" s="274"/>
      <c r="G73" s="274"/>
      <c r="H73" s="274"/>
      <c r="I73" s="274"/>
      <c r="J73" s="274"/>
      <c r="K73" s="274"/>
      <c r="L73" s="274"/>
      <c r="M73" s="274"/>
      <c r="N73" s="274"/>
    </row>
    <row r="74" spans="2:14">
      <c r="B74" s="331"/>
      <c r="C74" s="274"/>
      <c r="D74" s="274"/>
      <c r="E74" s="274"/>
      <c r="F74" s="274"/>
      <c r="G74" s="274"/>
      <c r="H74" s="274"/>
      <c r="I74" s="274"/>
      <c r="J74" s="274"/>
      <c r="K74" s="274"/>
      <c r="L74" s="274"/>
      <c r="M74" s="274"/>
      <c r="N74" s="274"/>
    </row>
    <row r="75" spans="2:14">
      <c r="B75" s="331"/>
      <c r="C75" s="274"/>
      <c r="D75" s="274"/>
      <c r="E75" s="274"/>
      <c r="F75" s="274"/>
      <c r="G75" s="274"/>
      <c r="H75" s="274"/>
      <c r="I75" s="274"/>
      <c r="J75" s="274"/>
      <c r="K75" s="274"/>
      <c r="L75" s="274"/>
      <c r="M75" s="274"/>
      <c r="N75" s="274"/>
    </row>
    <row r="76" spans="2:14" ht="15.5">
      <c r="B76" s="194" t="s">
        <v>460</v>
      </c>
    </row>
    <row r="96" spans="2:14">
      <c r="B96" s="299"/>
      <c r="C96" s="299"/>
      <c r="D96" s="299">
        <v>2016</v>
      </c>
      <c r="E96" s="299">
        <v>2017</v>
      </c>
      <c r="F96" s="299">
        <v>2018</v>
      </c>
      <c r="G96" s="299">
        <v>2019</v>
      </c>
      <c r="H96" s="299">
        <v>2020</v>
      </c>
      <c r="I96" s="299">
        <v>2021</v>
      </c>
      <c r="J96" s="299">
        <v>2022</v>
      </c>
      <c r="K96" s="299">
        <v>2023</v>
      </c>
      <c r="L96" s="299">
        <v>2024</v>
      </c>
      <c r="M96" s="299">
        <v>2025</v>
      </c>
      <c r="N96" s="299">
        <v>2026</v>
      </c>
    </row>
    <row r="97" spans="2:14">
      <c r="B97" s="273" t="s">
        <v>306</v>
      </c>
      <c r="D97" s="281">
        <f>'Products x speed'!E58+'Products x speed'!E60</f>
        <v>0</v>
      </c>
      <c r="E97" s="281">
        <f>'Products x speed'!F58+'Products x speed'!F60</f>
        <v>0</v>
      </c>
      <c r="F97" s="281">
        <f>'Products x speed'!G58+'Products x speed'!G60</f>
        <v>0</v>
      </c>
      <c r="G97" s="281">
        <f>'Products x speed'!H58+'Products x speed'!H60</f>
        <v>0</v>
      </c>
      <c r="H97" s="281">
        <f>'Products x speed'!I58+'Products x speed'!I60</f>
        <v>0</v>
      </c>
      <c r="I97" s="281">
        <f>'Products x speed'!J58+'Products x speed'!J60</f>
        <v>0</v>
      </c>
      <c r="J97" s="281">
        <f>'Products x speed'!K58+'Products x speed'!K60</f>
        <v>0</v>
      </c>
      <c r="K97" s="281">
        <f>'Products x speed'!L58+'Products x speed'!L60</f>
        <v>0</v>
      </c>
      <c r="L97" s="281">
        <f>'Products x speed'!M58+'Products x speed'!M60</f>
        <v>0</v>
      </c>
      <c r="M97" s="281">
        <f>'Products x speed'!N58+'Products x speed'!N60</f>
        <v>0</v>
      </c>
      <c r="N97" s="281">
        <f>'Products x speed'!O58+'Products x speed'!O60</f>
        <v>0</v>
      </c>
    </row>
    <row r="98" spans="2:14">
      <c r="B98" s="273" t="s">
        <v>307</v>
      </c>
      <c r="D98" s="281">
        <f>'Products x speed'!E59+'Products x speed'!E61</f>
        <v>0</v>
      </c>
      <c r="E98" s="281">
        <f>'Products x speed'!F59+'Products x speed'!F61</f>
        <v>0</v>
      </c>
      <c r="F98" s="281">
        <f>'Products x speed'!G59+'Products x speed'!G61</f>
        <v>0</v>
      </c>
      <c r="G98" s="281">
        <f>'Products x speed'!H59+'Products x speed'!H61</f>
        <v>0</v>
      </c>
      <c r="H98" s="281">
        <f>'Products x speed'!I59+'Products x speed'!I61</f>
        <v>0</v>
      </c>
      <c r="I98" s="281">
        <f>'Products x speed'!J59+'Products x speed'!J61</f>
        <v>0</v>
      </c>
      <c r="J98" s="281">
        <f>'Products x speed'!K59+'Products x speed'!K61</f>
        <v>0</v>
      </c>
      <c r="K98" s="281">
        <f>'Products x speed'!L59+'Products x speed'!L61</f>
        <v>0</v>
      </c>
      <c r="L98" s="281">
        <f>'Products x speed'!M59+'Products x speed'!M61</f>
        <v>0</v>
      </c>
      <c r="M98" s="281">
        <f>'Products x speed'!N59+'Products x speed'!N61</f>
        <v>0</v>
      </c>
      <c r="N98" s="281">
        <f>'Products x speed'!O59+'Products x speed'!O61</f>
        <v>0</v>
      </c>
    </row>
    <row r="99" spans="2:14">
      <c r="B99" s="273" t="s">
        <v>308</v>
      </c>
      <c r="D99" s="281">
        <f>SUM('Products x speed'!E62:E65)</f>
        <v>0</v>
      </c>
      <c r="E99" s="281">
        <f>SUM('Products x speed'!F62:F65)</f>
        <v>89</v>
      </c>
      <c r="F99" s="281">
        <f>SUM('Products x speed'!G62:G65)</f>
        <v>0</v>
      </c>
      <c r="G99" s="281">
        <f>SUM('Products x speed'!H62:H65)</f>
        <v>0</v>
      </c>
      <c r="H99" s="281">
        <f>SUM('Products x speed'!I62:I65)</f>
        <v>0</v>
      </c>
      <c r="I99" s="281">
        <f>SUM('Products x speed'!J62:J65)</f>
        <v>0</v>
      </c>
      <c r="J99" s="281">
        <f>SUM('Products x speed'!K62:K65)</f>
        <v>0</v>
      </c>
      <c r="K99" s="281">
        <f>SUM('Products x speed'!L62:L65)</f>
        <v>0</v>
      </c>
      <c r="L99" s="281">
        <f>SUM('Products x speed'!M62:M65)</f>
        <v>0</v>
      </c>
      <c r="M99" s="281">
        <f>SUM('Products x speed'!N62:N65)</f>
        <v>0</v>
      </c>
      <c r="N99" s="281">
        <f>SUM('Products x speed'!O62:O65)</f>
        <v>0</v>
      </c>
    </row>
    <row r="100" spans="2:14">
      <c r="B100" s="273" t="s">
        <v>459</v>
      </c>
      <c r="H100" s="281">
        <f>Summary!G848</f>
        <v>0</v>
      </c>
      <c r="I100" s="281">
        <f>Summary!H848</f>
        <v>0</v>
      </c>
      <c r="J100" s="281">
        <f>Summary!I848</f>
        <v>0</v>
      </c>
      <c r="K100" s="281">
        <f>Summary!J848</f>
        <v>0</v>
      </c>
      <c r="L100" s="281">
        <f>Summary!K848</f>
        <v>0</v>
      </c>
      <c r="M100" s="281">
        <f>Summary!L848</f>
        <v>0</v>
      </c>
      <c r="N100" s="281">
        <f>Summary!M848</f>
        <v>0</v>
      </c>
    </row>
    <row r="104" spans="2:14" ht="15.5">
      <c r="B104" s="194" t="s">
        <v>251</v>
      </c>
    </row>
    <row r="121" spans="2:22">
      <c r="B121" s="299"/>
      <c r="C121" s="465" t="s">
        <v>241</v>
      </c>
      <c r="D121" s="465" t="s">
        <v>242</v>
      </c>
      <c r="E121" s="465" t="s">
        <v>243</v>
      </c>
      <c r="F121" s="465" t="s">
        <v>244</v>
      </c>
      <c r="G121" s="465" t="s">
        <v>245</v>
      </c>
      <c r="H121" s="465" t="s">
        <v>246</v>
      </c>
      <c r="I121" s="465" t="s">
        <v>247</v>
      </c>
      <c r="J121" s="465" t="s">
        <v>248</v>
      </c>
      <c r="K121" s="465" t="s">
        <v>249</v>
      </c>
      <c r="L121" s="465" t="s">
        <v>250</v>
      </c>
      <c r="M121" s="465" t="s">
        <v>356</v>
      </c>
      <c r="N121" s="465" t="s">
        <v>357</v>
      </c>
      <c r="O121" s="465" t="s">
        <v>385</v>
      </c>
      <c r="P121" s="465" t="s">
        <v>386</v>
      </c>
      <c r="Q121" s="465" t="s">
        <v>393</v>
      </c>
      <c r="R121" s="465" t="s">
        <v>394</v>
      </c>
      <c r="S121" s="465" t="s">
        <v>447</v>
      </c>
      <c r="T121" s="465" t="s">
        <v>448</v>
      </c>
      <c r="U121" s="465" t="s">
        <v>470</v>
      </c>
      <c r="V121" s="465" t="s">
        <v>471</v>
      </c>
    </row>
    <row r="122" spans="2:22">
      <c r="B122" s="273" t="s">
        <v>39</v>
      </c>
      <c r="C122" s="273">
        <v>28067</v>
      </c>
      <c r="D122" s="273">
        <v>32818</v>
      </c>
      <c r="E122" s="273">
        <v>35314</v>
      </c>
      <c r="F122" s="273">
        <v>35999</v>
      </c>
      <c r="G122" s="273">
        <v>23661</v>
      </c>
      <c r="H122" s="273">
        <v>21460</v>
      </c>
      <c r="I122" s="273">
        <v>17213</v>
      </c>
      <c r="J122" s="273">
        <v>15176</v>
      </c>
      <c r="S122" s="609"/>
      <c r="T122" s="655"/>
      <c r="U122" s="294"/>
      <c r="V122" s="294"/>
    </row>
    <row r="123" spans="2:22">
      <c r="B123" s="273" t="s">
        <v>239</v>
      </c>
      <c r="C123" s="273">
        <v>15919</v>
      </c>
      <c r="D123" s="273">
        <v>19326</v>
      </c>
      <c r="E123" s="273">
        <v>18177</v>
      </c>
      <c r="F123" s="273">
        <v>28224</v>
      </c>
      <c r="G123" s="273">
        <v>13780</v>
      </c>
      <c r="H123" s="273">
        <v>16280</v>
      </c>
      <c r="I123" s="273">
        <v>15584</v>
      </c>
      <c r="J123" s="273">
        <v>16956</v>
      </c>
      <c r="S123" s="609"/>
      <c r="T123" s="655"/>
      <c r="U123" s="294"/>
      <c r="V123" s="294"/>
    </row>
    <row r="124" spans="2:22">
      <c r="B124" s="273" t="s">
        <v>240</v>
      </c>
      <c r="C124" s="273">
        <v>1836</v>
      </c>
      <c r="D124" s="273">
        <v>2935</v>
      </c>
      <c r="E124" s="273">
        <v>3930</v>
      </c>
      <c r="F124" s="273">
        <v>6263</v>
      </c>
      <c r="G124" s="273">
        <v>6107</v>
      </c>
      <c r="H124" s="273">
        <v>5338</v>
      </c>
      <c r="I124" s="273">
        <v>3511</v>
      </c>
      <c r="J124" s="273">
        <v>2915</v>
      </c>
      <c r="S124" s="609"/>
      <c r="T124" s="655"/>
      <c r="U124" s="294"/>
      <c r="V124" s="294"/>
    </row>
    <row r="125" spans="2:22">
      <c r="J125" s="273" t="s">
        <v>486</v>
      </c>
    </row>
    <row r="128" spans="2:22">
      <c r="D128" s="602"/>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O57"/>
  <sheetViews>
    <sheetView showGridLines="0" zoomScale="70" zoomScaleNormal="70" zoomScalePageLayoutView="80" workbookViewId="0">
      <selection activeCell="B2" sqref="B2:B4"/>
    </sheetView>
  </sheetViews>
  <sheetFormatPr defaultColWidth="9.1796875" defaultRowHeight="12.5"/>
  <cols>
    <col min="1" max="1" width="4.453125" style="1" customWidth="1"/>
    <col min="2" max="2" width="16.81640625" style="1" customWidth="1"/>
    <col min="3" max="13" width="9" style="1" customWidth="1"/>
    <col min="14" max="14" width="11.453125" style="1" bestFit="1" customWidth="1"/>
    <col min="15" max="16384" width="9.1796875" style="1"/>
  </cols>
  <sheetData>
    <row r="2" spans="1:15" ht="18">
      <c r="B2" s="6" t="str">
        <f>Introduction!$B$2</f>
        <v>LightCounting Ethernet Transceivers Forecast</v>
      </c>
    </row>
    <row r="3" spans="1:15" ht="15.5">
      <c r="B3" s="43" t="str">
        <f>Introduction!$B$3</f>
        <v xml:space="preserve">Sample template for forecast published 31 March 2021 </v>
      </c>
    </row>
    <row r="4" spans="1:15" ht="18">
      <c r="B4" s="6" t="s">
        <v>0</v>
      </c>
    </row>
    <row r="6" spans="1:15">
      <c r="B6" s="25" t="s">
        <v>23</v>
      </c>
      <c r="C6" s="24"/>
      <c r="D6" s="24"/>
      <c r="E6" s="24"/>
      <c r="F6" s="24"/>
      <c r="G6" s="24"/>
      <c r="H6" s="24"/>
      <c r="I6" s="24"/>
      <c r="J6" s="8"/>
      <c r="K6" s="8"/>
      <c r="L6" s="8"/>
      <c r="M6" s="8"/>
      <c r="N6" s="8"/>
      <c r="O6" s="8"/>
    </row>
    <row r="7" spans="1:15">
      <c r="B7" s="25" t="s">
        <v>26</v>
      </c>
      <c r="C7" s="24"/>
      <c r="D7" s="24"/>
      <c r="E7" s="24"/>
      <c r="F7" s="24"/>
      <c r="G7" s="24"/>
      <c r="H7" s="24"/>
      <c r="I7" s="24"/>
      <c r="J7" s="8"/>
      <c r="K7" s="8"/>
      <c r="L7" s="8"/>
      <c r="M7" s="8"/>
      <c r="N7" s="8"/>
      <c r="O7" s="8"/>
    </row>
    <row r="8" spans="1:15">
      <c r="B8" s="25" t="s">
        <v>24</v>
      </c>
      <c r="C8" s="9"/>
      <c r="D8" s="9"/>
      <c r="E8" s="9"/>
      <c r="F8" s="9"/>
      <c r="G8" s="9"/>
      <c r="H8" s="9"/>
      <c r="I8" s="9"/>
      <c r="J8" s="8"/>
      <c r="K8" s="8"/>
      <c r="L8" s="8"/>
      <c r="M8" s="8"/>
      <c r="N8" s="8"/>
      <c r="O8" s="8"/>
    </row>
    <row r="9" spans="1:15">
      <c r="A9" s="22"/>
      <c r="B9" s="1" t="s">
        <v>25</v>
      </c>
      <c r="C9" s="24"/>
      <c r="D9" s="24"/>
      <c r="E9" s="24"/>
      <c r="F9" s="24"/>
      <c r="G9" s="24"/>
      <c r="H9" s="24"/>
      <c r="I9" s="24"/>
      <c r="J9" s="8"/>
      <c r="K9" s="8"/>
      <c r="L9" s="8"/>
      <c r="M9" s="8"/>
      <c r="N9" s="8"/>
      <c r="O9" s="8"/>
    </row>
    <row r="10" spans="1:15">
      <c r="B10" s="8"/>
      <c r="C10" s="8"/>
      <c r="D10" s="8"/>
      <c r="E10" s="8"/>
      <c r="F10" s="8"/>
      <c r="G10" s="8"/>
      <c r="H10" s="8"/>
      <c r="I10" s="8"/>
      <c r="J10" s="8"/>
      <c r="K10" s="8"/>
      <c r="L10" s="8"/>
      <c r="M10" s="8"/>
      <c r="N10" s="8"/>
      <c r="O10" s="8"/>
    </row>
    <row r="11" spans="1:15">
      <c r="B11" s="8"/>
      <c r="C11" s="8"/>
      <c r="D11" s="8"/>
      <c r="E11" s="8"/>
      <c r="F11" s="8"/>
      <c r="G11" s="8"/>
      <c r="H11" s="8"/>
      <c r="I11" s="8"/>
      <c r="J11" s="8"/>
      <c r="K11" s="8"/>
      <c r="L11" s="8"/>
      <c r="M11" s="8"/>
      <c r="N11" s="8"/>
      <c r="O11" s="8"/>
    </row>
    <row r="12" spans="1:15">
      <c r="B12" s="8"/>
      <c r="C12" s="8"/>
      <c r="D12" s="8"/>
      <c r="E12" s="8"/>
      <c r="F12" s="8"/>
      <c r="G12" s="8"/>
      <c r="H12" s="8"/>
      <c r="I12" s="8"/>
      <c r="J12" s="8"/>
      <c r="K12" s="8"/>
      <c r="L12" s="8"/>
      <c r="M12" s="8"/>
      <c r="N12" s="8"/>
      <c r="O12" s="8"/>
    </row>
    <row r="13" spans="1:15">
      <c r="B13" s="8"/>
      <c r="C13" s="8"/>
      <c r="D13" s="8"/>
      <c r="E13" s="8"/>
      <c r="F13" s="8"/>
      <c r="G13" s="8"/>
      <c r="H13" s="8"/>
      <c r="I13" s="8"/>
      <c r="J13" s="8"/>
      <c r="K13" s="8"/>
      <c r="L13" s="8"/>
      <c r="M13" s="8"/>
      <c r="N13" s="8"/>
      <c r="O13" s="8"/>
    </row>
    <row r="14" spans="1:15">
      <c r="B14" s="8"/>
      <c r="C14" s="8"/>
      <c r="D14" s="8"/>
      <c r="E14" s="8"/>
      <c r="F14" s="8"/>
      <c r="G14" s="8"/>
      <c r="H14" s="8"/>
      <c r="I14" s="8"/>
      <c r="J14" s="8"/>
      <c r="K14" s="8"/>
      <c r="L14" s="8"/>
      <c r="M14" s="8"/>
      <c r="N14" s="8"/>
      <c r="O14" s="8"/>
    </row>
    <row r="15" spans="1:15">
      <c r="B15" s="8"/>
      <c r="C15" s="8"/>
      <c r="D15" s="8"/>
      <c r="E15" s="8"/>
      <c r="F15" s="8"/>
      <c r="G15" s="8"/>
      <c r="H15" s="8"/>
      <c r="I15" s="8"/>
      <c r="J15" s="8"/>
      <c r="K15" s="8"/>
      <c r="L15" s="8"/>
      <c r="M15" s="8"/>
      <c r="N15" s="8"/>
      <c r="O15" s="8"/>
    </row>
    <row r="16" spans="1:15">
      <c r="B16" s="8"/>
      <c r="C16" s="8"/>
      <c r="D16" s="8"/>
      <c r="E16" s="8"/>
      <c r="F16" s="8"/>
      <c r="G16" s="8"/>
      <c r="H16" s="8"/>
      <c r="I16" s="8"/>
      <c r="J16" s="8"/>
      <c r="K16" s="8"/>
      <c r="L16" s="8"/>
      <c r="M16" s="8"/>
      <c r="N16" s="8"/>
      <c r="O16" s="8"/>
    </row>
    <row r="17" spans="2:15">
      <c r="B17" s="8"/>
      <c r="C17" s="8"/>
      <c r="D17" s="8"/>
      <c r="E17" s="8"/>
      <c r="F17" s="8"/>
      <c r="G17" s="8"/>
      <c r="H17" s="8"/>
      <c r="I17" s="8"/>
      <c r="J17" s="8"/>
      <c r="K17" s="8"/>
      <c r="L17" s="8"/>
      <c r="M17" s="8"/>
      <c r="N17" s="8"/>
      <c r="O17" s="8"/>
    </row>
    <row r="18" spans="2:15">
      <c r="B18" s="8"/>
      <c r="C18" s="8"/>
      <c r="D18" s="8"/>
      <c r="E18" s="8"/>
      <c r="F18" s="8"/>
      <c r="G18" s="8"/>
      <c r="H18" s="8"/>
      <c r="I18" s="8"/>
      <c r="J18" s="8"/>
      <c r="K18" s="8"/>
      <c r="L18" s="8"/>
      <c r="M18" s="8"/>
      <c r="N18" s="8"/>
      <c r="O18" s="8"/>
    </row>
    <row r="19" spans="2:15">
      <c r="B19" s="8"/>
      <c r="C19" s="8"/>
      <c r="D19" s="8"/>
      <c r="E19" s="8"/>
      <c r="F19" s="8"/>
      <c r="G19" s="8"/>
      <c r="H19" s="8"/>
      <c r="I19" s="8"/>
      <c r="J19" s="8"/>
      <c r="K19" s="8"/>
      <c r="L19" s="8"/>
      <c r="M19" s="8"/>
      <c r="N19" s="8"/>
      <c r="O19" s="8"/>
    </row>
    <row r="20" spans="2:15">
      <c r="B20" s="8"/>
      <c r="C20" s="8"/>
      <c r="D20" s="8"/>
      <c r="E20" s="8"/>
      <c r="F20" s="8"/>
      <c r="G20" s="8"/>
      <c r="H20" s="8"/>
      <c r="I20" s="8"/>
      <c r="J20" s="8"/>
      <c r="K20" s="8"/>
      <c r="L20" s="8"/>
      <c r="M20" s="8"/>
      <c r="N20" s="8"/>
      <c r="O20" s="8"/>
    </row>
    <row r="21" spans="2:15">
      <c r="B21" s="8"/>
      <c r="C21" s="8"/>
      <c r="D21" s="8"/>
      <c r="E21" s="8"/>
      <c r="F21" s="8"/>
      <c r="G21" s="8"/>
      <c r="H21" s="8"/>
      <c r="I21" s="8"/>
      <c r="J21" s="8"/>
      <c r="K21" s="8"/>
      <c r="L21" s="8"/>
      <c r="M21" s="8"/>
      <c r="N21" s="8"/>
      <c r="O21" s="8"/>
    </row>
    <row r="22" spans="2:15" s="19" customFormat="1">
      <c r="B22" s="18"/>
      <c r="C22" s="26"/>
      <c r="D22" s="20"/>
      <c r="E22" s="20"/>
      <c r="F22" s="20"/>
      <c r="G22" s="20"/>
      <c r="H22" s="20"/>
      <c r="I22" s="20"/>
      <c r="J22" s="20"/>
      <c r="K22" s="27"/>
    </row>
    <row r="23" spans="2:15" ht="13">
      <c r="B23" s="28" t="s">
        <v>1</v>
      </c>
      <c r="C23" s="8"/>
      <c r="D23" s="8"/>
      <c r="E23" s="8"/>
      <c r="F23" s="8"/>
      <c r="G23" s="8"/>
      <c r="H23" s="8"/>
      <c r="I23" s="8"/>
      <c r="J23" s="8"/>
      <c r="K23" s="8"/>
      <c r="L23" s="8"/>
      <c r="M23" s="8"/>
      <c r="N23" s="8"/>
      <c r="O23" s="8"/>
    </row>
    <row r="24" spans="2:15">
      <c r="B24" s="8"/>
      <c r="C24" s="8"/>
      <c r="D24" s="8"/>
      <c r="E24" s="8"/>
      <c r="F24" s="8"/>
      <c r="G24" s="8"/>
      <c r="H24" s="8"/>
      <c r="I24" s="8"/>
      <c r="J24" s="8"/>
      <c r="K24" s="8"/>
      <c r="L24" s="8"/>
      <c r="M24" s="8"/>
      <c r="N24" s="8"/>
      <c r="O24" s="8"/>
    </row>
    <row r="25" spans="2:15">
      <c r="B25" s="22" t="s">
        <v>2</v>
      </c>
      <c r="C25" s="22"/>
      <c r="D25" s="22"/>
      <c r="E25" s="22"/>
      <c r="F25" s="22"/>
      <c r="G25" s="22"/>
      <c r="H25" s="22"/>
      <c r="I25" s="22"/>
      <c r="J25" s="8"/>
      <c r="K25" s="8"/>
      <c r="L25" s="8"/>
      <c r="M25" s="8"/>
      <c r="N25" s="8"/>
      <c r="O25" s="8"/>
    </row>
    <row r="26" spans="2:15">
      <c r="B26" s="22"/>
      <c r="C26" s="22"/>
      <c r="D26" s="22"/>
      <c r="E26" s="22"/>
      <c r="F26" s="22"/>
      <c r="G26" s="22"/>
      <c r="H26" s="22"/>
      <c r="I26" s="22"/>
      <c r="J26" s="8"/>
      <c r="K26" s="8"/>
      <c r="L26" s="8"/>
      <c r="M26" s="8"/>
      <c r="N26" s="8"/>
      <c r="O26" s="8"/>
    </row>
    <row r="27" spans="2:15" ht="13">
      <c r="B27" s="23" t="s">
        <v>3</v>
      </c>
      <c r="C27" s="22"/>
      <c r="D27" s="22"/>
      <c r="E27" s="22"/>
      <c r="F27" s="22"/>
      <c r="G27" s="22"/>
      <c r="H27" s="22"/>
      <c r="I27" s="22"/>
      <c r="J27" s="8"/>
      <c r="K27" s="8"/>
      <c r="L27" s="8"/>
      <c r="M27" s="8"/>
      <c r="N27" s="8"/>
      <c r="O27" s="8"/>
    </row>
    <row r="28" spans="2:15" ht="13">
      <c r="B28" s="23"/>
      <c r="C28" s="22"/>
      <c r="D28" s="22"/>
      <c r="E28" s="22"/>
      <c r="F28" s="22"/>
      <c r="G28" s="22"/>
      <c r="H28" s="22"/>
      <c r="I28" s="22"/>
      <c r="J28" s="8"/>
      <c r="K28" s="8"/>
      <c r="L28" s="8"/>
      <c r="M28" s="8"/>
      <c r="N28" s="8"/>
      <c r="O28" s="8"/>
    </row>
    <row r="29" spans="2:15" ht="13.5" customHeight="1">
      <c r="B29" s="658" t="s">
        <v>4</v>
      </c>
      <c r="C29" s="658"/>
      <c r="D29" s="658"/>
      <c r="E29" s="658"/>
      <c r="F29" s="658"/>
      <c r="G29" s="658"/>
      <c r="H29" s="658"/>
      <c r="I29" s="658"/>
      <c r="J29" s="8"/>
      <c r="K29" s="8"/>
      <c r="L29" s="8"/>
      <c r="M29" s="8"/>
      <c r="N29" s="8"/>
      <c r="O29" s="8"/>
    </row>
    <row r="30" spans="2:15">
      <c r="B30" s="658"/>
      <c r="C30" s="658"/>
      <c r="D30" s="658"/>
      <c r="E30" s="658"/>
      <c r="F30" s="658"/>
      <c r="G30" s="658"/>
      <c r="H30" s="658"/>
      <c r="I30" s="658"/>
      <c r="J30" s="8"/>
      <c r="K30" s="8"/>
      <c r="L30" s="8"/>
      <c r="M30" s="8"/>
      <c r="N30" s="8"/>
      <c r="O30" s="8"/>
    </row>
    <row r="31" spans="2:15">
      <c r="B31" s="658"/>
      <c r="C31" s="658"/>
      <c r="D31" s="658"/>
      <c r="E31" s="658"/>
      <c r="F31" s="658"/>
      <c r="G31" s="658"/>
      <c r="H31" s="658"/>
      <c r="I31" s="658"/>
      <c r="J31" s="8"/>
      <c r="K31" s="8"/>
      <c r="L31" s="8"/>
      <c r="M31" s="8"/>
      <c r="N31" s="8"/>
      <c r="O31" s="8"/>
    </row>
    <row r="32" spans="2:15">
      <c r="B32" s="658"/>
      <c r="C32" s="658"/>
      <c r="D32" s="658"/>
      <c r="E32" s="658"/>
      <c r="F32" s="658"/>
      <c r="G32" s="658"/>
      <c r="H32" s="658"/>
      <c r="I32" s="658"/>
      <c r="J32" s="8"/>
      <c r="K32" s="8"/>
      <c r="L32" s="8"/>
      <c r="M32" s="8"/>
      <c r="N32" s="8"/>
      <c r="O32" s="8"/>
    </row>
    <row r="33" spans="2:15">
      <c r="B33" s="22"/>
      <c r="C33" s="22"/>
      <c r="D33" s="22"/>
      <c r="E33" s="22"/>
      <c r="F33" s="22"/>
      <c r="G33" s="22"/>
      <c r="H33" s="22"/>
      <c r="I33" s="22"/>
      <c r="J33" s="8"/>
      <c r="K33" s="8"/>
      <c r="L33" s="8"/>
      <c r="M33" s="8"/>
      <c r="N33" s="8"/>
      <c r="O33" s="8"/>
    </row>
    <row r="34" spans="2:15" ht="13">
      <c r="B34" s="23" t="s">
        <v>5</v>
      </c>
      <c r="C34" s="22"/>
      <c r="D34" s="22"/>
      <c r="E34" s="22"/>
      <c r="F34" s="22"/>
      <c r="G34" s="22"/>
      <c r="H34" s="22"/>
      <c r="I34" s="22"/>
      <c r="J34" s="8"/>
      <c r="K34" s="8"/>
      <c r="L34" s="8"/>
      <c r="M34" s="8"/>
      <c r="N34" s="8"/>
      <c r="O34" s="8"/>
    </row>
    <row r="35" spans="2:15" ht="13.5" customHeight="1">
      <c r="B35" s="658" t="s">
        <v>6</v>
      </c>
      <c r="C35" s="658"/>
      <c r="D35" s="658"/>
      <c r="E35" s="658"/>
      <c r="F35" s="658"/>
      <c r="G35" s="658"/>
      <c r="H35" s="658"/>
      <c r="I35" s="658"/>
      <c r="J35" s="8"/>
      <c r="K35" s="8"/>
      <c r="L35" s="8"/>
      <c r="M35" s="8"/>
      <c r="N35" s="8"/>
      <c r="O35" s="8"/>
    </row>
    <row r="36" spans="2:15">
      <c r="B36" s="658"/>
      <c r="C36" s="658"/>
      <c r="D36" s="658"/>
      <c r="E36" s="658"/>
      <c r="F36" s="658"/>
      <c r="G36" s="658"/>
      <c r="H36" s="658"/>
      <c r="I36" s="658"/>
      <c r="J36" s="8"/>
      <c r="K36" s="8"/>
      <c r="L36" s="8"/>
      <c r="M36" s="8"/>
      <c r="N36" s="8"/>
      <c r="O36" s="8"/>
    </row>
    <row r="37" spans="2:15">
      <c r="B37" s="658"/>
      <c r="C37" s="658"/>
      <c r="D37" s="658"/>
      <c r="E37" s="658"/>
      <c r="F37" s="658"/>
      <c r="G37" s="658"/>
      <c r="H37" s="658"/>
      <c r="I37" s="658"/>
      <c r="J37" s="8"/>
      <c r="K37" s="8"/>
      <c r="L37" s="8"/>
      <c r="M37" s="8"/>
      <c r="N37" s="8"/>
      <c r="O37" s="8"/>
    </row>
    <row r="38" spans="2:15">
      <c r="B38" s="658"/>
      <c r="C38" s="658"/>
      <c r="D38" s="658"/>
      <c r="E38" s="658"/>
      <c r="F38" s="658"/>
      <c r="G38" s="658"/>
      <c r="H38" s="658"/>
      <c r="I38" s="658"/>
      <c r="J38" s="8"/>
      <c r="K38" s="8"/>
      <c r="L38" s="8"/>
      <c r="M38" s="8"/>
      <c r="N38" s="8"/>
      <c r="O38" s="8"/>
    </row>
    <row r="39" spans="2:15">
      <c r="B39" s="22"/>
      <c r="C39" s="22"/>
      <c r="D39" s="22"/>
      <c r="E39" s="22"/>
      <c r="F39" s="22"/>
      <c r="G39" s="22"/>
      <c r="H39" s="22"/>
      <c r="I39" s="22"/>
      <c r="J39" s="8"/>
      <c r="K39" s="8"/>
      <c r="L39" s="8"/>
      <c r="M39" s="8"/>
      <c r="N39" s="8"/>
      <c r="O39" s="8"/>
    </row>
    <row r="40" spans="2:15" ht="13">
      <c r="B40" s="23" t="s">
        <v>7</v>
      </c>
      <c r="C40" s="22"/>
      <c r="D40" s="22"/>
      <c r="E40" s="22"/>
      <c r="F40" s="22"/>
      <c r="G40" s="22"/>
      <c r="H40" s="22"/>
      <c r="I40" s="22"/>
      <c r="J40" s="8"/>
      <c r="K40" s="8"/>
      <c r="L40" s="8"/>
      <c r="M40" s="8"/>
      <c r="N40" s="8"/>
      <c r="O40" s="8"/>
    </row>
    <row r="41" spans="2:15" ht="13.5" customHeight="1">
      <c r="B41" s="658" t="s">
        <v>8</v>
      </c>
      <c r="C41" s="658"/>
      <c r="D41" s="658"/>
      <c r="E41" s="658"/>
      <c r="F41" s="658"/>
      <c r="G41" s="658"/>
      <c r="H41" s="658"/>
      <c r="I41" s="658"/>
      <c r="J41" s="8"/>
      <c r="K41" s="8"/>
      <c r="L41" s="8"/>
      <c r="M41" s="8"/>
      <c r="N41" s="8"/>
      <c r="O41" s="8"/>
    </row>
    <row r="42" spans="2:15">
      <c r="B42" s="658"/>
      <c r="C42" s="658"/>
      <c r="D42" s="658"/>
      <c r="E42" s="658"/>
      <c r="F42" s="658"/>
      <c r="G42" s="658"/>
      <c r="H42" s="658"/>
      <c r="I42" s="658"/>
      <c r="J42" s="8"/>
      <c r="K42" s="8"/>
      <c r="L42" s="8"/>
      <c r="M42" s="8"/>
      <c r="N42" s="8"/>
      <c r="O42" s="8"/>
    </row>
    <row r="43" spans="2:15">
      <c r="B43" s="658"/>
      <c r="C43" s="658"/>
      <c r="D43" s="658"/>
      <c r="E43" s="658"/>
      <c r="F43" s="658"/>
      <c r="G43" s="658"/>
      <c r="H43" s="658"/>
      <c r="I43" s="658"/>
      <c r="J43" s="8"/>
      <c r="K43" s="8"/>
      <c r="L43" s="8"/>
      <c r="M43" s="8"/>
      <c r="N43" s="8"/>
      <c r="O43" s="8"/>
    </row>
    <row r="44" spans="2:15">
      <c r="B44" s="658"/>
      <c r="C44" s="658"/>
      <c r="D44" s="658"/>
      <c r="E44" s="658"/>
      <c r="F44" s="658"/>
      <c r="G44" s="658"/>
      <c r="H44" s="658"/>
      <c r="I44" s="658"/>
      <c r="J44" s="8"/>
      <c r="K44" s="8"/>
      <c r="L44" s="8"/>
      <c r="M44" s="8"/>
      <c r="N44" s="8"/>
      <c r="O44" s="8"/>
    </row>
    <row r="45" spans="2:15">
      <c r="B45" s="658"/>
      <c r="C45" s="658"/>
      <c r="D45" s="658"/>
      <c r="E45" s="658"/>
      <c r="F45" s="658"/>
      <c r="G45" s="658"/>
      <c r="H45" s="658"/>
      <c r="I45" s="658"/>
      <c r="J45" s="8"/>
      <c r="K45" s="8"/>
      <c r="L45" s="8"/>
      <c r="M45" s="8"/>
      <c r="N45" s="8"/>
      <c r="O45" s="8"/>
    </row>
    <row r="46" spans="2:15">
      <c r="B46" s="22"/>
      <c r="C46" s="22"/>
      <c r="D46" s="22"/>
      <c r="E46" s="22"/>
      <c r="F46" s="22"/>
      <c r="G46" s="22"/>
      <c r="H46" s="22"/>
      <c r="I46" s="22"/>
      <c r="J46" s="8"/>
      <c r="K46" s="8"/>
      <c r="L46" s="8"/>
      <c r="M46" s="8"/>
      <c r="N46" s="8"/>
      <c r="O46" s="8"/>
    </row>
    <row r="47" spans="2:15" ht="13">
      <c r="B47" s="23" t="s">
        <v>9</v>
      </c>
      <c r="C47" s="22"/>
      <c r="D47" s="22"/>
      <c r="E47" s="22"/>
      <c r="F47" s="22"/>
      <c r="G47" s="22"/>
      <c r="H47" s="22"/>
      <c r="I47" s="22"/>
      <c r="J47" s="8"/>
      <c r="K47" s="8"/>
      <c r="L47" s="8"/>
      <c r="M47" s="8"/>
      <c r="N47" s="8"/>
      <c r="O47" s="8"/>
    </row>
    <row r="48" spans="2:15" ht="13.5" customHeight="1">
      <c r="B48" s="658" t="s">
        <v>10</v>
      </c>
      <c r="C48" s="658"/>
      <c r="D48" s="658"/>
      <c r="E48" s="658"/>
      <c r="F48" s="658"/>
      <c r="G48" s="658"/>
      <c r="H48" s="658"/>
      <c r="I48" s="658"/>
      <c r="J48" s="8"/>
      <c r="K48" s="8"/>
      <c r="L48" s="8"/>
      <c r="M48" s="8"/>
      <c r="N48" s="8"/>
      <c r="O48" s="8"/>
    </row>
    <row r="49" spans="2:15">
      <c r="B49" s="658"/>
      <c r="C49" s="658"/>
      <c r="D49" s="658"/>
      <c r="E49" s="658"/>
      <c r="F49" s="658"/>
      <c r="G49" s="658"/>
      <c r="H49" s="658"/>
      <c r="I49" s="658"/>
      <c r="J49" s="8"/>
      <c r="K49" s="8"/>
      <c r="L49" s="8"/>
      <c r="M49" s="8"/>
      <c r="N49" s="8"/>
      <c r="O49" s="8"/>
    </row>
    <row r="50" spans="2:15">
      <c r="B50" s="658"/>
      <c r="C50" s="658"/>
      <c r="D50" s="658"/>
      <c r="E50" s="658"/>
      <c r="F50" s="658"/>
      <c r="G50" s="658"/>
      <c r="H50" s="658"/>
      <c r="I50" s="658"/>
      <c r="J50" s="8"/>
      <c r="K50" s="8"/>
      <c r="L50" s="8"/>
      <c r="M50" s="8"/>
      <c r="N50" s="8"/>
      <c r="O50" s="8"/>
    </row>
    <row r="51" spans="2:15">
      <c r="B51" s="658"/>
      <c r="C51" s="658"/>
      <c r="D51" s="658"/>
      <c r="E51" s="658"/>
      <c r="F51" s="658"/>
      <c r="G51" s="658"/>
      <c r="H51" s="658"/>
      <c r="I51" s="658"/>
      <c r="J51" s="8"/>
      <c r="K51" s="8"/>
      <c r="L51" s="8"/>
      <c r="M51" s="8"/>
      <c r="N51" s="8"/>
      <c r="O51" s="8"/>
    </row>
    <row r="52" spans="2:15">
      <c r="B52" s="22"/>
      <c r="C52" s="22"/>
      <c r="D52" s="22"/>
      <c r="E52" s="22"/>
      <c r="F52" s="22"/>
      <c r="G52" s="22"/>
      <c r="H52" s="22"/>
      <c r="I52" s="22"/>
      <c r="J52" s="8"/>
      <c r="K52" s="8"/>
      <c r="L52" s="8"/>
      <c r="M52" s="8"/>
      <c r="N52" s="8"/>
      <c r="O52" s="8"/>
    </row>
    <row r="53" spans="2:15" ht="13">
      <c r="B53" s="23" t="s">
        <v>11</v>
      </c>
      <c r="C53" s="22"/>
      <c r="D53" s="22"/>
      <c r="E53" s="22"/>
      <c r="F53" s="22"/>
      <c r="G53" s="22"/>
      <c r="H53" s="22"/>
      <c r="I53" s="22"/>
      <c r="J53" s="8"/>
      <c r="K53" s="8"/>
      <c r="L53" s="8"/>
      <c r="M53" s="8"/>
      <c r="N53" s="8"/>
      <c r="O53" s="8"/>
    </row>
    <row r="54" spans="2:15" ht="13.5" customHeight="1">
      <c r="B54" s="658" t="s">
        <v>12</v>
      </c>
      <c r="C54" s="658"/>
      <c r="D54" s="658"/>
      <c r="E54" s="658"/>
      <c r="F54" s="658"/>
      <c r="G54" s="658"/>
      <c r="H54" s="658"/>
      <c r="I54" s="658"/>
      <c r="J54" s="8"/>
      <c r="K54" s="8"/>
      <c r="L54" s="8"/>
      <c r="M54" s="8"/>
      <c r="N54" s="8"/>
      <c r="O54" s="8"/>
    </row>
    <row r="55" spans="2:15">
      <c r="B55" s="658"/>
      <c r="C55" s="658"/>
      <c r="D55" s="658"/>
      <c r="E55" s="658"/>
      <c r="F55" s="658"/>
      <c r="G55" s="658"/>
      <c r="H55" s="658"/>
      <c r="I55" s="658"/>
      <c r="J55" s="8"/>
      <c r="K55" s="8"/>
      <c r="L55" s="8"/>
      <c r="M55" s="8"/>
      <c r="N55" s="8"/>
      <c r="O55" s="8"/>
    </row>
    <row r="56" spans="2:15">
      <c r="B56" s="658"/>
      <c r="C56" s="658"/>
      <c r="D56" s="658"/>
      <c r="E56" s="658"/>
      <c r="F56" s="658"/>
      <c r="G56" s="658"/>
      <c r="H56" s="658"/>
      <c r="I56" s="658"/>
      <c r="J56" s="8"/>
      <c r="K56" s="8"/>
      <c r="L56" s="8"/>
      <c r="M56" s="8"/>
      <c r="N56" s="8"/>
      <c r="O56" s="8"/>
    </row>
    <row r="57" spans="2:15">
      <c r="B57" s="658"/>
      <c r="C57" s="658"/>
      <c r="D57" s="658"/>
      <c r="E57" s="658"/>
      <c r="F57" s="658"/>
      <c r="G57" s="658"/>
      <c r="H57" s="658"/>
      <c r="I57" s="658"/>
      <c r="J57" s="8"/>
      <c r="K57" s="8"/>
      <c r="L57" s="8"/>
      <c r="M57" s="8"/>
      <c r="N57" s="8"/>
      <c r="O57" s="8"/>
    </row>
  </sheetData>
  <mergeCells count="5">
    <mergeCell ref="B29:I32"/>
    <mergeCell ref="B48:I51"/>
    <mergeCell ref="B54:I57"/>
    <mergeCell ref="B41:I45"/>
    <mergeCell ref="B35:I38"/>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2:O123"/>
  <sheetViews>
    <sheetView showGridLines="0" topLeftCell="A34" zoomScale="60" zoomScaleNormal="60" zoomScalePageLayoutView="40" workbookViewId="0">
      <pane xSplit="1" ySplit="2" topLeftCell="B71" activePane="bottomRight" state="frozen"/>
      <selection activeCell="A34" sqref="A34"/>
      <selection pane="topRight" activeCell="B34" sqref="B34"/>
      <selection pane="bottomLeft" activeCell="A36" sqref="A36"/>
      <selection pane="bottomRight" activeCell="I99" sqref="I99"/>
    </sheetView>
  </sheetViews>
  <sheetFormatPr defaultColWidth="8.81640625" defaultRowHeight="13"/>
  <cols>
    <col min="1" max="1" width="1.453125" style="5" customWidth="1"/>
    <col min="2" max="2" width="30.81640625" style="5" customWidth="1"/>
    <col min="3" max="3" width="26" style="5" customWidth="1"/>
    <col min="4" max="4" width="29.36328125" style="5" customWidth="1"/>
    <col min="5" max="5" width="27.81640625" style="5" customWidth="1"/>
    <col min="6" max="6" width="18.453125" style="5" customWidth="1"/>
    <col min="7" max="7" width="22.453125" style="5" customWidth="1"/>
    <col min="8" max="8" width="15.1796875" style="5" customWidth="1"/>
    <col min="9" max="9" width="27.453125" style="479" customWidth="1"/>
    <col min="10" max="10" width="27.36328125" style="479" customWidth="1"/>
    <col min="11" max="11" width="27.1796875" style="5" customWidth="1"/>
    <col min="12" max="12" width="18.453125" style="5" customWidth="1"/>
    <col min="13" max="13" width="13.453125" style="5" customWidth="1"/>
    <col min="14" max="15" width="13.1796875" style="5" customWidth="1"/>
    <col min="16" max="16" width="13.453125" style="5" customWidth="1"/>
    <col min="17" max="16384" width="8.81640625" style="5"/>
  </cols>
  <sheetData>
    <row r="2" spans="2:15" ht="18">
      <c r="B2" s="6" t="str">
        <f>Introduction!$B$2</f>
        <v>LightCounting Ethernet Transceivers Forecast</v>
      </c>
    </row>
    <row r="3" spans="2:15" ht="15.5">
      <c r="B3" s="43" t="str">
        <f>Introduction!$B$3</f>
        <v xml:space="preserve">Sample template for forecast published 31 March 2021 </v>
      </c>
    </row>
    <row r="4" spans="2:15" ht="18">
      <c r="B4" s="6" t="s">
        <v>16</v>
      </c>
    </row>
    <row r="6" spans="2:15" ht="21">
      <c r="B6" s="659" t="s">
        <v>129</v>
      </c>
      <c r="C6" s="660"/>
      <c r="D6" s="660"/>
      <c r="E6" s="660"/>
      <c r="F6" s="660"/>
      <c r="G6" s="660"/>
      <c r="H6" s="660"/>
      <c r="I6" s="660"/>
      <c r="J6" s="660"/>
      <c r="K6" s="660"/>
      <c r="L6" s="660"/>
      <c r="M6" s="660"/>
      <c r="N6" s="660"/>
      <c r="O6" s="661"/>
    </row>
    <row r="7" spans="2:15" ht="23.25" customHeight="1">
      <c r="B7" s="662" t="s">
        <v>150</v>
      </c>
      <c r="C7" s="663"/>
      <c r="D7" s="663"/>
      <c r="E7" s="663"/>
      <c r="F7" s="663"/>
      <c r="G7" s="663"/>
      <c r="H7" s="663"/>
      <c r="I7" s="663"/>
      <c r="J7" s="663"/>
      <c r="K7" s="663"/>
      <c r="L7" s="663"/>
      <c r="M7" s="663"/>
      <c r="N7" s="663"/>
      <c r="O7" s="664"/>
    </row>
    <row r="8" spans="2:15" ht="18.75" customHeight="1">
      <c r="B8" s="665"/>
      <c r="C8" s="666"/>
      <c r="D8" s="666"/>
      <c r="E8" s="666"/>
      <c r="F8" s="666"/>
      <c r="G8" s="666"/>
      <c r="H8" s="666"/>
      <c r="I8" s="666"/>
      <c r="J8" s="666"/>
      <c r="K8" s="666"/>
      <c r="L8" s="666"/>
      <c r="M8" s="666"/>
      <c r="N8" s="666"/>
      <c r="O8" s="667"/>
    </row>
    <row r="9" spans="2:15" ht="10.5" customHeight="1">
      <c r="B9" s="251"/>
      <c r="C9" s="252"/>
      <c r="D9" s="252"/>
      <c r="E9" s="252"/>
      <c r="F9" s="252"/>
      <c r="G9" s="252"/>
      <c r="H9" s="252"/>
      <c r="I9" s="480"/>
      <c r="J9" s="480"/>
      <c r="K9" s="252"/>
      <c r="L9" s="252"/>
      <c r="M9" s="252"/>
      <c r="N9" s="252"/>
      <c r="O9" s="253"/>
    </row>
    <row r="10" spans="2:15" ht="18.5">
      <c r="B10" s="254" t="s">
        <v>130</v>
      </c>
      <c r="C10" s="252"/>
      <c r="D10" s="252"/>
      <c r="E10" s="252"/>
      <c r="F10" s="252"/>
      <c r="G10" s="252"/>
      <c r="H10" s="252"/>
      <c r="I10" s="480"/>
      <c r="J10" s="480"/>
      <c r="K10" s="252"/>
      <c r="L10" s="252"/>
      <c r="M10" s="252"/>
      <c r="N10" s="252"/>
      <c r="O10" s="253"/>
    </row>
    <row r="11" spans="2:15" ht="18.5">
      <c r="B11" s="254" t="s">
        <v>151</v>
      </c>
      <c r="C11" s="252"/>
      <c r="D11" s="252"/>
      <c r="E11" s="252"/>
      <c r="F11" s="252"/>
      <c r="G11" s="252"/>
      <c r="H11" s="252"/>
      <c r="I11" s="480"/>
      <c r="J11" s="480"/>
      <c r="K11" s="252"/>
      <c r="L11" s="252"/>
      <c r="M11" s="252"/>
      <c r="N11" s="252"/>
      <c r="O11" s="253"/>
    </row>
    <row r="12" spans="2:15" ht="18.5">
      <c r="B12" s="254" t="s">
        <v>152</v>
      </c>
      <c r="C12" s="252"/>
      <c r="D12" s="252"/>
      <c r="E12" s="252"/>
      <c r="F12" s="252"/>
      <c r="G12" s="252"/>
      <c r="H12" s="252"/>
      <c r="I12" s="480"/>
      <c r="J12" s="480"/>
      <c r="K12" s="252"/>
      <c r="L12" s="252"/>
      <c r="M12" s="252"/>
      <c r="N12" s="252"/>
      <c r="O12" s="253"/>
    </row>
    <row r="13" spans="2:15" ht="9" customHeight="1">
      <c r="B13" s="251"/>
      <c r="C13" s="252"/>
      <c r="D13" s="252"/>
      <c r="E13" s="252"/>
      <c r="F13" s="252"/>
      <c r="G13" s="252"/>
      <c r="H13" s="252"/>
      <c r="I13" s="480"/>
      <c r="J13" s="480"/>
      <c r="K13" s="252"/>
      <c r="L13" s="252"/>
      <c r="M13" s="252"/>
      <c r="N13" s="252"/>
      <c r="O13" s="253"/>
    </row>
    <row r="14" spans="2:15" ht="18.5">
      <c r="B14" s="254" t="s">
        <v>131</v>
      </c>
      <c r="C14" s="252"/>
      <c r="D14" s="252"/>
      <c r="E14" s="252"/>
      <c r="F14" s="252"/>
      <c r="G14" s="252"/>
      <c r="H14" s="252"/>
      <c r="I14" s="480"/>
      <c r="J14" s="480"/>
      <c r="K14" s="252"/>
      <c r="L14" s="252"/>
      <c r="M14" s="252"/>
      <c r="N14" s="252"/>
      <c r="O14" s="253"/>
    </row>
    <row r="15" spans="2:15" ht="18.5">
      <c r="B15" s="254" t="s">
        <v>132</v>
      </c>
      <c r="C15" s="252"/>
      <c r="D15" s="252"/>
      <c r="E15" s="252"/>
      <c r="F15" s="252"/>
      <c r="G15" s="252"/>
      <c r="H15" s="252"/>
      <c r="I15" s="480"/>
      <c r="J15" s="480"/>
      <c r="K15" s="252"/>
      <c r="L15" s="252"/>
      <c r="M15" s="252"/>
      <c r="N15" s="252"/>
      <c r="O15" s="253"/>
    </row>
    <row r="16" spans="2:15">
      <c r="B16" s="255"/>
      <c r="C16" s="256"/>
      <c r="D16" s="256"/>
      <c r="E16" s="256"/>
      <c r="F16" s="256"/>
      <c r="G16" s="256"/>
      <c r="H16" s="256"/>
      <c r="I16" s="481"/>
      <c r="J16" s="481"/>
      <c r="K16" s="256"/>
      <c r="L16" s="256"/>
      <c r="M16" s="256"/>
      <c r="N16" s="256"/>
      <c r="O16" s="257"/>
    </row>
    <row r="24" spans="6:15">
      <c r="F24" s="261"/>
      <c r="O24" s="261"/>
    </row>
    <row r="25" spans="6:15">
      <c r="F25" s="261"/>
      <c r="O25" s="262" t="s">
        <v>134</v>
      </c>
    </row>
    <row r="26" spans="6:15">
      <c r="O26" s="262" t="s">
        <v>253</v>
      </c>
    </row>
    <row r="34" spans="2:11" ht="21">
      <c r="B34" s="263" t="s">
        <v>135</v>
      </c>
      <c r="C34" s="263"/>
      <c r="D34" s="263"/>
      <c r="E34" s="263"/>
    </row>
    <row r="35" spans="2:11" ht="21">
      <c r="B35" s="38" t="s">
        <v>254</v>
      </c>
      <c r="C35" s="38" t="s">
        <v>32</v>
      </c>
      <c r="D35" s="38" t="s">
        <v>34</v>
      </c>
      <c r="E35" s="38" t="s">
        <v>168</v>
      </c>
      <c r="F35" s="38" t="s">
        <v>167</v>
      </c>
      <c r="G35" s="38" t="s">
        <v>317</v>
      </c>
      <c r="H35" s="38" t="s">
        <v>318</v>
      </c>
      <c r="I35" s="485" t="s">
        <v>311</v>
      </c>
      <c r="J35" s="485" t="s">
        <v>343</v>
      </c>
      <c r="K35" s="477"/>
    </row>
    <row r="36" spans="2:11" ht="15.75" customHeight="1">
      <c r="B36" s="40" t="s">
        <v>64</v>
      </c>
      <c r="C36" s="40" t="s">
        <v>45</v>
      </c>
      <c r="D36" s="446" t="s">
        <v>47</v>
      </c>
      <c r="E36" s="77" t="s">
        <v>126</v>
      </c>
      <c r="F36" s="338" t="s">
        <v>103</v>
      </c>
      <c r="G36" s="507" t="s">
        <v>103</v>
      </c>
      <c r="H36" s="77"/>
      <c r="I36" s="486"/>
      <c r="J36" s="486"/>
      <c r="K36" s="477"/>
    </row>
    <row r="37" spans="2:11" ht="15.75" customHeight="1">
      <c r="B37" s="41" t="s">
        <v>64</v>
      </c>
      <c r="C37" s="41" t="s">
        <v>51</v>
      </c>
      <c r="D37" s="232" t="s">
        <v>47</v>
      </c>
      <c r="E37" s="187" t="s">
        <v>126</v>
      </c>
      <c r="F37" s="336" t="s">
        <v>104</v>
      </c>
      <c r="G37" s="506" t="s">
        <v>104</v>
      </c>
      <c r="H37" s="187"/>
      <c r="I37" s="487"/>
      <c r="J37" s="487"/>
      <c r="K37" s="477"/>
    </row>
    <row r="38" spans="2:11" ht="15.75" customHeight="1">
      <c r="B38" s="41" t="s">
        <v>64</v>
      </c>
      <c r="C38" s="41" t="s">
        <v>56</v>
      </c>
      <c r="D38" s="232" t="s">
        <v>47</v>
      </c>
      <c r="E38" s="187" t="s">
        <v>126</v>
      </c>
      <c r="F38" s="336" t="s">
        <v>104</v>
      </c>
      <c r="G38" s="506" t="s">
        <v>104</v>
      </c>
      <c r="H38" s="187"/>
      <c r="I38" s="487"/>
      <c r="J38" s="487"/>
      <c r="K38" s="477"/>
    </row>
    <row r="39" spans="2:11" ht="15.75" customHeight="1">
      <c r="B39" s="41" t="s">
        <v>64</v>
      </c>
      <c r="C39" s="41" t="s">
        <v>58</v>
      </c>
      <c r="D39" s="232" t="s">
        <v>47</v>
      </c>
      <c r="E39" s="187" t="s">
        <v>126</v>
      </c>
      <c r="F39" s="336" t="s">
        <v>104</v>
      </c>
      <c r="G39" s="506" t="s">
        <v>104</v>
      </c>
      <c r="H39" s="187"/>
      <c r="I39" s="487"/>
      <c r="J39" s="487"/>
      <c r="K39" s="477"/>
    </row>
    <row r="40" spans="2:11" ht="15.75" customHeight="1">
      <c r="B40" s="311" t="s">
        <v>255</v>
      </c>
      <c r="C40" s="311" t="s">
        <v>173</v>
      </c>
      <c r="D40" s="441" t="s">
        <v>174</v>
      </c>
      <c r="E40" s="311" t="s">
        <v>171</v>
      </c>
      <c r="F40" s="442" t="s">
        <v>171</v>
      </c>
      <c r="G40" s="505" t="s">
        <v>171</v>
      </c>
      <c r="H40" s="311"/>
      <c r="I40" s="488"/>
      <c r="J40" s="488"/>
      <c r="K40" s="477" t="s">
        <v>288</v>
      </c>
    </row>
    <row r="41" spans="2:11" ht="15.75" customHeight="1">
      <c r="B41" s="76" t="s">
        <v>61</v>
      </c>
      <c r="C41" s="443" t="s">
        <v>42</v>
      </c>
      <c r="D41" s="444" t="s">
        <v>38</v>
      </c>
      <c r="E41" s="187" t="s">
        <v>126</v>
      </c>
      <c r="F41" s="440" t="s">
        <v>103</v>
      </c>
      <c r="G41" s="506" t="s">
        <v>103</v>
      </c>
      <c r="H41" s="187"/>
      <c r="I41" s="487"/>
      <c r="J41" s="487"/>
      <c r="K41" s="477"/>
    </row>
    <row r="42" spans="2:11" ht="15.75" customHeight="1">
      <c r="B42" s="76" t="s">
        <v>61</v>
      </c>
      <c r="C42" s="443" t="s">
        <v>42</v>
      </c>
      <c r="D42" s="444" t="s">
        <v>44</v>
      </c>
      <c r="E42" s="187" t="s">
        <v>362</v>
      </c>
      <c r="F42" s="440" t="s">
        <v>103</v>
      </c>
      <c r="G42" s="506" t="s">
        <v>103</v>
      </c>
      <c r="H42" s="187"/>
      <c r="I42" s="487"/>
      <c r="J42" s="487"/>
      <c r="K42" s="477"/>
    </row>
    <row r="43" spans="2:11" ht="15.75" customHeight="1">
      <c r="B43" s="42" t="s">
        <v>257</v>
      </c>
      <c r="C43" s="42" t="s">
        <v>114</v>
      </c>
      <c r="D43" s="42" t="s">
        <v>44</v>
      </c>
      <c r="E43" s="311" t="s">
        <v>126</v>
      </c>
      <c r="F43" s="467" t="s">
        <v>103</v>
      </c>
      <c r="G43" s="505" t="s">
        <v>103</v>
      </c>
      <c r="H43" s="311"/>
      <c r="I43" s="488"/>
      <c r="J43" s="488"/>
      <c r="K43" s="477"/>
    </row>
    <row r="44" spans="2:11" ht="15.75" customHeight="1">
      <c r="B44" s="41" t="s">
        <v>61</v>
      </c>
      <c r="C44" s="39" t="s">
        <v>51</v>
      </c>
      <c r="D44" s="41" t="s">
        <v>38</v>
      </c>
      <c r="E44" s="187" t="s">
        <v>126</v>
      </c>
      <c r="F44" s="310" t="s">
        <v>104</v>
      </c>
      <c r="G44" s="506" t="s">
        <v>104</v>
      </c>
      <c r="H44" s="187"/>
      <c r="I44" s="487"/>
      <c r="J44" s="487"/>
      <c r="K44" s="477"/>
    </row>
    <row r="45" spans="2:11" ht="15.75" customHeight="1">
      <c r="B45" s="41" t="s">
        <v>61</v>
      </c>
      <c r="C45" s="39" t="s">
        <v>51</v>
      </c>
      <c r="D45" s="41" t="s">
        <v>44</v>
      </c>
      <c r="E45" s="187" t="s">
        <v>362</v>
      </c>
      <c r="F45" s="310" t="s">
        <v>104</v>
      </c>
      <c r="G45" s="506" t="s">
        <v>104</v>
      </c>
      <c r="H45" s="187"/>
      <c r="I45" s="487"/>
      <c r="J45" s="487"/>
      <c r="K45" s="477"/>
    </row>
    <row r="46" spans="2:11" ht="15.75" customHeight="1">
      <c r="B46" s="187" t="s">
        <v>61</v>
      </c>
      <c r="C46" s="76" t="s">
        <v>56</v>
      </c>
      <c r="D46" s="187" t="s">
        <v>38</v>
      </c>
      <c r="E46" s="187" t="s">
        <v>126</v>
      </c>
      <c r="F46" s="337" t="s">
        <v>104</v>
      </c>
      <c r="G46" s="506" t="s">
        <v>104</v>
      </c>
      <c r="H46" s="506"/>
      <c r="I46" s="487"/>
      <c r="J46" s="487"/>
      <c r="K46" s="477" t="s">
        <v>93</v>
      </c>
    </row>
    <row r="47" spans="2:11" ht="15.75" customHeight="1">
      <c r="B47" s="311" t="s">
        <v>61</v>
      </c>
      <c r="C47" s="311" t="s">
        <v>56</v>
      </c>
      <c r="D47" s="187" t="s">
        <v>44</v>
      </c>
      <c r="E47" s="187" t="s">
        <v>126</v>
      </c>
      <c r="F47" s="468" t="s">
        <v>104</v>
      </c>
      <c r="G47" s="506" t="s">
        <v>104</v>
      </c>
      <c r="H47" s="506"/>
      <c r="I47" s="487"/>
      <c r="J47" s="487"/>
      <c r="K47" s="477"/>
    </row>
    <row r="48" spans="2:11" ht="15.75" customHeight="1">
      <c r="B48" s="77" t="s">
        <v>61</v>
      </c>
      <c r="C48" s="76" t="s">
        <v>58</v>
      </c>
      <c r="D48" s="77" t="s">
        <v>38</v>
      </c>
      <c r="E48" s="77" t="s">
        <v>126</v>
      </c>
      <c r="F48" s="337" t="s">
        <v>104</v>
      </c>
      <c r="G48" s="507" t="s">
        <v>104</v>
      </c>
      <c r="H48" s="507"/>
      <c r="I48" s="486"/>
      <c r="J48" s="486"/>
      <c r="K48" s="477" t="s">
        <v>93</v>
      </c>
    </row>
    <row r="49" spans="1:11" ht="15.75" customHeight="1">
      <c r="B49" s="311" t="s">
        <v>61</v>
      </c>
      <c r="C49" s="311" t="s">
        <v>58</v>
      </c>
      <c r="D49" s="311" t="s">
        <v>44</v>
      </c>
      <c r="E49" s="311" t="s">
        <v>126</v>
      </c>
      <c r="F49" s="468" t="s">
        <v>104</v>
      </c>
      <c r="G49" s="505" t="s">
        <v>104</v>
      </c>
      <c r="H49" s="505"/>
      <c r="I49" s="488"/>
      <c r="J49" s="488"/>
      <c r="K49" s="477"/>
    </row>
    <row r="50" spans="1:11" ht="15.75" customHeight="1">
      <c r="B50" s="437" t="s">
        <v>61</v>
      </c>
      <c r="C50" s="437" t="s">
        <v>173</v>
      </c>
      <c r="D50" s="438" t="s">
        <v>174</v>
      </c>
      <c r="E50" s="437" t="s">
        <v>171</v>
      </c>
      <c r="F50" s="439" t="s">
        <v>171</v>
      </c>
      <c r="G50" s="508" t="s">
        <v>171</v>
      </c>
      <c r="H50" s="508"/>
      <c r="I50" s="489"/>
      <c r="J50" s="489"/>
      <c r="K50" s="477" t="s">
        <v>175</v>
      </c>
    </row>
    <row r="51" spans="1:11" ht="15.75" customHeight="1">
      <c r="B51" s="312" t="s">
        <v>258</v>
      </c>
      <c r="C51" s="317" t="s">
        <v>211</v>
      </c>
      <c r="D51" s="312" t="s">
        <v>117</v>
      </c>
      <c r="E51" s="187" t="s">
        <v>126</v>
      </c>
      <c r="F51" s="440" t="s">
        <v>103</v>
      </c>
      <c r="G51" s="506" t="s">
        <v>103</v>
      </c>
      <c r="H51" s="506"/>
      <c r="I51" s="487"/>
      <c r="J51" s="487"/>
      <c r="K51" s="477" t="s">
        <v>118</v>
      </c>
    </row>
    <row r="52" spans="1:11" ht="15.75" customHeight="1">
      <c r="B52" s="270" t="s">
        <v>146</v>
      </c>
      <c r="C52" s="317" t="s">
        <v>51</v>
      </c>
      <c r="D52" s="270" t="s">
        <v>117</v>
      </c>
      <c r="E52" s="187" t="s">
        <v>126</v>
      </c>
      <c r="F52" s="469" t="s">
        <v>104</v>
      </c>
      <c r="G52" s="506" t="s">
        <v>104</v>
      </c>
      <c r="H52" s="506"/>
      <c r="I52" s="487"/>
      <c r="J52" s="487"/>
      <c r="K52" s="477" t="s">
        <v>118</v>
      </c>
    </row>
    <row r="53" spans="1:11" ht="15.75" customHeight="1">
      <c r="B53" s="316" t="s">
        <v>170</v>
      </c>
      <c r="C53" s="316" t="s">
        <v>56</v>
      </c>
      <c r="D53" s="316" t="s">
        <v>117</v>
      </c>
      <c r="E53" s="311" t="s">
        <v>126</v>
      </c>
      <c r="F53" s="468" t="s">
        <v>104</v>
      </c>
      <c r="G53" s="505" t="s">
        <v>104</v>
      </c>
      <c r="H53" s="505"/>
      <c r="I53" s="488"/>
      <c r="J53" s="488"/>
      <c r="K53" s="477" t="s">
        <v>169</v>
      </c>
    </row>
    <row r="54" spans="1:11" ht="15.75" customHeight="1">
      <c r="A54" s="318" t="s">
        <v>140</v>
      </c>
      <c r="B54" s="312" t="s">
        <v>259</v>
      </c>
      <c r="C54" s="312" t="s">
        <v>35</v>
      </c>
      <c r="D54" s="312" t="s">
        <v>94</v>
      </c>
      <c r="E54" s="187" t="s">
        <v>126</v>
      </c>
      <c r="F54" s="440" t="s">
        <v>103</v>
      </c>
      <c r="G54" s="509" t="s">
        <v>324</v>
      </c>
      <c r="H54" s="509" t="s">
        <v>319</v>
      </c>
      <c r="I54" s="484" t="s">
        <v>334</v>
      </c>
      <c r="J54" s="484"/>
      <c r="K54" s="477" t="s">
        <v>289</v>
      </c>
    </row>
    <row r="55" spans="1:11" ht="15.75" customHeight="1">
      <c r="A55" s="318" t="str">
        <f>A54</f>
        <v>40G MMF</v>
      </c>
      <c r="B55" s="316" t="s">
        <v>260</v>
      </c>
      <c r="C55" s="316" t="s">
        <v>35</v>
      </c>
      <c r="D55" s="316" t="s">
        <v>94</v>
      </c>
      <c r="E55" s="323" t="s">
        <v>127</v>
      </c>
      <c r="F55" s="440" t="s">
        <v>103</v>
      </c>
      <c r="G55" s="506" t="s">
        <v>103</v>
      </c>
      <c r="H55" s="506"/>
      <c r="I55" s="487"/>
      <c r="J55" s="487"/>
      <c r="K55" s="477" t="s">
        <v>290</v>
      </c>
    </row>
    <row r="56" spans="1:11" ht="15.75" customHeight="1">
      <c r="A56" s="318" t="str">
        <f>A54</f>
        <v>40G MMF</v>
      </c>
      <c r="B56" s="314" t="s">
        <v>261</v>
      </c>
      <c r="C56" s="314" t="s">
        <v>42</v>
      </c>
      <c r="D56" s="312" t="s">
        <v>94</v>
      </c>
      <c r="E56" s="326" t="s">
        <v>127</v>
      </c>
      <c r="F56" s="470" t="s">
        <v>103</v>
      </c>
      <c r="G56" s="508" t="s">
        <v>103</v>
      </c>
      <c r="H56" s="508"/>
      <c r="I56" s="489"/>
      <c r="J56" s="489"/>
      <c r="K56" s="477" t="s">
        <v>116</v>
      </c>
    </row>
    <row r="57" spans="1:11" ht="15.75" customHeight="1">
      <c r="A57" s="318" t="s">
        <v>141</v>
      </c>
      <c r="B57" s="313" t="s">
        <v>262</v>
      </c>
      <c r="C57" s="319" t="s">
        <v>45</v>
      </c>
      <c r="D57" s="313" t="s">
        <v>94</v>
      </c>
      <c r="E57" s="324" t="s">
        <v>127</v>
      </c>
      <c r="F57" s="471" t="s">
        <v>104</v>
      </c>
      <c r="G57" s="509" t="s">
        <v>324</v>
      </c>
      <c r="H57" s="509" t="s">
        <v>319</v>
      </c>
      <c r="I57" s="517" t="s">
        <v>340</v>
      </c>
      <c r="J57" s="496" t="s">
        <v>359</v>
      </c>
      <c r="K57" s="477" t="s">
        <v>96</v>
      </c>
    </row>
    <row r="58" spans="1:11" ht="15.75" customHeight="1">
      <c r="A58" s="318"/>
      <c r="B58" s="320" t="s">
        <v>263</v>
      </c>
      <c r="C58" s="312" t="s">
        <v>48</v>
      </c>
      <c r="D58" s="312" t="s">
        <v>39</v>
      </c>
      <c r="E58" s="312" t="s">
        <v>126</v>
      </c>
      <c r="F58" s="472" t="s">
        <v>104</v>
      </c>
      <c r="G58" s="509" t="s">
        <v>104</v>
      </c>
      <c r="H58" s="509"/>
      <c r="I58" s="490"/>
      <c r="J58" s="490"/>
      <c r="K58" s="477"/>
    </row>
    <row r="59" spans="1:11" ht="15.75" customHeight="1">
      <c r="A59" s="318" t="str">
        <f>A57</f>
        <v>40 G SMF 0.5-10km</v>
      </c>
      <c r="B59" s="321" t="s">
        <v>264</v>
      </c>
      <c r="C59" s="316" t="s">
        <v>48</v>
      </c>
      <c r="D59" s="316" t="s">
        <v>94</v>
      </c>
      <c r="E59" s="325" t="s">
        <v>127</v>
      </c>
      <c r="F59" s="468" t="s">
        <v>104</v>
      </c>
      <c r="G59" s="504" t="s">
        <v>104</v>
      </c>
      <c r="H59" s="504"/>
      <c r="I59" s="491"/>
      <c r="J59" s="497" t="s">
        <v>339</v>
      </c>
      <c r="K59" s="477" t="s">
        <v>66</v>
      </c>
    </row>
    <row r="60" spans="1:11" ht="15.75" customHeight="1">
      <c r="A60" s="318"/>
      <c r="B60" s="312" t="s">
        <v>63</v>
      </c>
      <c r="C60" s="317" t="s">
        <v>51</v>
      </c>
      <c r="D60" s="312" t="s">
        <v>39</v>
      </c>
      <c r="E60" s="312" t="s">
        <v>126</v>
      </c>
      <c r="F60" s="472" t="s">
        <v>104</v>
      </c>
      <c r="G60" s="509" t="s">
        <v>104</v>
      </c>
      <c r="H60" s="509"/>
      <c r="I60" s="490"/>
      <c r="J60" s="490"/>
      <c r="K60" s="477"/>
    </row>
    <row r="61" spans="1:11" ht="15.5">
      <c r="A61" s="318" t="str">
        <f>A57</f>
        <v>40 G SMF 0.5-10km</v>
      </c>
      <c r="B61" s="316" t="s">
        <v>63</v>
      </c>
      <c r="C61" s="317" t="s">
        <v>51</v>
      </c>
      <c r="D61" s="316" t="s">
        <v>94</v>
      </c>
      <c r="E61" s="327" t="s">
        <v>126</v>
      </c>
      <c r="F61" s="468" t="s">
        <v>104</v>
      </c>
      <c r="G61" s="504" t="s">
        <v>104</v>
      </c>
      <c r="H61" s="504"/>
      <c r="I61" s="491"/>
      <c r="J61" s="491"/>
      <c r="K61" s="477"/>
    </row>
    <row r="62" spans="1:11" ht="15.5">
      <c r="A62" s="318"/>
      <c r="B62" s="314" t="s">
        <v>63</v>
      </c>
      <c r="C62" s="314" t="s">
        <v>56</v>
      </c>
      <c r="D62" s="314" t="s">
        <v>94</v>
      </c>
      <c r="E62" s="314" t="s">
        <v>126</v>
      </c>
      <c r="F62" s="471" t="s">
        <v>104</v>
      </c>
      <c r="G62" s="510" t="s">
        <v>104</v>
      </c>
      <c r="H62" s="510"/>
      <c r="I62" s="492"/>
      <c r="J62" s="492"/>
      <c r="K62" s="477"/>
    </row>
    <row r="63" spans="1:11" ht="15.5">
      <c r="A63" s="318"/>
      <c r="B63" s="320" t="s">
        <v>265</v>
      </c>
      <c r="C63" s="320" t="s">
        <v>35</v>
      </c>
      <c r="D63" s="312" t="s">
        <v>43</v>
      </c>
      <c r="E63" s="77" t="s">
        <v>126</v>
      </c>
      <c r="F63" s="473" t="s">
        <v>103</v>
      </c>
      <c r="G63" s="507" t="s">
        <v>103</v>
      </c>
      <c r="H63" s="507"/>
      <c r="I63" s="486"/>
      <c r="J63" s="486"/>
      <c r="K63" s="477" t="s">
        <v>137</v>
      </c>
    </row>
    <row r="64" spans="1:11" ht="15.5">
      <c r="A64" s="318"/>
      <c r="B64" s="317" t="s">
        <v>265</v>
      </c>
      <c r="C64" s="317" t="s">
        <v>48</v>
      </c>
      <c r="D64" s="270" t="s">
        <v>43</v>
      </c>
      <c r="E64" s="187" t="s">
        <v>126</v>
      </c>
      <c r="F64" s="469" t="s">
        <v>104</v>
      </c>
      <c r="G64" s="506" t="s">
        <v>104</v>
      </c>
      <c r="H64" s="506"/>
      <c r="I64" s="487"/>
      <c r="J64" s="487"/>
      <c r="K64" s="477" t="s">
        <v>137</v>
      </c>
    </row>
    <row r="65" spans="1:11" ht="15.5">
      <c r="A65" s="318"/>
      <c r="B65" s="317" t="s">
        <v>265</v>
      </c>
      <c r="C65" s="317" t="s">
        <v>51</v>
      </c>
      <c r="D65" s="270" t="s">
        <v>43</v>
      </c>
      <c r="E65" s="187" t="s">
        <v>126</v>
      </c>
      <c r="F65" s="469" t="s">
        <v>104</v>
      </c>
      <c r="G65" s="506" t="s">
        <v>104</v>
      </c>
      <c r="H65" s="506"/>
      <c r="I65" s="487"/>
      <c r="J65" s="487"/>
      <c r="K65" s="477" t="s">
        <v>137</v>
      </c>
    </row>
    <row r="66" spans="1:11" ht="15.5">
      <c r="A66" s="318"/>
      <c r="B66" s="317" t="s">
        <v>265</v>
      </c>
      <c r="C66" s="317" t="s">
        <v>56</v>
      </c>
      <c r="D66" s="270" t="s">
        <v>43</v>
      </c>
      <c r="E66" s="323" t="s">
        <v>127</v>
      </c>
      <c r="F66" s="469" t="s">
        <v>104</v>
      </c>
      <c r="G66" s="506" t="s">
        <v>104</v>
      </c>
      <c r="H66" s="506"/>
      <c r="I66" s="487"/>
      <c r="J66" s="487"/>
      <c r="K66" s="524" t="s">
        <v>353</v>
      </c>
    </row>
    <row r="67" spans="1:11" ht="15.5">
      <c r="A67" s="318"/>
      <c r="B67" s="321" t="s">
        <v>265</v>
      </c>
      <c r="C67" s="321" t="s">
        <v>58</v>
      </c>
      <c r="D67" s="316" t="s">
        <v>43</v>
      </c>
      <c r="E67" s="436" t="s">
        <v>127</v>
      </c>
      <c r="F67" s="468" t="s">
        <v>104</v>
      </c>
      <c r="G67" s="505" t="s">
        <v>104</v>
      </c>
      <c r="H67" s="505"/>
      <c r="I67" s="488"/>
      <c r="J67" s="488"/>
      <c r="K67" s="524" t="s">
        <v>353</v>
      </c>
    </row>
    <row r="68" spans="1:11" ht="15.75" customHeight="1">
      <c r="A68" s="318">
        <v>25</v>
      </c>
      <c r="B68" s="270" t="s">
        <v>266</v>
      </c>
      <c r="C68" s="317" t="s">
        <v>35</v>
      </c>
      <c r="D68" s="270" t="s">
        <v>39</v>
      </c>
      <c r="E68" s="270" t="s">
        <v>126</v>
      </c>
      <c r="F68" s="440" t="s">
        <v>103</v>
      </c>
      <c r="G68" s="511" t="s">
        <v>324</v>
      </c>
      <c r="H68" s="509" t="s">
        <v>319</v>
      </c>
      <c r="I68" s="496" t="s">
        <v>314</v>
      </c>
      <c r="J68" s="496"/>
      <c r="K68" s="477"/>
    </row>
    <row r="69" spans="1:11" ht="15.75" customHeight="1">
      <c r="A69" s="318">
        <v>25</v>
      </c>
      <c r="B69" s="270" t="s">
        <v>266</v>
      </c>
      <c r="C69" s="317" t="s">
        <v>35</v>
      </c>
      <c r="D69" s="270" t="s">
        <v>144</v>
      </c>
      <c r="E69" s="270" t="s">
        <v>126</v>
      </c>
      <c r="F69" s="440" t="s">
        <v>103</v>
      </c>
      <c r="G69" s="511" t="s">
        <v>325</v>
      </c>
      <c r="H69" s="511" t="s">
        <v>320</v>
      </c>
      <c r="I69" s="500" t="s">
        <v>315</v>
      </c>
      <c r="J69" s="500"/>
      <c r="K69" s="477" t="s">
        <v>145</v>
      </c>
    </row>
    <row r="70" spans="1:11" ht="15.75" customHeight="1">
      <c r="A70" s="318">
        <v>25</v>
      </c>
      <c r="B70" s="270" t="s">
        <v>266</v>
      </c>
      <c r="C70" s="317" t="s">
        <v>35</v>
      </c>
      <c r="D70" s="270" t="s">
        <v>41</v>
      </c>
      <c r="E70" s="270" t="s">
        <v>126</v>
      </c>
      <c r="F70" s="440" t="s">
        <v>103</v>
      </c>
      <c r="G70" s="511" t="s">
        <v>324</v>
      </c>
      <c r="H70" s="511" t="s">
        <v>319</v>
      </c>
      <c r="I70" s="500" t="s">
        <v>309</v>
      </c>
      <c r="J70" s="500"/>
      <c r="K70" s="477" t="s">
        <v>231</v>
      </c>
    </row>
    <row r="71" spans="1:11" ht="15.75" customHeight="1">
      <c r="A71" s="318">
        <v>25</v>
      </c>
      <c r="B71" s="270" t="s">
        <v>267</v>
      </c>
      <c r="C71" s="317" t="s">
        <v>35</v>
      </c>
      <c r="D71" s="270" t="s">
        <v>50</v>
      </c>
      <c r="E71" s="270" t="s">
        <v>126</v>
      </c>
      <c r="F71" s="440" t="s">
        <v>103</v>
      </c>
      <c r="G71" s="511" t="s">
        <v>323</v>
      </c>
      <c r="H71" s="511" t="s">
        <v>328</v>
      </c>
      <c r="I71" s="500" t="s">
        <v>335</v>
      </c>
      <c r="J71" s="500"/>
      <c r="K71" s="477" t="s">
        <v>231</v>
      </c>
    </row>
    <row r="72" spans="1:11" ht="15.75" customHeight="1">
      <c r="A72" s="318">
        <v>50</v>
      </c>
      <c r="B72" s="316" t="s">
        <v>268</v>
      </c>
      <c r="C72" s="316" t="s">
        <v>211</v>
      </c>
      <c r="D72" s="316" t="s">
        <v>41</v>
      </c>
      <c r="E72" s="325" t="s">
        <v>127</v>
      </c>
      <c r="F72" s="466" t="s">
        <v>103</v>
      </c>
      <c r="G72" s="504" t="s">
        <v>322</v>
      </c>
      <c r="H72" s="504" t="s">
        <v>321</v>
      </c>
      <c r="I72" s="497" t="s">
        <v>341</v>
      </c>
      <c r="J72" s="497"/>
      <c r="K72" s="477" t="s">
        <v>210</v>
      </c>
    </row>
    <row r="73" spans="1:11" ht="15.75" customHeight="1">
      <c r="A73" s="318">
        <v>25</v>
      </c>
      <c r="B73" s="270" t="s">
        <v>269</v>
      </c>
      <c r="C73" s="316" t="s">
        <v>42</v>
      </c>
      <c r="D73" s="314" t="s">
        <v>41</v>
      </c>
      <c r="E73" s="325" t="s">
        <v>127</v>
      </c>
      <c r="F73" s="466" t="s">
        <v>103</v>
      </c>
      <c r="G73" s="511" t="s">
        <v>324</v>
      </c>
      <c r="H73" s="511" t="s">
        <v>319</v>
      </c>
      <c r="I73" s="500" t="s">
        <v>309</v>
      </c>
      <c r="J73" s="500"/>
      <c r="K73" s="477" t="s">
        <v>199</v>
      </c>
    </row>
    <row r="74" spans="1:11" ht="15.5">
      <c r="A74" s="318">
        <v>25</v>
      </c>
      <c r="B74" s="313" t="s">
        <v>270</v>
      </c>
      <c r="C74" s="313" t="s">
        <v>45</v>
      </c>
      <c r="D74" s="312" t="s">
        <v>41</v>
      </c>
      <c r="E74" s="324" t="s">
        <v>127</v>
      </c>
      <c r="F74" s="472" t="s">
        <v>104</v>
      </c>
      <c r="G74" s="509" t="s">
        <v>332</v>
      </c>
      <c r="H74" s="509" t="s">
        <v>319</v>
      </c>
      <c r="I74" s="484" t="s">
        <v>333</v>
      </c>
      <c r="J74" s="496" t="s">
        <v>346</v>
      </c>
      <c r="K74" s="477" t="s">
        <v>236</v>
      </c>
    </row>
    <row r="75" spans="1:11" ht="15.5">
      <c r="A75" s="318">
        <v>100</v>
      </c>
      <c r="B75" s="317" t="s">
        <v>476</v>
      </c>
      <c r="C75" s="317" t="s">
        <v>350</v>
      </c>
      <c r="D75" s="270" t="s">
        <v>41</v>
      </c>
      <c r="E75" s="187" t="s">
        <v>126</v>
      </c>
      <c r="F75" s="469" t="s">
        <v>104</v>
      </c>
      <c r="G75" s="511" t="s">
        <v>322</v>
      </c>
      <c r="H75" s="511" t="s">
        <v>321</v>
      </c>
      <c r="I75" s="500" t="s">
        <v>341</v>
      </c>
      <c r="J75" s="500"/>
      <c r="K75" s="477" t="s">
        <v>236</v>
      </c>
    </row>
    <row r="76" spans="1:11" ht="15.5">
      <c r="A76" s="318">
        <v>25</v>
      </c>
      <c r="B76" s="321" t="s">
        <v>348</v>
      </c>
      <c r="C76" s="321" t="s">
        <v>45</v>
      </c>
      <c r="D76" s="316" t="s">
        <v>41</v>
      </c>
      <c r="E76" s="325" t="s">
        <v>127</v>
      </c>
      <c r="F76" s="468" t="s">
        <v>104</v>
      </c>
      <c r="G76" s="504" t="s">
        <v>322</v>
      </c>
      <c r="H76" s="504" t="s">
        <v>321</v>
      </c>
      <c r="I76" s="497" t="s">
        <v>341</v>
      </c>
      <c r="J76" s="497" t="s">
        <v>344</v>
      </c>
      <c r="K76" s="477" t="s">
        <v>349</v>
      </c>
    </row>
    <row r="77" spans="1:11" ht="15.5">
      <c r="A77" s="318">
        <v>25</v>
      </c>
      <c r="B77" s="312" t="s">
        <v>271</v>
      </c>
      <c r="C77" s="312" t="s">
        <v>48</v>
      </c>
      <c r="D77" s="320" t="s">
        <v>41</v>
      </c>
      <c r="E77" s="324" t="s">
        <v>127</v>
      </c>
      <c r="F77" s="472" t="s">
        <v>104</v>
      </c>
      <c r="G77" s="509" t="s">
        <v>322</v>
      </c>
      <c r="H77" s="509" t="s">
        <v>321</v>
      </c>
      <c r="I77" s="496" t="s">
        <v>341</v>
      </c>
      <c r="J77" s="496" t="s">
        <v>339</v>
      </c>
      <c r="K77" s="477" t="s">
        <v>232</v>
      </c>
    </row>
    <row r="78" spans="1:11" ht="15.5">
      <c r="A78" s="318">
        <v>100</v>
      </c>
      <c r="B78" s="270" t="s">
        <v>411</v>
      </c>
      <c r="C78" s="316" t="s">
        <v>48</v>
      </c>
      <c r="D78" s="317" t="s">
        <v>41</v>
      </c>
      <c r="E78" s="516" t="s">
        <v>412</v>
      </c>
      <c r="F78" s="469" t="s">
        <v>104</v>
      </c>
      <c r="G78" s="512" t="s">
        <v>322</v>
      </c>
      <c r="H78" s="512" t="s">
        <v>321</v>
      </c>
      <c r="I78" s="497" t="s">
        <v>341</v>
      </c>
      <c r="J78" s="500"/>
      <c r="K78" s="477" t="s">
        <v>233</v>
      </c>
    </row>
    <row r="79" spans="1:11" ht="15.75" customHeight="1">
      <c r="A79" s="318">
        <v>25</v>
      </c>
      <c r="B79" s="312" t="s">
        <v>272</v>
      </c>
      <c r="C79" s="317" t="s">
        <v>51</v>
      </c>
      <c r="D79" s="320" t="s">
        <v>39</v>
      </c>
      <c r="E79" s="312" t="s">
        <v>126</v>
      </c>
      <c r="F79" s="472" t="s">
        <v>104</v>
      </c>
      <c r="G79" s="513" t="s">
        <v>322</v>
      </c>
      <c r="H79" s="513" t="s">
        <v>326</v>
      </c>
      <c r="I79" s="496" t="s">
        <v>341</v>
      </c>
      <c r="J79" s="496"/>
      <c r="K79" s="477"/>
    </row>
    <row r="80" spans="1:11" ht="15.75" customHeight="1">
      <c r="A80" s="318">
        <v>25</v>
      </c>
      <c r="B80" s="270" t="s">
        <v>272</v>
      </c>
      <c r="C80" s="317" t="s">
        <v>51</v>
      </c>
      <c r="D80" s="317" t="s">
        <v>144</v>
      </c>
      <c r="E80" s="270" t="s">
        <v>126</v>
      </c>
      <c r="F80" s="469" t="s">
        <v>104</v>
      </c>
      <c r="G80" s="512" t="s">
        <v>322</v>
      </c>
      <c r="H80" s="512" t="s">
        <v>321</v>
      </c>
      <c r="I80" s="497" t="s">
        <v>341</v>
      </c>
      <c r="J80" s="497"/>
      <c r="K80" s="477" t="s">
        <v>145</v>
      </c>
    </row>
    <row r="81" spans="1:14" ht="15.75" customHeight="1">
      <c r="A81" s="318">
        <v>25</v>
      </c>
      <c r="B81" s="312" t="s">
        <v>410</v>
      </c>
      <c r="C81" s="312" t="s">
        <v>51</v>
      </c>
      <c r="D81" s="320" t="s">
        <v>41</v>
      </c>
      <c r="E81" s="312" t="s">
        <v>126</v>
      </c>
      <c r="F81" s="472" t="s">
        <v>104</v>
      </c>
      <c r="G81" s="513" t="s">
        <v>322</v>
      </c>
      <c r="H81" s="513" t="s">
        <v>326</v>
      </c>
      <c r="I81" s="496" t="s">
        <v>341</v>
      </c>
      <c r="J81" s="496"/>
      <c r="K81" s="477" t="s">
        <v>234</v>
      </c>
    </row>
    <row r="82" spans="1:14" ht="15.75" customHeight="1">
      <c r="A82" s="318">
        <v>25</v>
      </c>
      <c r="B82" s="316" t="s">
        <v>273</v>
      </c>
      <c r="C82" s="316" t="s">
        <v>51</v>
      </c>
      <c r="D82" s="321" t="s">
        <v>41</v>
      </c>
      <c r="E82" s="325" t="s">
        <v>127</v>
      </c>
      <c r="F82" s="468" t="s">
        <v>104</v>
      </c>
      <c r="G82" s="504" t="s">
        <v>322</v>
      </c>
      <c r="H82" s="504" t="s">
        <v>321</v>
      </c>
      <c r="I82" s="497" t="s">
        <v>341</v>
      </c>
      <c r="J82" s="497"/>
      <c r="K82" s="477" t="s">
        <v>235</v>
      </c>
    </row>
    <row r="83" spans="1:14" ht="15.75" customHeight="1">
      <c r="A83" s="318">
        <v>25</v>
      </c>
      <c r="B83" s="316" t="s">
        <v>274</v>
      </c>
      <c r="C83" s="321" t="s">
        <v>208</v>
      </c>
      <c r="D83" s="514" t="s">
        <v>41</v>
      </c>
      <c r="E83" s="328" t="s">
        <v>127</v>
      </c>
      <c r="F83" s="468" t="s">
        <v>104</v>
      </c>
      <c r="G83" s="509" t="s">
        <v>322</v>
      </c>
      <c r="H83" s="509" t="s">
        <v>321</v>
      </c>
      <c r="I83" s="496" t="s">
        <v>341</v>
      </c>
      <c r="J83" s="496"/>
      <c r="K83" s="477" t="s">
        <v>209</v>
      </c>
    </row>
    <row r="84" spans="1:14" ht="15.75" customHeight="1">
      <c r="A84" s="318"/>
      <c r="B84" s="312" t="s">
        <v>405</v>
      </c>
      <c r="C84" s="320" t="s">
        <v>472</v>
      </c>
      <c r="D84" s="638" t="s">
        <v>41</v>
      </c>
      <c r="E84" s="324" t="s">
        <v>127</v>
      </c>
      <c r="F84" s="472" t="s">
        <v>104</v>
      </c>
      <c r="G84" s="509" t="s">
        <v>322</v>
      </c>
      <c r="H84" s="509" t="s">
        <v>321</v>
      </c>
      <c r="I84" s="496" t="s">
        <v>341</v>
      </c>
      <c r="J84" s="496"/>
      <c r="K84" s="477" t="s">
        <v>475</v>
      </c>
    </row>
    <row r="85" spans="1:14" ht="15.75" customHeight="1">
      <c r="A85" s="318"/>
      <c r="B85" s="316" t="s">
        <v>406</v>
      </c>
      <c r="C85" s="321" t="s">
        <v>56</v>
      </c>
      <c r="D85" s="322" t="s">
        <v>41</v>
      </c>
      <c r="E85" s="311" t="s">
        <v>126</v>
      </c>
      <c r="F85" s="468" t="s">
        <v>104</v>
      </c>
      <c r="G85" s="504" t="s">
        <v>322</v>
      </c>
      <c r="H85" s="504" t="s">
        <v>321</v>
      </c>
      <c r="I85" s="497" t="s">
        <v>341</v>
      </c>
      <c r="J85" s="497"/>
      <c r="K85" s="477" t="s">
        <v>475</v>
      </c>
    </row>
    <row r="86" spans="1:14" ht="15.75" customHeight="1">
      <c r="A86" s="318">
        <v>25</v>
      </c>
      <c r="B86" s="437" t="s">
        <v>473</v>
      </c>
      <c r="C86" s="322" t="s">
        <v>58</v>
      </c>
      <c r="D86" s="515" t="s">
        <v>41</v>
      </c>
      <c r="E86" s="187" t="s">
        <v>126</v>
      </c>
      <c r="F86" s="468" t="s">
        <v>104</v>
      </c>
      <c r="G86" s="509" t="s">
        <v>322</v>
      </c>
      <c r="H86" s="509" t="s">
        <v>321</v>
      </c>
      <c r="I86" s="496" t="s">
        <v>341</v>
      </c>
      <c r="J86" s="496"/>
      <c r="K86" s="477" t="s">
        <v>474</v>
      </c>
    </row>
    <row r="87" spans="1:14" ht="15.75" customHeight="1">
      <c r="A87" s="78">
        <v>50</v>
      </c>
      <c r="B87" s="320" t="s">
        <v>313</v>
      </c>
      <c r="C87" s="320" t="s">
        <v>35</v>
      </c>
      <c r="D87" s="320" t="s">
        <v>207</v>
      </c>
      <c r="E87" s="77" t="s">
        <v>126</v>
      </c>
      <c r="F87" s="338" t="s">
        <v>103</v>
      </c>
      <c r="G87" s="509" t="s">
        <v>324</v>
      </c>
      <c r="H87" s="509" t="s">
        <v>319</v>
      </c>
      <c r="I87" s="499" t="s">
        <v>316</v>
      </c>
      <c r="J87" s="501" t="s">
        <v>342</v>
      </c>
      <c r="K87" s="477" t="s">
        <v>137</v>
      </c>
    </row>
    <row r="88" spans="1:14" ht="15.75" customHeight="1">
      <c r="A88" s="78">
        <v>50</v>
      </c>
      <c r="B88" s="317" t="s">
        <v>237</v>
      </c>
      <c r="C88" s="76" t="s">
        <v>35</v>
      </c>
      <c r="D88" s="317" t="s">
        <v>354</v>
      </c>
      <c r="E88" s="187" t="s">
        <v>126</v>
      </c>
      <c r="F88" s="474" t="s">
        <v>103</v>
      </c>
      <c r="G88" s="511" t="s">
        <v>329</v>
      </c>
      <c r="H88" s="511" t="s">
        <v>330</v>
      </c>
      <c r="I88" s="498" t="s">
        <v>337</v>
      </c>
      <c r="J88" s="500" t="s">
        <v>339</v>
      </c>
      <c r="K88" s="477" t="s">
        <v>221</v>
      </c>
    </row>
    <row r="89" spans="1:14" ht="15.75" customHeight="1">
      <c r="A89" s="78">
        <v>50</v>
      </c>
      <c r="B89" s="317" t="s">
        <v>312</v>
      </c>
      <c r="C89" s="76" t="s">
        <v>477</v>
      </c>
      <c r="D89" s="317" t="s">
        <v>207</v>
      </c>
      <c r="E89" s="187" t="s">
        <v>126</v>
      </c>
      <c r="F89" s="475" t="s">
        <v>104</v>
      </c>
      <c r="G89" s="506" t="s">
        <v>322</v>
      </c>
      <c r="H89" s="506" t="s">
        <v>321</v>
      </c>
      <c r="I89" s="493" t="s">
        <v>341</v>
      </c>
      <c r="J89" s="493" t="s">
        <v>342</v>
      </c>
      <c r="K89" s="477" t="s">
        <v>198</v>
      </c>
    </row>
    <row r="90" spans="1:14" ht="15.75" customHeight="1">
      <c r="A90" s="78">
        <v>50</v>
      </c>
      <c r="B90" s="317" t="s">
        <v>400</v>
      </c>
      <c r="C90" s="321" t="s">
        <v>48</v>
      </c>
      <c r="D90" s="270" t="s">
        <v>220</v>
      </c>
      <c r="E90" s="315" t="s">
        <v>126</v>
      </c>
      <c r="F90" s="468" t="s">
        <v>104</v>
      </c>
      <c r="G90" s="512" t="s">
        <v>327</v>
      </c>
      <c r="H90" s="512" t="s">
        <v>331</v>
      </c>
      <c r="I90" s="498" t="s">
        <v>338</v>
      </c>
      <c r="J90" s="500" t="s">
        <v>339</v>
      </c>
      <c r="K90" s="477" t="s">
        <v>222</v>
      </c>
    </row>
    <row r="91" spans="1:14" ht="15.75" customHeight="1">
      <c r="A91" s="78">
        <v>50</v>
      </c>
      <c r="B91" s="77" t="s">
        <v>408</v>
      </c>
      <c r="C91" s="76" t="s">
        <v>35</v>
      </c>
      <c r="D91" s="77" t="s">
        <v>403</v>
      </c>
      <c r="E91" s="77" t="s">
        <v>126</v>
      </c>
      <c r="F91" s="309" t="s">
        <v>103</v>
      </c>
      <c r="G91" s="507" t="s">
        <v>324</v>
      </c>
      <c r="H91" s="507" t="s">
        <v>319</v>
      </c>
      <c r="I91" s="501" t="s">
        <v>336</v>
      </c>
      <c r="J91" s="501" t="s">
        <v>347</v>
      </c>
      <c r="K91" s="478" t="s">
        <v>238</v>
      </c>
    </row>
    <row r="92" spans="1:14" ht="15.75" customHeight="1">
      <c r="A92" s="78">
        <v>100</v>
      </c>
      <c r="B92" s="187" t="s">
        <v>275</v>
      </c>
      <c r="C92" s="76" t="s">
        <v>45</v>
      </c>
      <c r="D92" s="187" t="s">
        <v>403</v>
      </c>
      <c r="E92" s="187" t="s">
        <v>126</v>
      </c>
      <c r="F92" s="337" t="s">
        <v>104</v>
      </c>
      <c r="G92" s="506" t="s">
        <v>332</v>
      </c>
      <c r="H92" s="506" t="s">
        <v>319</v>
      </c>
      <c r="I92" s="495" t="s">
        <v>310</v>
      </c>
      <c r="J92" s="493" t="s">
        <v>346</v>
      </c>
      <c r="K92" s="477" t="s">
        <v>198</v>
      </c>
    </row>
    <row r="93" spans="1:14" ht="15.75" customHeight="1">
      <c r="A93" s="528">
        <v>100</v>
      </c>
      <c r="B93" s="187" t="s">
        <v>407</v>
      </c>
      <c r="C93" s="76" t="s">
        <v>48</v>
      </c>
      <c r="D93" s="187" t="s">
        <v>403</v>
      </c>
      <c r="E93" s="516" t="s">
        <v>126</v>
      </c>
      <c r="F93" s="337" t="s">
        <v>104</v>
      </c>
      <c r="G93" s="506" t="s">
        <v>322</v>
      </c>
      <c r="H93" s="506" t="s">
        <v>321</v>
      </c>
      <c r="I93" s="500" t="s">
        <v>341</v>
      </c>
      <c r="J93" s="500"/>
      <c r="K93" s="477" t="s">
        <v>198</v>
      </c>
    </row>
    <row r="94" spans="1:14" ht="15.75" customHeight="1">
      <c r="A94" s="529" t="s">
        <v>355</v>
      </c>
      <c r="B94" s="311" t="s">
        <v>276</v>
      </c>
      <c r="C94" s="322" t="s">
        <v>51</v>
      </c>
      <c r="D94" s="311" t="s">
        <v>403</v>
      </c>
      <c r="E94" s="311" t="s">
        <v>426</v>
      </c>
      <c r="F94" s="476" t="s">
        <v>104</v>
      </c>
      <c r="G94" s="505" t="s">
        <v>322</v>
      </c>
      <c r="H94" s="505" t="s">
        <v>321</v>
      </c>
      <c r="I94" s="494" t="s">
        <v>341</v>
      </c>
      <c r="J94" s="494" t="s">
        <v>345</v>
      </c>
      <c r="K94" s="478" t="s">
        <v>425</v>
      </c>
    </row>
    <row r="95" spans="1:14" ht="15.5">
      <c r="A95" s="5">
        <v>100</v>
      </c>
      <c r="B95" s="77" t="s">
        <v>413</v>
      </c>
      <c r="C95" s="77" t="s">
        <v>395</v>
      </c>
      <c r="D95" s="77" t="s">
        <v>402</v>
      </c>
      <c r="E95" s="324" t="s">
        <v>127</v>
      </c>
      <c r="F95" s="309" t="s">
        <v>103</v>
      </c>
      <c r="G95" s="511" t="s">
        <v>329</v>
      </c>
      <c r="H95" s="511" t="s">
        <v>330</v>
      </c>
      <c r="I95" s="498" t="s">
        <v>396</v>
      </c>
      <c r="J95" s="339"/>
      <c r="K95" s="60"/>
      <c r="L95" s="432" t="s">
        <v>291</v>
      </c>
      <c r="M95" s="433"/>
      <c r="N95" s="434"/>
    </row>
    <row r="96" spans="1:14" ht="15.5">
      <c r="A96" s="5">
        <v>200</v>
      </c>
      <c r="B96" s="187" t="s">
        <v>414</v>
      </c>
      <c r="C96" s="187" t="s">
        <v>45</v>
      </c>
      <c r="D96" s="187" t="s">
        <v>402</v>
      </c>
      <c r="E96" s="461" t="s">
        <v>127</v>
      </c>
      <c r="F96" s="337" t="s">
        <v>104</v>
      </c>
      <c r="G96" s="343" t="s">
        <v>415</v>
      </c>
      <c r="H96" s="343" t="s">
        <v>330</v>
      </c>
      <c r="I96" s="343"/>
      <c r="J96" s="343" t="s">
        <v>339</v>
      </c>
      <c r="K96" s="60"/>
      <c r="L96" s="435" t="s">
        <v>197</v>
      </c>
      <c r="M96" s="252"/>
      <c r="N96" s="253"/>
    </row>
    <row r="97" spans="1:14" ht="15.5">
      <c r="A97" s="5">
        <v>100</v>
      </c>
      <c r="B97" s="187" t="s">
        <v>401</v>
      </c>
      <c r="C97" s="187" t="s">
        <v>48</v>
      </c>
      <c r="D97" s="187" t="s">
        <v>402</v>
      </c>
      <c r="E97" s="516" t="s">
        <v>126</v>
      </c>
      <c r="F97" s="337" t="s">
        <v>104</v>
      </c>
      <c r="G97" s="343" t="s">
        <v>327</v>
      </c>
      <c r="H97" s="343" t="s">
        <v>331</v>
      </c>
      <c r="I97" s="343"/>
      <c r="K97" s="60"/>
      <c r="L97" s="435" t="s">
        <v>195</v>
      </c>
      <c r="M97" s="252"/>
      <c r="N97" s="253"/>
    </row>
    <row r="98" spans="1:14" ht="15.5">
      <c r="B98" s="341"/>
      <c r="C98" s="341"/>
      <c r="D98" s="341"/>
      <c r="E98" s="341"/>
      <c r="F98" s="341"/>
      <c r="G98" s="341"/>
      <c r="H98" s="341"/>
      <c r="I98" s="341"/>
      <c r="J98" s="341"/>
      <c r="K98" s="60"/>
      <c r="L98" s="435" t="s">
        <v>196</v>
      </c>
      <c r="M98" s="252"/>
      <c r="N98" s="253"/>
    </row>
    <row r="99" spans="1:14" ht="15.5">
      <c r="B99" s="522"/>
      <c r="D99" s="566" t="s">
        <v>389</v>
      </c>
      <c r="E99" s="60"/>
      <c r="F99" s="60"/>
      <c r="G99" s="60"/>
      <c r="H99" s="60"/>
      <c r="I99" s="351"/>
      <c r="J99" s="351"/>
      <c r="L99" s="448" t="s">
        <v>206</v>
      </c>
      <c r="M99" s="256"/>
      <c r="N99" s="257"/>
    </row>
    <row r="100" spans="1:14" ht="21">
      <c r="B100" s="520" t="s">
        <v>174</v>
      </c>
    </row>
    <row r="101" spans="1:14" ht="18.5">
      <c r="B101" s="360" t="s">
        <v>179</v>
      </c>
    </row>
    <row r="102" spans="1:14" ht="15.5">
      <c r="B102" s="445" t="s">
        <v>285</v>
      </c>
      <c r="C102" s="445" t="s">
        <v>173</v>
      </c>
      <c r="D102" s="445" t="s">
        <v>351</v>
      </c>
      <c r="E102" s="445" t="s">
        <v>168</v>
      </c>
      <c r="F102" s="445" t="s">
        <v>167</v>
      </c>
      <c r="G102" s="445" t="s">
        <v>352</v>
      </c>
      <c r="H102" s="502"/>
      <c r="I102" s="482"/>
      <c r="J102" s="482"/>
    </row>
    <row r="103" spans="1:14" ht="15.75" customHeight="1">
      <c r="B103" s="339" t="s">
        <v>49</v>
      </c>
      <c r="C103" s="339" t="s">
        <v>48</v>
      </c>
      <c r="D103" s="339" t="s">
        <v>50</v>
      </c>
      <c r="E103" s="357" t="s">
        <v>126</v>
      </c>
      <c r="F103" s="340" t="s">
        <v>103</v>
      </c>
      <c r="G103" s="357"/>
      <c r="H103" s="503"/>
      <c r="I103" s="483"/>
      <c r="J103" s="483"/>
      <c r="K103" s="351" t="s">
        <v>176</v>
      </c>
    </row>
    <row r="104" spans="1:14" ht="15.75" customHeight="1">
      <c r="B104" s="341" t="s">
        <v>49</v>
      </c>
      <c r="C104" s="341" t="s">
        <v>55</v>
      </c>
      <c r="D104" s="341" t="s">
        <v>50</v>
      </c>
      <c r="E104" s="358" t="s">
        <v>126</v>
      </c>
      <c r="F104" s="342" t="s">
        <v>104</v>
      </c>
      <c r="G104" s="358"/>
      <c r="H104" s="503"/>
      <c r="I104" s="483"/>
      <c r="J104" s="483"/>
      <c r="K104" s="351" t="s">
        <v>176</v>
      </c>
    </row>
    <row r="105" spans="1:14" ht="15.75" customHeight="1">
      <c r="B105" s="343" t="s">
        <v>60</v>
      </c>
      <c r="C105" s="344" t="s">
        <v>45</v>
      </c>
      <c r="D105" s="339" t="s">
        <v>46</v>
      </c>
      <c r="E105" s="357" t="s">
        <v>126</v>
      </c>
      <c r="F105" s="340" t="s">
        <v>103</v>
      </c>
      <c r="G105" s="357"/>
      <c r="H105" s="503"/>
      <c r="I105" s="483"/>
      <c r="J105" s="483"/>
      <c r="K105" s="351" t="s">
        <v>176</v>
      </c>
      <c r="L105" s="78"/>
      <c r="M105" s="78"/>
    </row>
    <row r="106" spans="1:14" ht="15.75" customHeight="1">
      <c r="B106" s="343" t="s">
        <v>60</v>
      </c>
      <c r="C106" s="341" t="s">
        <v>45</v>
      </c>
      <c r="D106" s="343" t="s">
        <v>40</v>
      </c>
      <c r="E106" s="356" t="s">
        <v>126</v>
      </c>
      <c r="F106" s="345" t="s">
        <v>103</v>
      </c>
      <c r="G106" s="356"/>
      <c r="H106" s="503"/>
      <c r="I106" s="483"/>
      <c r="J106" s="483"/>
      <c r="K106" s="351" t="s">
        <v>176</v>
      </c>
    </row>
    <row r="107" spans="1:14" ht="15.75" customHeight="1">
      <c r="B107" s="339" t="s">
        <v>60</v>
      </c>
      <c r="C107" s="344" t="s">
        <v>51</v>
      </c>
      <c r="D107" s="339" t="s">
        <v>46</v>
      </c>
      <c r="E107" s="357" t="s">
        <v>126</v>
      </c>
      <c r="F107" s="346" t="s">
        <v>104</v>
      </c>
      <c r="G107" s="357"/>
      <c r="H107" s="503"/>
      <c r="I107" s="483"/>
      <c r="J107" s="483"/>
      <c r="K107" s="351" t="s">
        <v>176</v>
      </c>
    </row>
    <row r="108" spans="1:14" ht="15.75" customHeight="1">
      <c r="B108" s="341" t="s">
        <v>60</v>
      </c>
      <c r="C108" s="341" t="s">
        <v>51</v>
      </c>
      <c r="D108" s="341" t="s">
        <v>52</v>
      </c>
      <c r="E108" s="358" t="s">
        <v>126</v>
      </c>
      <c r="F108" s="342" t="s">
        <v>104</v>
      </c>
      <c r="G108" s="358"/>
      <c r="H108" s="503"/>
      <c r="I108" s="483"/>
      <c r="J108" s="483"/>
      <c r="K108" s="351" t="s">
        <v>176</v>
      </c>
    </row>
    <row r="109" spans="1:14" ht="15.75" customHeight="1">
      <c r="B109" s="341" t="s">
        <v>60</v>
      </c>
      <c r="C109" s="348" t="s">
        <v>56</v>
      </c>
      <c r="D109" s="341" t="s">
        <v>40</v>
      </c>
      <c r="E109" s="358" t="s">
        <v>126</v>
      </c>
      <c r="F109" s="342" t="s">
        <v>104</v>
      </c>
      <c r="G109" s="358"/>
      <c r="H109" s="503"/>
      <c r="I109" s="483"/>
      <c r="J109" s="483"/>
      <c r="K109" s="351" t="s">
        <v>176</v>
      </c>
    </row>
    <row r="110" spans="1:14" ht="15.75" customHeight="1">
      <c r="B110" s="348" t="s">
        <v>60</v>
      </c>
      <c r="C110" s="349" t="s">
        <v>58</v>
      </c>
      <c r="D110" s="348" t="s">
        <v>40</v>
      </c>
      <c r="E110" s="359" t="s">
        <v>126</v>
      </c>
      <c r="F110" s="350" t="s">
        <v>104</v>
      </c>
      <c r="G110" s="359"/>
      <c r="H110" s="503"/>
      <c r="I110" s="483"/>
      <c r="J110" s="483"/>
      <c r="K110" s="351" t="s">
        <v>176</v>
      </c>
    </row>
    <row r="111" spans="1:14" ht="15.5">
      <c r="B111" s="445" t="s">
        <v>61</v>
      </c>
      <c r="C111" s="445" t="s">
        <v>173</v>
      </c>
      <c r="D111" s="445" t="s">
        <v>174</v>
      </c>
      <c r="E111" s="445" t="s">
        <v>168</v>
      </c>
      <c r="F111" s="445" t="s">
        <v>167</v>
      </c>
      <c r="G111" s="445"/>
      <c r="H111" s="502"/>
      <c r="I111" s="482"/>
      <c r="J111" s="482"/>
    </row>
    <row r="112" spans="1:14" ht="15.5">
      <c r="B112" s="339" t="s">
        <v>292</v>
      </c>
      <c r="C112" s="352" t="s">
        <v>177</v>
      </c>
      <c r="D112" s="352" t="s">
        <v>50</v>
      </c>
      <c r="E112" s="357"/>
      <c r="F112" s="353" t="s">
        <v>103</v>
      </c>
      <c r="G112" s="357"/>
      <c r="H112" s="503"/>
      <c r="I112" s="483"/>
      <c r="J112" s="483"/>
      <c r="K112" s="351" t="s">
        <v>178</v>
      </c>
    </row>
    <row r="113" spans="2:11" ht="15.5">
      <c r="B113" s="343" t="s">
        <v>61</v>
      </c>
      <c r="C113" s="347" t="s">
        <v>42</v>
      </c>
      <c r="D113" s="347" t="s">
        <v>36</v>
      </c>
      <c r="E113" s="356" t="s">
        <v>126</v>
      </c>
      <c r="F113" s="354" t="s">
        <v>103</v>
      </c>
      <c r="G113" s="356"/>
      <c r="H113" s="503"/>
      <c r="I113" s="483"/>
      <c r="J113" s="483"/>
      <c r="K113" s="351" t="s">
        <v>176</v>
      </c>
    </row>
    <row r="114" spans="2:11" ht="15.5">
      <c r="B114" s="343" t="s">
        <v>61</v>
      </c>
      <c r="C114" s="347" t="s">
        <v>42</v>
      </c>
      <c r="D114" s="347" t="s">
        <v>37</v>
      </c>
      <c r="E114" s="356" t="s">
        <v>126</v>
      </c>
      <c r="F114" s="354" t="s">
        <v>103</v>
      </c>
      <c r="G114" s="356">
        <v>2018</v>
      </c>
      <c r="H114" s="503"/>
      <c r="I114" s="483"/>
      <c r="J114" s="483"/>
      <c r="K114" s="351"/>
    </row>
    <row r="115" spans="2:11" ht="15.5">
      <c r="B115" s="547" t="s">
        <v>256</v>
      </c>
      <c r="C115" s="548" t="s">
        <v>42</v>
      </c>
      <c r="D115" s="549" t="s">
        <v>44</v>
      </c>
      <c r="E115" s="550" t="s">
        <v>127</v>
      </c>
      <c r="F115" s="551" t="s">
        <v>103</v>
      </c>
      <c r="G115" s="546"/>
      <c r="H115" s="503"/>
      <c r="I115" s="483"/>
      <c r="J115" s="483"/>
      <c r="K115" s="351"/>
    </row>
    <row r="116" spans="2:11" ht="15.75" customHeight="1">
      <c r="B116" s="341" t="s">
        <v>257</v>
      </c>
      <c r="C116" s="341" t="s">
        <v>114</v>
      </c>
      <c r="D116" s="341" t="s">
        <v>40</v>
      </c>
      <c r="E116" s="358" t="s">
        <v>126</v>
      </c>
      <c r="F116" s="345" t="s">
        <v>103</v>
      </c>
      <c r="G116" s="358"/>
      <c r="H116" s="503"/>
      <c r="I116" s="483"/>
      <c r="J116" s="483"/>
      <c r="K116" s="351" t="s">
        <v>176</v>
      </c>
    </row>
    <row r="117" spans="2:11" ht="15.75" customHeight="1">
      <c r="B117" s="343" t="s">
        <v>61</v>
      </c>
      <c r="C117" s="343" t="s">
        <v>51</v>
      </c>
      <c r="D117" s="343" t="s">
        <v>54</v>
      </c>
      <c r="E117" s="356"/>
      <c r="F117" s="355" t="s">
        <v>104</v>
      </c>
      <c r="G117" s="668">
        <v>2017</v>
      </c>
      <c r="H117" s="503"/>
      <c r="I117" s="483"/>
      <c r="J117" s="483"/>
      <c r="K117" s="351" t="s">
        <v>178</v>
      </c>
    </row>
    <row r="118" spans="2:11" ht="15.75" customHeight="1">
      <c r="B118" s="343" t="s">
        <v>61</v>
      </c>
      <c r="C118" s="343" t="s">
        <v>51</v>
      </c>
      <c r="D118" s="343" t="s">
        <v>53</v>
      </c>
      <c r="E118" s="356" t="s">
        <v>126</v>
      </c>
      <c r="F118" s="355" t="s">
        <v>104</v>
      </c>
      <c r="G118" s="669"/>
      <c r="H118" s="503"/>
      <c r="I118" s="483"/>
      <c r="J118" s="483"/>
      <c r="K118" s="351" t="s">
        <v>176</v>
      </c>
    </row>
    <row r="119" spans="2:11" ht="15.75" customHeight="1">
      <c r="B119" s="343" t="s">
        <v>61</v>
      </c>
      <c r="C119" s="343" t="s">
        <v>51</v>
      </c>
      <c r="D119" s="343" t="s">
        <v>37</v>
      </c>
      <c r="E119" s="356" t="s">
        <v>126</v>
      </c>
      <c r="F119" s="342" t="s">
        <v>104</v>
      </c>
      <c r="G119" s="670"/>
      <c r="H119" s="503"/>
      <c r="I119" s="483"/>
      <c r="J119" s="483"/>
      <c r="K119" s="351"/>
    </row>
    <row r="120" spans="2:11" ht="15.75" customHeight="1">
      <c r="B120" s="552" t="s">
        <v>361</v>
      </c>
      <c r="C120" s="552" t="s">
        <v>51</v>
      </c>
      <c r="D120" s="552" t="s">
        <v>44</v>
      </c>
      <c r="E120" s="553" t="s">
        <v>127</v>
      </c>
      <c r="F120" s="554" t="s">
        <v>104</v>
      </c>
      <c r="G120" s="356">
        <v>2018</v>
      </c>
      <c r="H120" s="503"/>
      <c r="I120" s="483"/>
      <c r="J120" s="483"/>
      <c r="K120" s="351"/>
    </row>
    <row r="121" spans="2:11" ht="15.75" customHeight="1">
      <c r="B121" s="339" t="s">
        <v>61</v>
      </c>
      <c r="C121" s="339" t="s">
        <v>56</v>
      </c>
      <c r="D121" s="339" t="s">
        <v>57</v>
      </c>
      <c r="E121" s="357"/>
      <c r="F121" s="362" t="s">
        <v>104</v>
      </c>
      <c r="G121" s="357"/>
      <c r="H121" s="503"/>
      <c r="I121" s="483"/>
      <c r="J121" s="483"/>
      <c r="K121" s="351" t="s">
        <v>178</v>
      </c>
    </row>
    <row r="122" spans="2:11" ht="15.75" customHeight="1">
      <c r="B122" s="341" t="s">
        <v>61</v>
      </c>
      <c r="C122" s="341" t="s">
        <v>56</v>
      </c>
      <c r="D122" s="341" t="s">
        <v>37</v>
      </c>
      <c r="E122" s="358" t="s">
        <v>126</v>
      </c>
      <c r="F122" s="342" t="s">
        <v>104</v>
      </c>
      <c r="G122" s="358"/>
      <c r="H122" s="503"/>
      <c r="I122" s="483"/>
      <c r="J122" s="483"/>
      <c r="K122" s="351" t="s">
        <v>176</v>
      </c>
    </row>
    <row r="123" spans="2:11" ht="15.5">
      <c r="B123" s="341" t="s">
        <v>61</v>
      </c>
      <c r="C123" s="341" t="s">
        <v>58</v>
      </c>
      <c r="D123" s="341" t="s">
        <v>59</v>
      </c>
      <c r="E123" s="358"/>
      <c r="F123" s="342" t="s">
        <v>104</v>
      </c>
      <c r="G123" s="358"/>
      <c r="H123" s="503"/>
      <c r="I123" s="483"/>
      <c r="J123" s="483"/>
      <c r="K123" s="351" t="s">
        <v>178</v>
      </c>
    </row>
  </sheetData>
  <mergeCells count="3">
    <mergeCell ref="B6:O6"/>
    <mergeCell ref="B7:O8"/>
    <mergeCell ref="G117:G119"/>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AG884"/>
  <sheetViews>
    <sheetView showGridLines="0" zoomScale="50" zoomScaleNormal="50" zoomScalePageLayoutView="70" workbookViewId="0">
      <selection activeCell="C130" sqref="C130:C131"/>
    </sheetView>
  </sheetViews>
  <sheetFormatPr defaultColWidth="8.81640625" defaultRowHeight="13"/>
  <cols>
    <col min="1" max="1" width="4.453125" style="273" customWidth="1"/>
    <col min="2" max="2" width="43.6328125" style="273" customWidth="1"/>
    <col min="3" max="3" width="14.36328125" style="273" customWidth="1"/>
    <col min="4" max="4" width="12.81640625" style="273" customWidth="1"/>
    <col min="5" max="14" width="12.1796875" style="273" customWidth="1"/>
    <col min="15" max="15" width="13.36328125" style="273" customWidth="1"/>
    <col min="16" max="16" width="12.1796875" style="273" customWidth="1"/>
    <col min="17" max="17" width="13.1796875" style="273" customWidth="1"/>
    <col min="18" max="19" width="13" style="273" customWidth="1"/>
    <col min="20" max="20" width="19.6328125" style="294" bestFit="1" customWidth="1"/>
    <col min="21" max="31" width="11.81640625" style="273" customWidth="1"/>
    <col min="32" max="16384" width="8.81640625" style="273"/>
  </cols>
  <sheetData>
    <row r="2" spans="1:29" ht="18.5">
      <c r="A2" s="62"/>
      <c r="B2" s="6" t="str">
        <f>Introduction!$B$2</f>
        <v>LightCounting Ethernet Transceivers Forecast</v>
      </c>
    </row>
    <row r="3" spans="1:29" ht="15.5">
      <c r="B3" s="43" t="str">
        <f>Introduction!B3</f>
        <v xml:space="preserve">Sample template for forecast published 31 March 2021 </v>
      </c>
    </row>
    <row r="4" spans="1:29" ht="18.5">
      <c r="A4" s="62"/>
      <c r="B4" s="6" t="s">
        <v>372</v>
      </c>
      <c r="F4" s="392"/>
      <c r="G4" s="295"/>
      <c r="H4" s="295"/>
      <c r="I4" s="295"/>
      <c r="J4" s="295"/>
      <c r="K4" s="295"/>
      <c r="L4" s="295"/>
      <c r="M4" s="295"/>
      <c r="N4" s="295"/>
      <c r="O4" s="295"/>
      <c r="P4" s="295"/>
    </row>
    <row r="5" spans="1:29" ht="18.5">
      <c r="A5" s="62"/>
      <c r="B5" s="6"/>
    </row>
    <row r="6" spans="1:29" ht="21">
      <c r="B6" s="302" t="s">
        <v>373</v>
      </c>
      <c r="C6" s="302"/>
      <c r="D6" s="302"/>
      <c r="E6" s="560"/>
      <c r="F6" s="561"/>
      <c r="G6" s="561"/>
      <c r="H6" s="561"/>
      <c r="I6" s="302" t="s">
        <v>378</v>
      </c>
      <c r="K6" s="561"/>
      <c r="L6" s="561"/>
      <c r="M6" s="561"/>
      <c r="N6" s="561"/>
      <c r="O6" s="561"/>
      <c r="P6" s="302"/>
      <c r="Q6" s="302"/>
      <c r="R6" s="302" t="s">
        <v>379</v>
      </c>
      <c r="S6" s="302"/>
      <c r="U6" s="302"/>
      <c r="V6" s="302"/>
      <c r="AC6" s="302" t="s">
        <v>371</v>
      </c>
    </row>
    <row r="7" spans="1:29">
      <c r="A7" s="50"/>
      <c r="B7" s="50"/>
      <c r="C7" s="50"/>
      <c r="D7" s="50"/>
      <c r="E7" s="50"/>
      <c r="F7" s="50"/>
      <c r="G7" s="50"/>
      <c r="H7" s="50"/>
      <c r="I7" s="50"/>
      <c r="J7" s="50"/>
      <c r="K7" s="50"/>
      <c r="L7" s="50"/>
      <c r="M7" s="50"/>
      <c r="N7" s="50"/>
      <c r="O7" s="50"/>
      <c r="P7" s="50"/>
    </row>
    <row r="8" spans="1:29">
      <c r="A8" s="50"/>
      <c r="B8" s="50"/>
      <c r="C8" s="50"/>
      <c r="D8" s="50"/>
      <c r="E8" s="50"/>
      <c r="F8" s="50"/>
      <c r="G8" s="50"/>
      <c r="H8" s="50"/>
      <c r="I8" s="50"/>
      <c r="J8" s="50"/>
      <c r="K8" s="50"/>
      <c r="L8" s="50"/>
      <c r="M8" s="50"/>
      <c r="N8" s="50"/>
      <c r="O8" s="50"/>
      <c r="P8" s="50"/>
    </row>
    <row r="9" spans="1:29">
      <c r="A9" s="50"/>
      <c r="B9" s="50"/>
      <c r="C9" s="50"/>
      <c r="D9" s="50"/>
      <c r="E9" s="50"/>
      <c r="F9" s="50"/>
      <c r="G9" s="50"/>
      <c r="H9" s="50"/>
      <c r="I9" s="50"/>
      <c r="J9" s="50"/>
      <c r="K9" s="50"/>
      <c r="L9" s="50"/>
      <c r="M9" s="50"/>
      <c r="N9" s="50"/>
      <c r="O9" s="50"/>
      <c r="P9" s="50"/>
    </row>
    <row r="10" spans="1:29">
      <c r="A10" s="50"/>
      <c r="B10" s="50"/>
      <c r="C10" s="50"/>
      <c r="D10" s="50"/>
      <c r="E10" s="50"/>
      <c r="F10" s="50"/>
      <c r="G10" s="50"/>
      <c r="H10" s="50"/>
      <c r="I10" s="50"/>
      <c r="J10" s="50"/>
      <c r="K10" s="50"/>
      <c r="L10" s="50"/>
      <c r="M10" s="50"/>
      <c r="N10" s="50"/>
      <c r="O10" s="50"/>
      <c r="P10" s="50"/>
    </row>
    <row r="11" spans="1:29">
      <c r="A11" s="50"/>
      <c r="B11" s="50"/>
      <c r="C11" s="50"/>
      <c r="D11" s="50"/>
      <c r="E11" s="50"/>
      <c r="F11" s="50"/>
      <c r="G11" s="50"/>
      <c r="H11" s="50"/>
      <c r="I11" s="50"/>
      <c r="J11" s="50"/>
      <c r="K11" s="50"/>
      <c r="L11" s="50"/>
      <c r="M11" s="50"/>
      <c r="N11" s="50"/>
      <c r="O11" s="50"/>
      <c r="P11" s="50"/>
    </row>
    <row r="12" spans="1:29">
      <c r="A12" s="50"/>
      <c r="B12" s="50"/>
      <c r="C12" s="50"/>
      <c r="D12" s="50"/>
      <c r="E12" s="50"/>
      <c r="F12" s="50"/>
      <c r="G12" s="50"/>
      <c r="H12" s="50"/>
      <c r="I12" s="50"/>
      <c r="J12" s="50"/>
      <c r="K12" s="50"/>
      <c r="L12" s="50"/>
      <c r="M12" s="50"/>
      <c r="N12" s="50"/>
      <c r="O12" s="50"/>
      <c r="P12" s="50"/>
    </row>
    <row r="13" spans="1:29">
      <c r="A13" s="50"/>
      <c r="B13" s="50"/>
      <c r="C13" s="50"/>
      <c r="D13" s="50"/>
      <c r="E13" s="50"/>
      <c r="F13" s="50"/>
      <c r="G13" s="50"/>
      <c r="H13" s="50"/>
      <c r="I13" s="50"/>
      <c r="J13" s="50"/>
      <c r="K13" s="50"/>
      <c r="L13" s="50"/>
      <c r="M13" s="50"/>
      <c r="N13" s="50"/>
      <c r="O13" s="50"/>
      <c r="P13" s="50"/>
    </row>
    <row r="14" spans="1:29">
      <c r="A14" s="50"/>
      <c r="B14" s="50"/>
      <c r="C14" s="50"/>
      <c r="D14" s="50"/>
      <c r="E14" s="50"/>
      <c r="F14" s="50"/>
      <c r="G14" s="50"/>
      <c r="H14" s="50"/>
      <c r="I14" s="50"/>
      <c r="J14" s="50"/>
      <c r="K14" s="50"/>
      <c r="L14" s="50"/>
      <c r="M14" s="50"/>
      <c r="N14" s="50"/>
      <c r="O14" s="50"/>
      <c r="P14" s="50"/>
    </row>
    <row r="15" spans="1:29">
      <c r="A15" s="50"/>
      <c r="B15" s="50"/>
      <c r="C15" s="50"/>
      <c r="D15" s="50"/>
      <c r="E15" s="50"/>
      <c r="F15" s="50"/>
      <c r="G15" s="50"/>
      <c r="H15" s="50"/>
      <c r="I15" s="50"/>
      <c r="J15" s="50"/>
      <c r="K15" s="50"/>
      <c r="L15" s="50"/>
      <c r="M15" s="50"/>
      <c r="N15" s="50"/>
      <c r="O15" s="50"/>
      <c r="P15" s="50"/>
    </row>
    <row r="16" spans="1:29">
      <c r="A16" s="50"/>
      <c r="B16" s="50"/>
      <c r="C16" s="50"/>
      <c r="D16" s="50"/>
      <c r="E16" s="50"/>
      <c r="F16" s="50"/>
      <c r="G16" s="50"/>
      <c r="H16" s="50"/>
      <c r="I16" s="50"/>
      <c r="J16" s="50"/>
      <c r="K16" s="50"/>
      <c r="L16" s="50"/>
      <c r="M16" s="50"/>
      <c r="N16" s="50"/>
      <c r="O16" s="50"/>
      <c r="P16" s="50"/>
    </row>
    <row r="17" spans="1:22">
      <c r="A17" s="50"/>
      <c r="B17" s="50"/>
      <c r="C17" s="50"/>
      <c r="D17" s="50"/>
      <c r="E17" s="50"/>
      <c r="F17" s="50"/>
      <c r="G17" s="50"/>
      <c r="H17" s="50"/>
      <c r="I17" s="50"/>
      <c r="J17" s="50"/>
      <c r="K17" s="50"/>
      <c r="L17" s="50"/>
      <c r="M17" s="50"/>
      <c r="N17" s="50"/>
      <c r="O17" s="50"/>
      <c r="P17" s="50"/>
    </row>
    <row r="18" spans="1:22">
      <c r="A18" s="50"/>
      <c r="B18" s="50"/>
      <c r="C18" s="50"/>
      <c r="D18" s="50"/>
      <c r="E18" s="50"/>
      <c r="F18" s="50"/>
      <c r="G18" s="50"/>
      <c r="H18" s="50"/>
      <c r="I18" s="50"/>
      <c r="J18" s="50"/>
      <c r="K18" s="50"/>
      <c r="L18" s="50"/>
      <c r="M18" s="50"/>
      <c r="N18" s="50"/>
      <c r="O18" s="50"/>
      <c r="P18" s="50"/>
    </row>
    <row r="19" spans="1:22">
      <c r="A19" s="50"/>
      <c r="B19" s="50"/>
      <c r="C19" s="50"/>
      <c r="D19" s="50"/>
      <c r="E19" s="50"/>
      <c r="F19" s="50"/>
      <c r="G19" s="50"/>
      <c r="H19" s="50"/>
      <c r="I19" s="50"/>
      <c r="J19" s="50"/>
      <c r="K19" s="50"/>
      <c r="L19" s="50"/>
      <c r="M19" s="50"/>
      <c r="N19" s="50"/>
      <c r="O19" s="50"/>
      <c r="P19" s="50"/>
    </row>
    <row r="20" spans="1:22">
      <c r="A20" s="50"/>
      <c r="B20" s="50"/>
      <c r="C20" s="50"/>
      <c r="D20" s="50"/>
      <c r="E20" s="50"/>
      <c r="F20" s="50"/>
      <c r="G20" s="50"/>
      <c r="H20" s="50"/>
      <c r="I20" s="50"/>
      <c r="J20" s="50"/>
      <c r="K20" s="50"/>
      <c r="L20" s="50"/>
      <c r="M20" s="50"/>
      <c r="N20" s="50"/>
      <c r="O20" s="50"/>
      <c r="P20" s="50"/>
    </row>
    <row r="21" spans="1:22">
      <c r="A21" s="50"/>
      <c r="B21" s="50"/>
      <c r="C21" s="50"/>
      <c r="D21" s="50"/>
      <c r="E21" s="50"/>
      <c r="F21" s="50"/>
      <c r="G21" s="50"/>
      <c r="H21" s="50"/>
      <c r="I21" s="50"/>
      <c r="J21" s="50"/>
      <c r="K21" s="50"/>
      <c r="L21" s="50"/>
      <c r="M21" s="50"/>
      <c r="N21" s="50"/>
      <c r="O21" s="50"/>
      <c r="P21" s="50"/>
    </row>
    <row r="22" spans="1:22">
      <c r="A22" s="50"/>
      <c r="B22" s="50"/>
      <c r="C22" s="50"/>
      <c r="D22" s="50"/>
      <c r="E22" s="50"/>
      <c r="F22" s="50"/>
      <c r="G22" s="50"/>
      <c r="H22" s="50"/>
      <c r="I22" s="50"/>
      <c r="J22" s="50"/>
      <c r="K22" s="50"/>
      <c r="L22" s="50"/>
      <c r="M22" s="50"/>
      <c r="N22" s="50"/>
      <c r="O22" s="50"/>
      <c r="P22" s="50"/>
    </row>
    <row r="23" spans="1:22">
      <c r="A23" s="50"/>
      <c r="B23" s="50"/>
      <c r="C23" s="50"/>
      <c r="D23" s="50"/>
      <c r="E23" s="50"/>
      <c r="F23" s="50"/>
      <c r="G23" s="50"/>
      <c r="H23" s="50"/>
      <c r="I23" s="50"/>
      <c r="J23" s="50"/>
      <c r="K23" s="50"/>
      <c r="L23" s="50"/>
      <c r="M23" s="50"/>
      <c r="N23" s="50"/>
      <c r="O23" s="50"/>
      <c r="P23" s="50"/>
    </row>
    <row r="24" spans="1:22">
      <c r="A24" s="50"/>
      <c r="B24" s="50"/>
      <c r="C24" s="50"/>
      <c r="D24" s="50"/>
      <c r="E24" s="50"/>
      <c r="F24" s="50"/>
      <c r="G24" s="50"/>
      <c r="H24" s="50"/>
      <c r="I24" s="50"/>
      <c r="J24" s="50"/>
      <c r="K24" s="50"/>
      <c r="L24" s="50"/>
      <c r="M24" s="50"/>
      <c r="N24" s="50"/>
      <c r="O24" s="50"/>
      <c r="P24" s="50"/>
    </row>
    <row r="25" spans="1:22">
      <c r="A25" s="50"/>
      <c r="B25" s="50"/>
      <c r="C25" s="50"/>
      <c r="D25" s="50"/>
      <c r="E25" s="50"/>
      <c r="F25" s="50"/>
      <c r="G25" s="50"/>
      <c r="H25" s="50"/>
      <c r="I25" s="50"/>
      <c r="J25" s="50"/>
      <c r="K25" s="50"/>
      <c r="L25" s="50"/>
      <c r="M25" s="50"/>
      <c r="N25" s="50"/>
      <c r="O25" s="50"/>
      <c r="P25" s="50"/>
    </row>
    <row r="26" spans="1:22">
      <c r="A26" s="50"/>
      <c r="B26" s="50"/>
      <c r="C26" s="50"/>
      <c r="D26" s="50"/>
      <c r="E26" s="50"/>
      <c r="F26" s="50"/>
      <c r="G26" s="50"/>
      <c r="H26" s="50"/>
      <c r="I26" s="50"/>
      <c r="J26" s="50"/>
      <c r="K26" s="50"/>
      <c r="L26" s="50"/>
      <c r="M26" s="50"/>
      <c r="N26" s="50"/>
      <c r="O26" s="50"/>
      <c r="P26" s="50"/>
    </row>
    <row r="27" spans="1:22">
      <c r="A27" s="50"/>
      <c r="B27" s="50"/>
      <c r="C27" s="50"/>
      <c r="D27" s="50"/>
      <c r="E27" s="50"/>
      <c r="F27" s="50"/>
      <c r="G27" s="50"/>
      <c r="H27" s="50"/>
      <c r="I27" s="50"/>
      <c r="J27" s="50"/>
      <c r="K27" s="50"/>
      <c r="L27" s="50"/>
      <c r="M27" s="50"/>
      <c r="N27" s="50"/>
      <c r="O27" s="50"/>
      <c r="P27" s="50"/>
    </row>
    <row r="28" spans="1:22" ht="21">
      <c r="B28" s="302" t="s">
        <v>374</v>
      </c>
      <c r="C28" s="302"/>
      <c r="D28" s="302"/>
      <c r="E28" s="560"/>
      <c r="F28" s="561"/>
      <c r="G28" s="561"/>
      <c r="H28" s="561"/>
      <c r="I28" s="302" t="s">
        <v>376</v>
      </c>
      <c r="K28" s="561"/>
      <c r="L28" s="561"/>
      <c r="M28" s="561"/>
      <c r="N28" s="561"/>
      <c r="O28" s="561"/>
      <c r="P28" s="302"/>
      <c r="Q28" s="302"/>
      <c r="R28" s="302" t="s">
        <v>377</v>
      </c>
      <c r="S28" s="302"/>
      <c r="U28" s="302"/>
      <c r="V28" s="302"/>
    </row>
    <row r="29" spans="1:22">
      <c r="A29" s="50"/>
      <c r="B29" s="50"/>
      <c r="C29" s="50"/>
      <c r="D29" s="50"/>
      <c r="E29" s="50"/>
      <c r="F29" s="50"/>
      <c r="G29" s="50"/>
      <c r="H29" s="50"/>
      <c r="I29" s="50"/>
      <c r="J29" s="50"/>
      <c r="K29" s="50"/>
      <c r="L29" s="50"/>
      <c r="M29" s="50"/>
      <c r="N29" s="50"/>
      <c r="O29" s="50"/>
      <c r="P29" s="50"/>
    </row>
    <row r="30" spans="1:22">
      <c r="A30" s="50"/>
      <c r="B30" s="50"/>
      <c r="C30" s="50"/>
      <c r="D30" s="50"/>
      <c r="E30" s="50"/>
      <c r="F30" s="50"/>
      <c r="G30" s="50"/>
      <c r="H30" s="50"/>
      <c r="I30" s="50"/>
      <c r="J30" s="50"/>
      <c r="K30" s="50"/>
      <c r="L30" s="50"/>
      <c r="M30" s="50"/>
      <c r="N30" s="50"/>
      <c r="O30" s="50"/>
      <c r="P30" s="50"/>
    </row>
    <row r="31" spans="1:22">
      <c r="A31" s="50"/>
      <c r="B31" s="50"/>
      <c r="C31" s="50"/>
      <c r="D31" s="50"/>
      <c r="E31" s="50"/>
      <c r="F31" s="50"/>
      <c r="G31" s="50"/>
      <c r="H31" s="50"/>
      <c r="I31" s="50"/>
      <c r="J31" s="50"/>
      <c r="K31" s="50"/>
      <c r="L31" s="50"/>
      <c r="M31" s="50"/>
      <c r="N31" s="50"/>
      <c r="O31" s="50"/>
      <c r="P31" s="50"/>
    </row>
    <row r="32" spans="1:22">
      <c r="A32" s="50"/>
      <c r="B32" s="50"/>
      <c r="C32" s="50"/>
      <c r="D32" s="50"/>
      <c r="E32" s="50"/>
      <c r="F32" s="50"/>
      <c r="G32" s="50"/>
      <c r="H32" s="50"/>
      <c r="I32" s="50"/>
      <c r="J32" s="50"/>
      <c r="K32" s="50"/>
      <c r="L32" s="50"/>
      <c r="M32" s="50"/>
      <c r="N32" s="50"/>
      <c r="O32" s="50"/>
      <c r="P32" s="50"/>
    </row>
    <row r="33" spans="1:16">
      <c r="A33" s="50"/>
      <c r="B33" s="50"/>
      <c r="C33" s="50"/>
      <c r="D33" s="50"/>
      <c r="E33" s="50"/>
      <c r="F33" s="50"/>
      <c r="G33" s="50"/>
      <c r="H33" s="50"/>
      <c r="I33" s="50"/>
      <c r="J33" s="50"/>
      <c r="K33" s="50"/>
      <c r="L33" s="50"/>
      <c r="M33" s="50"/>
      <c r="N33" s="50"/>
      <c r="O33" s="50"/>
      <c r="P33" s="50"/>
    </row>
    <row r="34" spans="1:16">
      <c r="A34" s="50"/>
      <c r="B34" s="50"/>
      <c r="C34" s="50"/>
      <c r="D34" s="50"/>
      <c r="E34" s="50"/>
      <c r="F34" s="50"/>
      <c r="G34" s="50"/>
      <c r="H34" s="50"/>
      <c r="I34" s="50"/>
      <c r="J34" s="50"/>
      <c r="K34" s="50"/>
      <c r="L34" s="50"/>
      <c r="M34" s="50"/>
      <c r="N34" s="50"/>
      <c r="O34" s="50"/>
      <c r="P34" s="50"/>
    </row>
    <row r="35" spans="1:16">
      <c r="A35" s="50"/>
      <c r="B35" s="50"/>
      <c r="C35" s="50"/>
      <c r="D35" s="50"/>
      <c r="E35" s="50"/>
      <c r="F35" s="50"/>
      <c r="G35" s="50"/>
      <c r="H35" s="50"/>
      <c r="I35" s="50"/>
      <c r="J35" s="50"/>
      <c r="K35" s="50"/>
      <c r="L35" s="50"/>
      <c r="M35" s="50"/>
      <c r="N35" s="50"/>
      <c r="O35" s="50"/>
      <c r="P35" s="50"/>
    </row>
    <row r="36" spans="1:16">
      <c r="A36" s="50"/>
      <c r="B36" s="50"/>
      <c r="C36" s="50"/>
      <c r="D36" s="50"/>
      <c r="E36" s="50"/>
      <c r="F36" s="50"/>
      <c r="G36" s="50"/>
      <c r="H36" s="50"/>
      <c r="I36" s="50"/>
      <c r="J36" s="50"/>
      <c r="K36" s="50"/>
      <c r="L36" s="50"/>
      <c r="M36" s="50"/>
      <c r="N36" s="50"/>
      <c r="O36" s="50"/>
      <c r="P36" s="50"/>
    </row>
    <row r="37" spans="1:16">
      <c r="A37" s="50"/>
      <c r="B37" s="50"/>
      <c r="C37" s="50"/>
      <c r="D37" s="50"/>
      <c r="E37" s="50"/>
      <c r="F37" s="50"/>
      <c r="G37" s="50"/>
      <c r="H37" s="50"/>
      <c r="I37" s="50"/>
      <c r="J37" s="50"/>
      <c r="K37" s="50"/>
      <c r="L37" s="50"/>
      <c r="M37" s="50"/>
      <c r="N37" s="50"/>
      <c r="O37" s="50"/>
      <c r="P37" s="50"/>
    </row>
    <row r="38" spans="1:16">
      <c r="A38" s="50"/>
      <c r="B38" s="50"/>
      <c r="C38" s="50"/>
      <c r="D38" s="50"/>
      <c r="E38" s="50"/>
      <c r="F38" s="50"/>
      <c r="G38" s="50"/>
      <c r="H38" s="50"/>
      <c r="I38" s="50"/>
      <c r="J38" s="50"/>
      <c r="K38" s="50"/>
      <c r="L38" s="50"/>
      <c r="M38" s="50"/>
      <c r="N38" s="50"/>
      <c r="O38" s="50"/>
      <c r="P38" s="50"/>
    </row>
    <row r="39" spans="1:16">
      <c r="A39" s="50"/>
      <c r="B39" s="50"/>
      <c r="C39" s="50"/>
      <c r="D39" s="50"/>
      <c r="E39" s="50"/>
      <c r="F39" s="50"/>
      <c r="G39" s="50"/>
      <c r="H39" s="50"/>
      <c r="I39" s="50"/>
      <c r="J39" s="50"/>
      <c r="K39" s="50"/>
      <c r="L39" s="50"/>
      <c r="M39" s="50"/>
      <c r="N39" s="50"/>
      <c r="O39" s="50"/>
      <c r="P39" s="50"/>
    </row>
    <row r="40" spans="1:16">
      <c r="A40" s="50"/>
      <c r="B40" s="50"/>
      <c r="C40" s="50"/>
      <c r="D40" s="50"/>
      <c r="E40" s="50"/>
      <c r="F40" s="50"/>
      <c r="G40" s="50"/>
      <c r="H40" s="50"/>
      <c r="I40" s="50"/>
      <c r="J40" s="50"/>
      <c r="K40" s="50"/>
      <c r="L40" s="50"/>
      <c r="M40" s="50"/>
      <c r="N40" s="50"/>
      <c r="O40" s="50"/>
      <c r="P40" s="50"/>
    </row>
    <row r="41" spans="1:16">
      <c r="A41" s="50"/>
      <c r="B41" s="50"/>
      <c r="C41" s="50"/>
      <c r="D41" s="50"/>
      <c r="E41" s="50"/>
      <c r="F41" s="50"/>
      <c r="G41" s="50"/>
      <c r="H41" s="50"/>
      <c r="I41" s="50"/>
      <c r="J41" s="50"/>
      <c r="K41" s="50"/>
      <c r="L41" s="50"/>
      <c r="M41" s="50"/>
      <c r="N41" s="50"/>
      <c r="O41" s="50"/>
      <c r="P41" s="50"/>
    </row>
    <row r="42" spans="1:16">
      <c r="A42" s="50"/>
      <c r="B42" s="50"/>
      <c r="C42" s="50"/>
      <c r="D42" s="50"/>
      <c r="E42" s="50"/>
      <c r="F42" s="50"/>
      <c r="G42" s="50"/>
      <c r="H42" s="50"/>
      <c r="I42" s="50"/>
      <c r="J42" s="50"/>
      <c r="K42" s="50"/>
      <c r="L42" s="50"/>
      <c r="M42" s="50"/>
      <c r="N42" s="50"/>
      <c r="O42" s="50"/>
      <c r="P42" s="50"/>
    </row>
    <row r="43" spans="1:16">
      <c r="A43" s="50"/>
      <c r="B43" s="50"/>
      <c r="C43" s="50"/>
      <c r="D43" s="50"/>
      <c r="E43" s="50"/>
      <c r="F43" s="50"/>
      <c r="G43" s="50"/>
      <c r="H43" s="50"/>
      <c r="I43" s="50"/>
      <c r="J43" s="50"/>
      <c r="K43" s="50"/>
      <c r="L43" s="50"/>
      <c r="M43" s="50"/>
      <c r="N43" s="50"/>
      <c r="O43" s="50"/>
      <c r="P43" s="50"/>
    </row>
    <row r="44" spans="1:16">
      <c r="A44" s="50"/>
      <c r="B44" s="50"/>
      <c r="C44" s="50"/>
      <c r="D44" s="50"/>
      <c r="E44" s="50"/>
      <c r="F44" s="50"/>
      <c r="G44" s="50"/>
      <c r="H44" s="50"/>
      <c r="I44" s="50"/>
      <c r="J44" s="50"/>
      <c r="K44" s="50"/>
      <c r="L44" s="50"/>
      <c r="M44" s="50"/>
      <c r="N44" s="50"/>
      <c r="O44" s="50"/>
      <c r="P44" s="50"/>
    </row>
    <row r="45" spans="1:16">
      <c r="A45" s="50"/>
      <c r="B45" s="50"/>
      <c r="C45" s="50"/>
      <c r="D45" s="50"/>
      <c r="E45" s="50"/>
      <c r="F45" s="50"/>
      <c r="G45" s="50"/>
      <c r="H45" s="50"/>
      <c r="I45" s="50"/>
      <c r="J45" s="50"/>
      <c r="K45" s="50"/>
      <c r="L45" s="50"/>
      <c r="M45" s="50"/>
      <c r="N45" s="50"/>
      <c r="O45" s="50"/>
      <c r="P45" s="50"/>
    </row>
    <row r="46" spans="1:16">
      <c r="A46" s="50"/>
      <c r="B46" s="50"/>
      <c r="C46" s="50"/>
      <c r="D46" s="50"/>
      <c r="E46" s="50"/>
      <c r="F46" s="50"/>
      <c r="G46" s="50"/>
      <c r="H46" s="50"/>
      <c r="I46" s="50"/>
      <c r="J46" s="50"/>
      <c r="K46" s="50"/>
      <c r="L46" s="50"/>
      <c r="M46" s="50"/>
      <c r="N46" s="50"/>
      <c r="O46" s="50"/>
      <c r="P46" s="50"/>
    </row>
    <row r="47" spans="1:16">
      <c r="A47" s="50"/>
      <c r="B47" s="50"/>
      <c r="C47" s="50"/>
      <c r="D47" s="50"/>
      <c r="E47" s="50"/>
      <c r="F47" s="50"/>
      <c r="G47" s="50"/>
      <c r="H47" s="50"/>
      <c r="I47" s="50"/>
      <c r="J47" s="50"/>
      <c r="K47" s="50"/>
      <c r="L47" s="50"/>
      <c r="M47" s="50"/>
      <c r="N47" s="50"/>
      <c r="O47" s="50"/>
      <c r="P47" s="50"/>
    </row>
    <row r="48" spans="1:16">
      <c r="A48" s="50"/>
      <c r="B48" s="50"/>
      <c r="C48" s="50"/>
      <c r="D48" s="50"/>
      <c r="E48" s="50"/>
      <c r="F48" s="50"/>
      <c r="G48" s="50"/>
      <c r="H48" s="50"/>
      <c r="I48" s="50"/>
      <c r="J48" s="50"/>
      <c r="K48" s="50"/>
      <c r="L48" s="50"/>
      <c r="M48" s="50"/>
      <c r="N48" s="50"/>
      <c r="O48" s="50"/>
      <c r="P48" s="50"/>
    </row>
    <row r="49" spans="1:19">
      <c r="A49" s="50"/>
      <c r="B49" s="50"/>
      <c r="C49" s="50"/>
      <c r="D49" s="50"/>
      <c r="E49" s="50"/>
      <c r="F49" s="50"/>
      <c r="G49" s="50"/>
      <c r="H49" s="50"/>
      <c r="I49" s="50"/>
      <c r="J49" s="50"/>
      <c r="K49" s="50"/>
      <c r="L49" s="50"/>
      <c r="M49" s="50"/>
      <c r="N49" s="50"/>
      <c r="O49" s="50"/>
      <c r="P49" s="50"/>
    </row>
    <row r="50" spans="1:19" ht="21">
      <c r="A50" s="50"/>
      <c r="B50" s="559" t="s">
        <v>384</v>
      </c>
      <c r="C50" s="50"/>
      <c r="D50" s="50"/>
      <c r="E50" s="50"/>
      <c r="F50" s="50"/>
      <c r="G50" s="50"/>
      <c r="H50" s="50"/>
      <c r="I50" s="559" t="s">
        <v>383</v>
      </c>
      <c r="J50" s="50"/>
      <c r="K50" s="50"/>
      <c r="L50" s="50"/>
      <c r="M50" s="50"/>
      <c r="N50" s="50"/>
      <c r="O50" s="50"/>
      <c r="P50" s="50"/>
      <c r="R50" s="559" t="s">
        <v>368</v>
      </c>
      <c r="S50" s="559"/>
    </row>
    <row r="51" spans="1:19">
      <c r="A51" s="50"/>
      <c r="B51" s="50"/>
      <c r="C51" s="50"/>
      <c r="D51" s="50"/>
      <c r="E51" s="50"/>
      <c r="F51" s="50"/>
      <c r="G51" s="50"/>
      <c r="H51" s="50"/>
      <c r="I51" s="50"/>
      <c r="J51" s="50"/>
      <c r="K51" s="50"/>
      <c r="L51" s="50"/>
      <c r="M51" s="50"/>
      <c r="N51" s="50"/>
      <c r="O51" s="50"/>
      <c r="P51" s="50"/>
    </row>
    <row r="52" spans="1:19">
      <c r="A52" s="50"/>
      <c r="B52" s="50"/>
      <c r="C52" s="50"/>
      <c r="D52" s="50"/>
      <c r="E52" s="50"/>
      <c r="F52" s="50"/>
      <c r="G52" s="50"/>
      <c r="H52" s="50"/>
      <c r="I52" s="50"/>
      <c r="J52" s="50"/>
      <c r="K52" s="50"/>
      <c r="L52" s="50"/>
      <c r="M52" s="50"/>
      <c r="N52" s="50"/>
      <c r="O52" s="50"/>
      <c r="P52" s="50"/>
    </row>
    <row r="53" spans="1:19">
      <c r="A53" s="50"/>
      <c r="B53" s="50"/>
      <c r="C53" s="50"/>
      <c r="D53" s="50"/>
      <c r="E53" s="50"/>
      <c r="F53" s="50"/>
      <c r="G53" s="50"/>
      <c r="H53" s="50"/>
      <c r="I53" s="50"/>
      <c r="J53" s="50"/>
      <c r="K53" s="50"/>
      <c r="L53" s="50"/>
      <c r="M53" s="50"/>
      <c r="N53" s="50"/>
      <c r="O53" s="50"/>
      <c r="P53" s="50"/>
    </row>
    <row r="54" spans="1:19">
      <c r="A54" s="50"/>
      <c r="B54" s="50"/>
      <c r="C54" s="50"/>
      <c r="D54" s="50"/>
      <c r="E54" s="50"/>
      <c r="F54" s="50"/>
      <c r="G54" s="50"/>
      <c r="H54" s="50"/>
      <c r="I54" s="50"/>
      <c r="J54" s="50"/>
      <c r="K54" s="50"/>
      <c r="L54" s="50"/>
      <c r="M54" s="50"/>
      <c r="N54" s="50"/>
      <c r="O54" s="50"/>
      <c r="P54" s="50"/>
    </row>
    <row r="55" spans="1:19">
      <c r="A55" s="50"/>
      <c r="B55" s="50"/>
      <c r="C55" s="50"/>
      <c r="D55" s="50"/>
      <c r="E55" s="50"/>
      <c r="F55" s="50"/>
      <c r="G55" s="50"/>
      <c r="H55" s="50"/>
      <c r="I55" s="50"/>
      <c r="J55" s="50"/>
      <c r="K55" s="50"/>
      <c r="L55" s="50"/>
      <c r="M55" s="50"/>
      <c r="N55" s="50"/>
      <c r="O55" s="50"/>
      <c r="P55" s="50"/>
    </row>
    <row r="56" spans="1:19">
      <c r="A56" s="50"/>
      <c r="B56" s="50"/>
      <c r="C56" s="50"/>
      <c r="D56" s="50"/>
      <c r="E56" s="50"/>
      <c r="F56" s="50"/>
      <c r="G56" s="50"/>
      <c r="H56" s="50"/>
      <c r="I56" s="50"/>
      <c r="J56" s="50"/>
      <c r="K56" s="50"/>
      <c r="L56" s="50"/>
      <c r="M56" s="50"/>
      <c r="N56" s="50"/>
      <c r="O56" s="50"/>
      <c r="P56" s="50"/>
    </row>
    <row r="57" spans="1:19">
      <c r="A57" s="50"/>
      <c r="B57" s="50"/>
      <c r="C57" s="50"/>
      <c r="D57" s="50"/>
      <c r="E57" s="50"/>
      <c r="F57" s="50"/>
      <c r="G57" s="50"/>
      <c r="H57" s="50"/>
      <c r="I57" s="50"/>
      <c r="J57" s="50"/>
      <c r="K57" s="50"/>
      <c r="L57" s="50"/>
      <c r="M57" s="50"/>
      <c r="N57" s="50"/>
      <c r="O57" s="50"/>
      <c r="P57" s="50"/>
    </row>
    <row r="58" spans="1:19">
      <c r="A58" s="50"/>
      <c r="B58" s="50"/>
      <c r="C58" s="50"/>
      <c r="D58" s="50"/>
      <c r="E58" s="50"/>
      <c r="F58" s="50"/>
      <c r="G58" s="50"/>
      <c r="H58" s="50"/>
      <c r="I58" s="50"/>
      <c r="J58" s="50"/>
      <c r="K58" s="50"/>
      <c r="L58" s="50"/>
      <c r="M58" s="50"/>
      <c r="N58" s="50"/>
      <c r="O58" s="50"/>
      <c r="P58" s="50"/>
    </row>
    <row r="59" spans="1:19">
      <c r="A59" s="50"/>
      <c r="B59" s="50"/>
      <c r="C59" s="50"/>
      <c r="D59" s="50"/>
      <c r="E59" s="50"/>
      <c r="F59" s="50"/>
      <c r="G59" s="50"/>
      <c r="H59" s="50"/>
      <c r="I59" s="50"/>
      <c r="J59" s="50"/>
      <c r="K59" s="50"/>
      <c r="L59" s="50"/>
      <c r="M59" s="50"/>
      <c r="N59" s="50"/>
      <c r="O59" s="50"/>
      <c r="P59" s="50"/>
    </row>
    <row r="60" spans="1:19">
      <c r="A60" s="50"/>
      <c r="B60" s="50"/>
      <c r="C60" s="50"/>
      <c r="D60" s="50"/>
      <c r="E60" s="50"/>
      <c r="F60" s="50"/>
      <c r="G60" s="50"/>
      <c r="H60" s="50"/>
      <c r="I60" s="50"/>
      <c r="J60" s="50"/>
      <c r="K60" s="50"/>
      <c r="L60" s="50"/>
      <c r="M60" s="50"/>
      <c r="N60" s="50"/>
      <c r="O60" s="50"/>
      <c r="P60" s="50"/>
    </row>
    <row r="61" spans="1:19">
      <c r="A61" s="50"/>
      <c r="B61" s="50"/>
      <c r="C61" s="50"/>
      <c r="D61" s="50"/>
      <c r="E61" s="50"/>
      <c r="F61" s="50"/>
      <c r="G61" s="50"/>
      <c r="H61" s="50"/>
      <c r="I61" s="50"/>
      <c r="J61" s="50"/>
      <c r="K61" s="50"/>
      <c r="L61" s="50"/>
      <c r="M61" s="50"/>
      <c r="N61" s="50"/>
      <c r="O61" s="50"/>
      <c r="P61" s="50"/>
    </row>
    <row r="62" spans="1:19">
      <c r="A62" s="50"/>
      <c r="B62" s="50"/>
      <c r="C62" s="50"/>
      <c r="D62" s="50"/>
      <c r="E62" s="50"/>
      <c r="F62" s="50"/>
      <c r="G62" s="50"/>
      <c r="H62" s="50"/>
      <c r="I62" s="50"/>
      <c r="J62" s="50"/>
      <c r="K62" s="50"/>
      <c r="L62" s="50"/>
      <c r="M62" s="50"/>
      <c r="N62" s="50"/>
      <c r="O62" s="50"/>
      <c r="P62" s="50"/>
    </row>
    <row r="63" spans="1:19">
      <c r="A63" s="50"/>
      <c r="B63" s="50"/>
      <c r="C63" s="50"/>
      <c r="D63" s="50"/>
      <c r="E63" s="50"/>
      <c r="F63" s="50"/>
      <c r="G63" s="50"/>
      <c r="H63" s="50"/>
      <c r="I63" s="50"/>
      <c r="J63" s="50"/>
      <c r="K63" s="50"/>
      <c r="L63" s="50"/>
      <c r="M63" s="50"/>
      <c r="N63" s="50"/>
      <c r="O63" s="50"/>
      <c r="P63" s="50"/>
    </row>
    <row r="64" spans="1:19">
      <c r="A64" s="50"/>
      <c r="B64" s="50"/>
      <c r="C64" s="50"/>
      <c r="D64" s="50"/>
      <c r="E64" s="50"/>
      <c r="F64" s="50"/>
      <c r="G64" s="50"/>
      <c r="H64" s="50"/>
      <c r="I64" s="50"/>
      <c r="J64" s="50"/>
      <c r="K64" s="50"/>
      <c r="L64" s="50"/>
      <c r="M64" s="50"/>
      <c r="N64" s="50"/>
      <c r="O64" s="50"/>
      <c r="P64" s="50"/>
    </row>
    <row r="65" spans="1:16">
      <c r="A65" s="50"/>
      <c r="B65" s="50"/>
      <c r="C65" s="50"/>
      <c r="D65" s="50"/>
      <c r="E65" s="50"/>
      <c r="F65" s="50"/>
      <c r="G65" s="50"/>
      <c r="H65" s="50"/>
      <c r="I65" s="50"/>
      <c r="J65" s="50"/>
      <c r="K65" s="50"/>
      <c r="L65" s="50"/>
      <c r="M65" s="50"/>
      <c r="N65" s="50"/>
      <c r="O65" s="50"/>
      <c r="P65" s="50"/>
    </row>
    <row r="66" spans="1:16">
      <c r="A66" s="50"/>
      <c r="B66" s="50"/>
      <c r="C66" s="50"/>
      <c r="D66" s="50"/>
      <c r="E66" s="50"/>
      <c r="F66" s="50"/>
      <c r="G66" s="50"/>
      <c r="H66" s="50"/>
      <c r="I66" s="50"/>
      <c r="J66" s="50"/>
      <c r="K66" s="50"/>
      <c r="L66" s="50"/>
      <c r="M66" s="50"/>
      <c r="N66" s="50"/>
      <c r="O66" s="50"/>
      <c r="P66" s="50"/>
    </row>
    <row r="67" spans="1:16">
      <c r="A67" s="50"/>
      <c r="B67" s="50"/>
      <c r="C67" s="50"/>
      <c r="D67" s="50"/>
      <c r="E67" s="50"/>
      <c r="F67" s="50"/>
      <c r="G67" s="50"/>
      <c r="H67" s="50"/>
      <c r="I67" s="50"/>
      <c r="J67" s="50"/>
      <c r="K67" s="50"/>
      <c r="L67" s="50"/>
      <c r="M67" s="50"/>
      <c r="N67" s="50"/>
      <c r="O67" s="50"/>
      <c r="P67" s="50"/>
    </row>
    <row r="68" spans="1:16">
      <c r="A68" s="50"/>
      <c r="B68" s="50"/>
      <c r="C68" s="50"/>
      <c r="D68" s="50"/>
      <c r="E68" s="50"/>
      <c r="F68" s="50"/>
      <c r="G68" s="50"/>
      <c r="H68" s="50"/>
      <c r="I68" s="50"/>
      <c r="J68" s="50"/>
      <c r="K68" s="50"/>
      <c r="L68" s="50"/>
      <c r="M68" s="50"/>
      <c r="N68" s="50"/>
      <c r="O68" s="50"/>
      <c r="P68" s="50"/>
    </row>
    <row r="69" spans="1:16">
      <c r="A69" s="50"/>
      <c r="B69" s="50"/>
      <c r="C69" s="50"/>
      <c r="D69" s="50"/>
      <c r="E69" s="50"/>
      <c r="F69" s="50"/>
      <c r="G69" s="50"/>
      <c r="H69" s="50"/>
      <c r="I69" s="50"/>
      <c r="J69" s="50"/>
      <c r="K69" s="50"/>
      <c r="L69" s="50"/>
      <c r="M69" s="50"/>
      <c r="N69" s="50"/>
      <c r="O69" s="50"/>
      <c r="P69" s="50"/>
    </row>
    <row r="70" spans="1:16">
      <c r="A70" s="50"/>
      <c r="B70" s="50"/>
      <c r="C70" s="50"/>
      <c r="D70" s="50"/>
      <c r="E70" s="50"/>
      <c r="F70" s="50"/>
      <c r="G70" s="50"/>
      <c r="H70" s="50"/>
      <c r="I70" s="50"/>
      <c r="J70" s="50"/>
      <c r="K70" s="50"/>
      <c r="L70" s="50"/>
      <c r="M70" s="50"/>
      <c r="N70" s="50"/>
      <c r="O70" s="50"/>
      <c r="P70" s="50"/>
    </row>
    <row r="71" spans="1:16">
      <c r="A71" s="50"/>
      <c r="B71" s="50"/>
      <c r="C71" s="50"/>
      <c r="D71" s="50"/>
      <c r="E71" s="50"/>
      <c r="F71" s="50"/>
      <c r="G71" s="50"/>
      <c r="H71" s="50"/>
      <c r="I71" s="50"/>
      <c r="J71" s="50"/>
      <c r="K71" s="50"/>
      <c r="L71" s="50"/>
      <c r="M71" s="50"/>
      <c r="N71" s="50"/>
      <c r="O71" s="50"/>
      <c r="P71" s="50"/>
    </row>
    <row r="72" spans="1:16">
      <c r="A72" s="50"/>
      <c r="B72" s="50"/>
      <c r="C72" s="50"/>
      <c r="D72" s="50"/>
      <c r="E72" s="50"/>
      <c r="F72" s="50"/>
      <c r="G72" s="50"/>
      <c r="H72" s="50"/>
      <c r="I72" s="50"/>
      <c r="J72" s="50"/>
      <c r="K72" s="50"/>
      <c r="L72" s="50"/>
      <c r="M72" s="50"/>
      <c r="N72" s="50"/>
      <c r="O72" s="50"/>
      <c r="P72" s="50"/>
    </row>
    <row r="73" spans="1:16" ht="21">
      <c r="A73" s="50"/>
      <c r="B73" s="559" t="s">
        <v>380</v>
      </c>
      <c r="C73" s="50"/>
      <c r="D73" s="50"/>
      <c r="E73" s="50"/>
      <c r="F73" s="50"/>
      <c r="G73" s="50"/>
      <c r="H73" s="50"/>
      <c r="I73" s="559" t="s">
        <v>381</v>
      </c>
      <c r="J73" s="50"/>
      <c r="K73" s="50"/>
      <c r="L73" s="50"/>
      <c r="M73" s="50"/>
      <c r="N73" s="50"/>
      <c r="O73" s="50"/>
      <c r="P73" s="50"/>
    </row>
    <row r="74" spans="1:16">
      <c r="A74" s="50"/>
      <c r="B74" s="50"/>
      <c r="C74" s="50"/>
      <c r="D74" s="50"/>
      <c r="E74" s="50"/>
      <c r="F74" s="50"/>
      <c r="G74" s="50"/>
      <c r="H74" s="50"/>
      <c r="I74" s="50"/>
      <c r="J74" s="50"/>
      <c r="K74" s="50"/>
      <c r="L74" s="50"/>
      <c r="M74" s="50"/>
      <c r="N74" s="50"/>
      <c r="O74" s="50"/>
      <c r="P74" s="50"/>
    </row>
    <row r="75" spans="1:16">
      <c r="A75" s="50"/>
      <c r="B75" s="50"/>
      <c r="C75" s="50"/>
      <c r="D75" s="50"/>
      <c r="E75" s="50"/>
      <c r="F75" s="50"/>
      <c r="G75" s="50"/>
      <c r="H75" s="50"/>
      <c r="I75" s="50"/>
      <c r="J75" s="50"/>
      <c r="K75" s="50"/>
      <c r="L75" s="50"/>
      <c r="M75" s="50"/>
      <c r="N75" s="50"/>
      <c r="O75" s="50"/>
      <c r="P75" s="50"/>
    </row>
    <row r="76" spans="1:16">
      <c r="A76" s="50"/>
      <c r="B76" s="50"/>
      <c r="C76" s="50"/>
      <c r="D76" s="50"/>
      <c r="E76" s="50"/>
      <c r="F76" s="50"/>
      <c r="G76" s="50"/>
      <c r="H76" s="50"/>
      <c r="I76" s="50"/>
      <c r="J76" s="50"/>
      <c r="K76" s="50"/>
      <c r="L76" s="50"/>
      <c r="M76" s="50"/>
      <c r="N76" s="50"/>
      <c r="O76" s="50"/>
      <c r="P76" s="50"/>
    </row>
    <row r="77" spans="1:16">
      <c r="A77" s="50"/>
      <c r="B77" s="50"/>
      <c r="C77" s="50"/>
      <c r="D77" s="50"/>
      <c r="E77" s="50"/>
      <c r="F77" s="50"/>
      <c r="G77" s="50"/>
      <c r="H77" s="50"/>
      <c r="I77" s="50"/>
      <c r="J77" s="50"/>
      <c r="K77" s="50"/>
      <c r="L77" s="50"/>
      <c r="M77" s="50"/>
      <c r="N77" s="50"/>
      <c r="O77" s="50"/>
      <c r="P77" s="50"/>
    </row>
    <row r="78" spans="1:16">
      <c r="A78" s="50"/>
      <c r="B78" s="50"/>
      <c r="C78" s="50"/>
      <c r="D78" s="50"/>
      <c r="E78" s="50"/>
      <c r="F78" s="50"/>
      <c r="G78" s="50"/>
      <c r="H78" s="50"/>
      <c r="I78" s="50"/>
      <c r="J78" s="50"/>
      <c r="K78" s="50"/>
      <c r="L78" s="50"/>
      <c r="M78" s="50"/>
      <c r="N78" s="50"/>
      <c r="O78" s="50"/>
      <c r="P78" s="50"/>
    </row>
    <row r="79" spans="1:16">
      <c r="A79" s="50"/>
      <c r="B79" s="50"/>
      <c r="C79" s="50"/>
      <c r="D79" s="50"/>
      <c r="E79" s="50"/>
      <c r="F79" s="50"/>
      <c r="G79" s="50"/>
      <c r="H79" s="50"/>
      <c r="I79" s="50"/>
      <c r="J79" s="50"/>
      <c r="K79" s="50"/>
      <c r="L79" s="50"/>
      <c r="M79" s="50"/>
      <c r="N79" s="50"/>
      <c r="O79" s="50"/>
      <c r="P79" s="50"/>
    </row>
    <row r="80" spans="1:16">
      <c r="A80" s="50"/>
      <c r="B80" s="50"/>
      <c r="C80" s="50"/>
      <c r="D80" s="50"/>
      <c r="E80" s="50"/>
      <c r="F80" s="50"/>
      <c r="G80" s="50"/>
      <c r="H80" s="50"/>
      <c r="I80" s="50"/>
      <c r="J80" s="50"/>
      <c r="K80" s="50"/>
      <c r="L80" s="50"/>
      <c r="M80" s="50"/>
      <c r="N80" s="50"/>
      <c r="O80" s="50"/>
      <c r="P80" s="50"/>
    </row>
    <row r="81" spans="1:16">
      <c r="A81" s="50"/>
      <c r="B81" s="50"/>
      <c r="C81" s="50"/>
      <c r="D81" s="50"/>
      <c r="E81" s="50"/>
      <c r="F81" s="50"/>
      <c r="G81" s="50"/>
      <c r="H81" s="50"/>
      <c r="I81" s="50"/>
      <c r="J81" s="50"/>
      <c r="K81" s="50"/>
      <c r="L81" s="50"/>
      <c r="M81" s="50"/>
      <c r="N81" s="50"/>
      <c r="O81" s="50"/>
      <c r="P81" s="50"/>
    </row>
    <row r="82" spans="1:16">
      <c r="A82" s="50"/>
      <c r="B82" s="50"/>
      <c r="C82" s="50"/>
      <c r="D82" s="50"/>
      <c r="E82" s="50"/>
      <c r="F82" s="50"/>
      <c r="G82" s="50"/>
      <c r="H82" s="50"/>
      <c r="I82" s="50"/>
      <c r="J82" s="50"/>
      <c r="K82" s="50"/>
      <c r="L82" s="50"/>
      <c r="M82" s="50"/>
      <c r="N82" s="50"/>
      <c r="O82" s="50"/>
      <c r="P82" s="50"/>
    </row>
    <row r="83" spans="1:16">
      <c r="A83" s="50"/>
      <c r="B83" s="50"/>
      <c r="C83" s="50"/>
      <c r="D83" s="50"/>
      <c r="E83" s="50"/>
      <c r="F83" s="50"/>
      <c r="G83" s="50"/>
      <c r="H83" s="50"/>
      <c r="I83" s="50"/>
      <c r="J83" s="50"/>
      <c r="K83" s="50"/>
      <c r="L83" s="50"/>
      <c r="M83" s="50"/>
      <c r="N83" s="50"/>
      <c r="O83" s="50"/>
      <c r="P83" s="50"/>
    </row>
    <row r="84" spans="1:16">
      <c r="A84" s="50"/>
      <c r="B84" s="50"/>
      <c r="C84" s="50"/>
      <c r="D84" s="50"/>
      <c r="E84" s="50"/>
      <c r="F84" s="50"/>
      <c r="G84" s="50"/>
      <c r="H84" s="50"/>
      <c r="I84" s="50"/>
      <c r="J84" s="50"/>
      <c r="K84" s="50"/>
      <c r="L84" s="50"/>
      <c r="M84" s="50"/>
      <c r="N84" s="50"/>
      <c r="O84" s="50"/>
      <c r="P84" s="50"/>
    </row>
    <row r="85" spans="1:16">
      <c r="A85" s="50"/>
      <c r="B85" s="50"/>
      <c r="C85" s="50"/>
      <c r="D85" s="50"/>
      <c r="E85" s="50"/>
      <c r="F85" s="50"/>
      <c r="G85" s="50"/>
      <c r="H85" s="50"/>
      <c r="I85" s="50"/>
      <c r="J85" s="50"/>
      <c r="K85" s="50"/>
      <c r="L85" s="50"/>
      <c r="M85" s="50"/>
      <c r="N85" s="50"/>
      <c r="O85" s="50"/>
      <c r="P85" s="50"/>
    </row>
    <row r="86" spans="1:16">
      <c r="A86" s="50"/>
      <c r="B86" s="50"/>
      <c r="C86" s="50"/>
      <c r="D86" s="50"/>
      <c r="E86" s="50"/>
      <c r="F86" s="50"/>
      <c r="G86" s="50"/>
      <c r="H86" s="50"/>
      <c r="I86" s="50"/>
      <c r="J86" s="50"/>
      <c r="K86" s="50"/>
      <c r="L86" s="50"/>
      <c r="M86" s="50"/>
      <c r="N86" s="50"/>
      <c r="O86" s="50"/>
      <c r="P86" s="50"/>
    </row>
    <row r="87" spans="1:16">
      <c r="A87" s="50"/>
      <c r="B87" s="50"/>
      <c r="C87" s="50"/>
      <c r="D87" s="50"/>
      <c r="E87" s="50"/>
      <c r="F87" s="50"/>
      <c r="G87" s="50"/>
      <c r="H87" s="50"/>
      <c r="I87" s="50"/>
      <c r="J87" s="50"/>
      <c r="K87" s="50"/>
      <c r="L87" s="50"/>
      <c r="M87" s="50"/>
      <c r="N87" s="50"/>
      <c r="O87" s="50"/>
      <c r="P87" s="50"/>
    </row>
    <row r="88" spans="1:16">
      <c r="A88" s="50"/>
      <c r="B88" s="50"/>
      <c r="C88" s="50"/>
      <c r="D88" s="50"/>
      <c r="E88" s="50"/>
      <c r="F88" s="50"/>
      <c r="G88" s="50"/>
      <c r="H88" s="50"/>
      <c r="I88" s="50"/>
      <c r="J88" s="50"/>
      <c r="K88" s="50"/>
      <c r="L88" s="50"/>
      <c r="M88" s="50"/>
      <c r="N88" s="50"/>
      <c r="O88" s="50"/>
      <c r="P88" s="50"/>
    </row>
    <row r="89" spans="1:16">
      <c r="A89" s="50"/>
      <c r="B89" s="50"/>
      <c r="C89" s="50"/>
      <c r="D89" s="50"/>
      <c r="E89" s="50"/>
      <c r="F89" s="50"/>
      <c r="G89" s="50"/>
      <c r="H89" s="50"/>
      <c r="I89" s="50"/>
      <c r="J89" s="50"/>
      <c r="K89" s="50"/>
      <c r="L89" s="50"/>
      <c r="M89" s="50"/>
      <c r="N89" s="50"/>
      <c r="O89" s="50"/>
      <c r="P89" s="50"/>
    </row>
    <row r="90" spans="1:16">
      <c r="A90" s="50"/>
      <c r="B90" s="50"/>
      <c r="C90" s="50"/>
      <c r="D90" s="50"/>
      <c r="E90" s="50"/>
      <c r="F90" s="50"/>
      <c r="G90" s="50"/>
      <c r="H90" s="50"/>
      <c r="I90" s="50"/>
      <c r="J90" s="50"/>
      <c r="K90" s="50"/>
      <c r="L90" s="50"/>
      <c r="M90" s="50"/>
      <c r="N90" s="50"/>
      <c r="O90" s="50"/>
      <c r="P90" s="50"/>
    </row>
    <row r="91" spans="1:16">
      <c r="A91" s="50"/>
      <c r="B91" s="50"/>
      <c r="C91" s="50"/>
      <c r="D91" s="50"/>
      <c r="E91" s="50"/>
      <c r="F91" s="50"/>
      <c r="G91" s="50"/>
      <c r="H91" s="50"/>
      <c r="I91" s="50"/>
      <c r="J91" s="50"/>
      <c r="K91" s="50"/>
      <c r="L91" s="50"/>
      <c r="M91" s="50"/>
      <c r="N91" s="50"/>
      <c r="O91" s="50"/>
      <c r="P91" s="50"/>
    </row>
    <row r="92" spans="1:16">
      <c r="A92" s="50"/>
      <c r="B92" s="50"/>
      <c r="C92" s="50"/>
      <c r="D92" s="50"/>
      <c r="E92" s="50"/>
      <c r="F92" s="50"/>
      <c r="G92" s="50"/>
      <c r="H92" s="50"/>
      <c r="I92" s="50"/>
      <c r="J92" s="50"/>
      <c r="K92" s="50"/>
      <c r="L92" s="50"/>
      <c r="M92" s="50"/>
      <c r="N92" s="50"/>
      <c r="O92" s="50"/>
      <c r="P92" s="50"/>
    </row>
    <row r="93" spans="1:16">
      <c r="A93" s="50"/>
      <c r="B93" s="50"/>
      <c r="C93" s="50"/>
      <c r="D93" s="50"/>
      <c r="E93" s="50"/>
      <c r="F93" s="50"/>
      <c r="G93" s="50"/>
      <c r="H93" s="50"/>
      <c r="I93" s="50"/>
      <c r="J93" s="50"/>
      <c r="K93" s="50"/>
      <c r="L93" s="50"/>
      <c r="M93" s="50"/>
      <c r="N93" s="50"/>
      <c r="O93" s="50"/>
      <c r="P93" s="50"/>
    </row>
    <row r="94" spans="1:16">
      <c r="A94" s="50"/>
      <c r="B94" s="50"/>
      <c r="C94" s="50"/>
      <c r="D94" s="50"/>
      <c r="E94" s="50"/>
      <c r="F94" s="50"/>
      <c r="G94" s="50"/>
      <c r="H94" s="50"/>
      <c r="I94" s="50"/>
      <c r="J94" s="50"/>
      <c r="K94" s="50"/>
      <c r="L94" s="50"/>
      <c r="M94" s="50"/>
      <c r="N94" s="50"/>
      <c r="O94" s="50"/>
      <c r="P94" s="50"/>
    </row>
    <row r="95" spans="1:16" ht="21">
      <c r="A95" s="50"/>
      <c r="B95" s="559" t="s">
        <v>375</v>
      </c>
      <c r="C95" s="50"/>
      <c r="D95" s="50"/>
      <c r="E95" s="50"/>
      <c r="F95" s="50"/>
      <c r="G95" s="50"/>
      <c r="H95" s="50"/>
      <c r="I95" s="559" t="s">
        <v>375</v>
      </c>
      <c r="J95" s="50"/>
      <c r="K95" s="50"/>
      <c r="L95" s="50"/>
      <c r="M95" s="50"/>
      <c r="N95" s="50"/>
      <c r="O95" s="50"/>
      <c r="P95" s="50"/>
    </row>
    <row r="96" spans="1:16">
      <c r="A96" s="50"/>
      <c r="B96" s="50"/>
      <c r="C96" s="50"/>
      <c r="D96" s="50"/>
      <c r="E96" s="50"/>
      <c r="F96" s="50"/>
      <c r="G96" s="50"/>
      <c r="H96" s="50"/>
      <c r="I96" s="50"/>
      <c r="J96" s="50"/>
      <c r="K96" s="50"/>
      <c r="L96" s="50"/>
      <c r="M96" s="50"/>
      <c r="N96" s="50"/>
      <c r="O96" s="50"/>
      <c r="P96" s="50"/>
    </row>
    <row r="97" spans="1:20">
      <c r="A97" s="50"/>
      <c r="B97" s="50"/>
      <c r="C97" s="50"/>
      <c r="D97" s="50"/>
      <c r="E97" s="50"/>
      <c r="F97" s="50"/>
      <c r="G97" s="50"/>
      <c r="H97" s="50"/>
      <c r="I97" s="50"/>
      <c r="J97" s="50"/>
      <c r="K97" s="50"/>
      <c r="L97" s="50"/>
      <c r="M97" s="50"/>
      <c r="N97" s="50"/>
      <c r="O97" s="50"/>
      <c r="P97" s="50"/>
    </row>
    <row r="98" spans="1:20">
      <c r="A98" s="50"/>
      <c r="B98" s="50"/>
      <c r="C98" s="50"/>
      <c r="D98" s="50"/>
      <c r="E98" s="50"/>
      <c r="F98" s="50"/>
      <c r="G98" s="50"/>
      <c r="H98" s="50"/>
      <c r="I98" s="50"/>
      <c r="J98" s="50"/>
      <c r="K98" s="50"/>
      <c r="L98" s="50"/>
      <c r="M98" s="50"/>
      <c r="N98" s="50"/>
      <c r="O98" s="50"/>
      <c r="P98" s="50"/>
    </row>
    <row r="99" spans="1:20">
      <c r="A99" s="50"/>
      <c r="B99" s="50"/>
      <c r="C99" s="50"/>
      <c r="D99" s="50"/>
      <c r="E99" s="50"/>
      <c r="F99" s="50"/>
      <c r="G99" s="50"/>
      <c r="H99" s="50"/>
      <c r="I99" s="50"/>
      <c r="J99" s="50"/>
      <c r="K99" s="50"/>
      <c r="L99" s="50"/>
      <c r="M99" s="50"/>
      <c r="N99" s="50"/>
      <c r="O99" s="50"/>
      <c r="P99" s="50"/>
    </row>
    <row r="100" spans="1:20">
      <c r="A100" s="50"/>
      <c r="B100" s="50"/>
      <c r="C100" s="50"/>
      <c r="D100" s="50"/>
      <c r="E100" s="50"/>
      <c r="F100" s="50"/>
      <c r="G100" s="50"/>
      <c r="H100" s="50"/>
      <c r="I100" s="50"/>
      <c r="J100" s="50"/>
      <c r="K100" s="50"/>
      <c r="L100" s="50"/>
      <c r="M100" s="50"/>
      <c r="N100" s="50"/>
      <c r="O100" s="50"/>
      <c r="P100" s="50"/>
      <c r="T100" s="273"/>
    </row>
    <row r="101" spans="1:20">
      <c r="A101" s="50"/>
      <c r="B101" s="50"/>
      <c r="C101" s="50"/>
      <c r="D101" s="50"/>
      <c r="E101" s="50"/>
      <c r="F101" s="50"/>
      <c r="G101" s="50"/>
      <c r="H101" s="50"/>
      <c r="I101" s="50"/>
      <c r="J101" s="50"/>
      <c r="K101" s="50"/>
      <c r="L101" s="50"/>
      <c r="M101" s="50"/>
      <c r="N101" s="50"/>
      <c r="O101" s="50"/>
      <c r="P101" s="50"/>
      <c r="T101" s="273"/>
    </row>
    <row r="102" spans="1:20">
      <c r="A102" s="50"/>
      <c r="B102" s="50"/>
      <c r="C102" s="50"/>
      <c r="D102" s="50"/>
      <c r="E102" s="50"/>
      <c r="F102" s="50"/>
      <c r="G102" s="50"/>
      <c r="H102" s="50"/>
      <c r="I102" s="50"/>
      <c r="J102" s="50"/>
      <c r="K102" s="50"/>
      <c r="L102" s="50"/>
      <c r="M102" s="50"/>
      <c r="N102" s="50"/>
      <c r="O102" s="50"/>
      <c r="P102" s="50"/>
    </row>
    <row r="103" spans="1:20">
      <c r="A103" s="50"/>
      <c r="B103" s="50"/>
      <c r="C103" s="50"/>
      <c r="D103" s="50"/>
      <c r="E103" s="50"/>
      <c r="F103" s="50"/>
      <c r="G103" s="50"/>
      <c r="H103" s="50"/>
      <c r="I103" s="50"/>
      <c r="J103" s="50"/>
      <c r="K103" s="50"/>
      <c r="L103" s="50"/>
      <c r="M103" s="50"/>
      <c r="N103" s="50"/>
      <c r="O103" s="50"/>
      <c r="P103" s="50"/>
    </row>
    <row r="104" spans="1:20">
      <c r="A104" s="50"/>
      <c r="B104" s="50"/>
      <c r="C104" s="50"/>
      <c r="D104" s="50"/>
      <c r="E104" s="50"/>
      <c r="F104" s="50"/>
      <c r="G104" s="50"/>
      <c r="H104" s="50"/>
      <c r="I104" s="50"/>
      <c r="J104" s="50"/>
      <c r="K104" s="50"/>
      <c r="L104" s="50"/>
      <c r="M104" s="50"/>
      <c r="N104" s="50"/>
      <c r="O104" s="50"/>
      <c r="P104" s="50"/>
    </row>
    <row r="105" spans="1:20">
      <c r="A105" s="50"/>
      <c r="B105" s="50"/>
      <c r="C105" s="50"/>
      <c r="D105" s="50"/>
      <c r="E105" s="50"/>
      <c r="F105" s="50"/>
      <c r="G105" s="50"/>
      <c r="H105" s="50"/>
      <c r="I105" s="50"/>
      <c r="J105" s="50"/>
      <c r="K105" s="50"/>
      <c r="L105" s="50"/>
      <c r="M105" s="50"/>
      <c r="N105" s="50"/>
      <c r="O105" s="50"/>
      <c r="P105" s="50"/>
    </row>
    <row r="106" spans="1:20">
      <c r="A106" s="50"/>
      <c r="B106" s="50"/>
      <c r="C106" s="50"/>
      <c r="D106" s="50"/>
      <c r="E106" s="50"/>
      <c r="F106" s="50"/>
      <c r="G106" s="50"/>
      <c r="H106" s="50"/>
      <c r="I106" s="50"/>
      <c r="J106" s="50"/>
      <c r="K106" s="50"/>
      <c r="L106" s="50"/>
      <c r="M106" s="50"/>
      <c r="N106" s="50"/>
      <c r="O106" s="50"/>
      <c r="P106" s="50"/>
    </row>
    <row r="107" spans="1:20">
      <c r="A107" s="50"/>
      <c r="B107" s="50"/>
      <c r="C107" s="50"/>
      <c r="D107" s="50"/>
      <c r="E107" s="50"/>
      <c r="F107" s="50"/>
      <c r="G107" s="50"/>
      <c r="H107" s="50"/>
      <c r="I107" s="50"/>
      <c r="J107" s="50"/>
      <c r="K107" s="50"/>
      <c r="L107" s="50"/>
      <c r="M107" s="50"/>
      <c r="N107" s="50"/>
      <c r="O107" s="50"/>
      <c r="P107" s="50"/>
    </row>
    <row r="108" spans="1:20">
      <c r="A108" s="50"/>
      <c r="B108" s="50"/>
      <c r="C108" s="50"/>
      <c r="D108" s="50"/>
      <c r="E108" s="50"/>
      <c r="F108" s="50"/>
      <c r="G108" s="50"/>
      <c r="H108" s="50"/>
      <c r="I108" s="50"/>
      <c r="J108" s="50"/>
      <c r="K108" s="50"/>
      <c r="L108" s="50"/>
      <c r="M108" s="50"/>
      <c r="N108" s="50"/>
      <c r="O108" s="50"/>
      <c r="P108" s="50"/>
    </row>
    <row r="109" spans="1:20">
      <c r="A109" s="50"/>
      <c r="B109" s="50"/>
      <c r="C109" s="50"/>
      <c r="D109" s="50"/>
      <c r="E109" s="50"/>
      <c r="F109" s="50"/>
      <c r="G109" s="50"/>
      <c r="H109" s="50"/>
      <c r="I109" s="50"/>
      <c r="J109" s="50"/>
      <c r="K109" s="50"/>
      <c r="L109" s="50"/>
      <c r="M109" s="50"/>
      <c r="N109" s="50"/>
      <c r="O109" s="50"/>
      <c r="P109" s="50"/>
    </row>
    <row r="110" spans="1:20">
      <c r="A110" s="50"/>
      <c r="B110" s="50"/>
      <c r="C110" s="50"/>
      <c r="D110" s="50"/>
      <c r="E110" s="50"/>
      <c r="F110" s="50"/>
      <c r="G110" s="50"/>
      <c r="H110" s="50"/>
      <c r="I110" s="50"/>
      <c r="J110" s="50"/>
      <c r="K110" s="50"/>
      <c r="L110" s="50"/>
      <c r="M110" s="50"/>
      <c r="N110" s="50"/>
      <c r="O110" s="50"/>
      <c r="P110" s="50"/>
    </row>
    <row r="111" spans="1:20">
      <c r="A111" s="50"/>
      <c r="B111" s="50"/>
      <c r="C111" s="50"/>
      <c r="D111" s="50"/>
      <c r="E111" s="50"/>
      <c r="F111" s="50"/>
      <c r="G111" s="50"/>
      <c r="H111" s="50"/>
      <c r="I111" s="50"/>
      <c r="J111" s="50"/>
      <c r="K111" s="50"/>
      <c r="L111" s="50"/>
      <c r="M111" s="50"/>
      <c r="N111" s="50"/>
      <c r="O111" s="50"/>
      <c r="P111" s="50"/>
    </row>
    <row r="112" spans="1:20">
      <c r="A112" s="50"/>
      <c r="B112" s="50"/>
      <c r="C112" s="50"/>
      <c r="D112" s="50"/>
      <c r="E112" s="50"/>
      <c r="F112" s="50"/>
      <c r="G112" s="50"/>
      <c r="H112" s="50"/>
      <c r="I112" s="50"/>
      <c r="J112" s="50"/>
      <c r="K112" s="50"/>
      <c r="L112" s="50"/>
      <c r="M112" s="50"/>
      <c r="N112" s="50"/>
      <c r="O112" s="50"/>
      <c r="P112" s="50"/>
    </row>
    <row r="113" spans="1:21">
      <c r="A113" s="50"/>
      <c r="B113" s="50"/>
      <c r="C113" s="50"/>
      <c r="D113" s="50"/>
      <c r="E113" s="50"/>
      <c r="F113" s="50"/>
      <c r="G113" s="50"/>
      <c r="H113" s="50"/>
      <c r="I113" s="50"/>
      <c r="J113" s="50"/>
      <c r="K113" s="50"/>
      <c r="L113" s="50"/>
      <c r="M113" s="50"/>
      <c r="N113" s="50"/>
      <c r="O113" s="50"/>
      <c r="P113" s="50"/>
    </row>
    <row r="114" spans="1:21">
      <c r="A114" s="50"/>
      <c r="B114" s="50"/>
      <c r="C114" s="50"/>
      <c r="D114" s="50"/>
      <c r="E114" s="50"/>
      <c r="F114" s="50"/>
      <c r="G114" s="50"/>
      <c r="H114" s="50"/>
      <c r="I114" s="50"/>
      <c r="J114" s="50"/>
      <c r="K114" s="50"/>
      <c r="L114" s="50"/>
      <c r="M114" s="50"/>
      <c r="N114" s="50"/>
      <c r="O114" s="50"/>
      <c r="P114" s="50"/>
    </row>
    <row r="115" spans="1:21">
      <c r="A115" s="50"/>
      <c r="B115" s="50"/>
      <c r="C115" s="50"/>
      <c r="D115" s="50"/>
      <c r="E115" s="50"/>
      <c r="F115" s="50"/>
      <c r="G115" s="50"/>
      <c r="H115" s="50"/>
      <c r="I115" s="50"/>
      <c r="J115" s="50"/>
      <c r="K115" s="50"/>
      <c r="L115" s="50"/>
      <c r="M115" s="50"/>
      <c r="N115" s="50"/>
      <c r="O115" s="50"/>
      <c r="P115" s="50"/>
    </row>
    <row r="116" spans="1:21">
      <c r="A116" s="50"/>
      <c r="C116" s="50"/>
      <c r="D116" s="50"/>
      <c r="E116" s="50"/>
      <c r="F116" s="50"/>
      <c r="G116" s="50"/>
      <c r="H116" s="50"/>
      <c r="I116" s="50"/>
      <c r="J116" s="50"/>
      <c r="K116" s="50"/>
      <c r="L116" s="50"/>
      <c r="M116" s="50"/>
      <c r="N116" s="50"/>
      <c r="O116" s="50"/>
      <c r="P116" s="50"/>
    </row>
    <row r="117" spans="1:21" ht="21">
      <c r="A117" s="50"/>
      <c r="B117" s="17" t="s">
        <v>83</v>
      </c>
      <c r="C117" s="69"/>
      <c r="D117" s="69"/>
      <c r="E117" s="69"/>
      <c r="F117" s="69"/>
      <c r="G117" s="69"/>
      <c r="H117" s="69"/>
    </row>
    <row r="118" spans="1:21">
      <c r="C118" s="393">
        <v>2016</v>
      </c>
      <c r="D118" s="394">
        <v>2017</v>
      </c>
      <c r="E118" s="394">
        <v>2018</v>
      </c>
      <c r="F118" s="394">
        <v>2019</v>
      </c>
      <c r="G118" s="394">
        <v>2020</v>
      </c>
      <c r="H118" s="394">
        <v>2021</v>
      </c>
      <c r="I118" s="394">
        <v>2022</v>
      </c>
      <c r="J118" s="394">
        <v>2023</v>
      </c>
      <c r="K118" s="394">
        <v>2024</v>
      </c>
      <c r="L118" s="394">
        <v>2025</v>
      </c>
      <c r="M118" s="394">
        <v>2026</v>
      </c>
    </row>
    <row r="119" spans="1:21">
      <c r="B119" s="277" t="s">
        <v>64</v>
      </c>
      <c r="C119" s="395">
        <f>SUM('Products x speed'!E9:E12)</f>
        <v>13567410.105</v>
      </c>
      <c r="D119" s="396">
        <f>SUM('Products x speed'!F9:F12)</f>
        <v>11273695.050000001</v>
      </c>
      <c r="E119" s="396">
        <f>SUM('Products x speed'!G9:G12)</f>
        <v>0</v>
      </c>
      <c r="F119" s="396">
        <f>SUM('Products x speed'!H9:H12)</f>
        <v>0</v>
      </c>
      <c r="G119" s="396">
        <f>SUM('Products x speed'!I9:I12)</f>
        <v>0</v>
      </c>
      <c r="H119" s="396">
        <f>SUM('Products x speed'!J9:J12)</f>
        <v>0</v>
      </c>
      <c r="I119" s="396">
        <f>SUM('Products x speed'!K9:K12)</f>
        <v>0</v>
      </c>
      <c r="J119" s="396">
        <f>SUM('Products x speed'!L9:L12)</f>
        <v>0</v>
      </c>
      <c r="K119" s="396">
        <f>SUM('Products x speed'!M9:M12)</f>
        <v>0</v>
      </c>
      <c r="L119" s="396">
        <f>SUM('Products x speed'!N9:N12)</f>
        <v>0</v>
      </c>
      <c r="M119" s="396">
        <f>SUM('Products x speed'!O9:O12)</f>
        <v>0</v>
      </c>
    </row>
    <row r="120" spans="1:21" ht="15.5">
      <c r="B120" s="279" t="s">
        <v>61</v>
      </c>
      <c r="C120" s="397">
        <f>SUM('Products x speed'!E14:E22)</f>
        <v>18516818.93</v>
      </c>
      <c r="D120" s="398">
        <f>SUM('Products x speed'!F14:F22)</f>
        <v>19945022.100000001</v>
      </c>
      <c r="E120" s="398">
        <f>SUM('Products x speed'!G14:G22)</f>
        <v>0</v>
      </c>
      <c r="F120" s="398">
        <f>SUM('Products x speed'!H14:H22)</f>
        <v>0</v>
      </c>
      <c r="G120" s="398">
        <f>SUM('Products x speed'!I14:I22)</f>
        <v>0</v>
      </c>
      <c r="H120" s="398">
        <f>SUM('Products x speed'!J14:J22)</f>
        <v>0</v>
      </c>
      <c r="I120" s="398">
        <f>SUM('Products x speed'!K14:K22)</f>
        <v>0</v>
      </c>
      <c r="J120" s="398">
        <f>SUM('Products x speed'!L14:L22)</f>
        <v>0</v>
      </c>
      <c r="K120" s="398">
        <f>SUM('Products x speed'!M14:M22)</f>
        <v>0</v>
      </c>
      <c r="L120" s="398">
        <f>SUM('Products x speed'!N14:N22)</f>
        <v>0</v>
      </c>
      <c r="M120" s="398">
        <f>SUM('Products x speed'!O14:O22)</f>
        <v>0</v>
      </c>
      <c r="T120" s="574"/>
    </row>
    <row r="121" spans="1:21" ht="15.5">
      <c r="B121" s="279" t="s">
        <v>76</v>
      </c>
      <c r="C121" s="397">
        <f>SUM('Products x speed'!E24:E26)</f>
        <v>11694</v>
      </c>
      <c r="D121" s="398">
        <f>SUM('Products x speed'!F24:F26)</f>
        <v>113327</v>
      </c>
      <c r="E121" s="398">
        <f>SUM('Products x speed'!G24:G26)</f>
        <v>0</v>
      </c>
      <c r="F121" s="398">
        <f>SUM('Products x speed'!H24:H26)</f>
        <v>0</v>
      </c>
      <c r="G121" s="398">
        <f>SUM('Products x speed'!I24:I26)</f>
        <v>0</v>
      </c>
      <c r="H121" s="398">
        <f>SUM('Products x speed'!J24:J26)</f>
        <v>0</v>
      </c>
      <c r="I121" s="398">
        <f>SUM('Products x speed'!K24:K26)</f>
        <v>0</v>
      </c>
      <c r="J121" s="398">
        <f>SUM('Products x speed'!L24:L26)</f>
        <v>0</v>
      </c>
      <c r="K121" s="398">
        <f>SUM('Products x speed'!M24:M26)</f>
        <v>0</v>
      </c>
      <c r="L121" s="398">
        <f>SUM('Products x speed'!N24:N26)</f>
        <v>0</v>
      </c>
      <c r="M121" s="398">
        <f>SUM('Products x speed'!O24:O26)</f>
        <v>0</v>
      </c>
      <c r="T121" s="575"/>
    </row>
    <row r="122" spans="1:21" ht="15.5">
      <c r="B122" s="279" t="s">
        <v>63</v>
      </c>
      <c r="C122" s="397">
        <f>SUM('Products x speed'!E27:E35)</f>
        <v>3153068</v>
      </c>
      <c r="D122" s="398">
        <f>SUM('Products x speed'!F27:F35)</f>
        <v>3864160</v>
      </c>
      <c r="E122" s="398">
        <f>SUM('Products x speed'!G27:G35)</f>
        <v>0</v>
      </c>
      <c r="F122" s="398">
        <f>SUM('Products x speed'!H27:H35)</f>
        <v>0</v>
      </c>
      <c r="G122" s="398">
        <f>SUM('Products x speed'!I27:I35)</f>
        <v>0</v>
      </c>
      <c r="H122" s="398">
        <f>SUM('Products x speed'!J27:J35)</f>
        <v>0</v>
      </c>
      <c r="I122" s="398">
        <f>SUM('Products x speed'!K27:K35)</f>
        <v>0</v>
      </c>
      <c r="J122" s="398">
        <f>SUM('Products x speed'!L27:L35)</f>
        <v>0</v>
      </c>
      <c r="K122" s="398">
        <f>SUM('Products x speed'!M27:M35)</f>
        <v>0</v>
      </c>
      <c r="L122" s="398">
        <f>SUM('Products x speed'!N27:N35)</f>
        <v>0</v>
      </c>
      <c r="M122" s="398">
        <f>SUM('Products x speed'!O27:O35)</f>
        <v>0</v>
      </c>
      <c r="T122" s="575"/>
    </row>
    <row r="123" spans="1:21">
      <c r="B123" s="279" t="s">
        <v>138</v>
      </c>
      <c r="C123" s="397"/>
      <c r="D123" s="398"/>
      <c r="E123" s="398">
        <f>SUM('Products x speed'!G36:G38)</f>
        <v>0</v>
      </c>
      <c r="F123" s="398">
        <f>SUM('Products x speed'!H36:H38)</f>
        <v>0</v>
      </c>
      <c r="G123" s="398">
        <f>SUM('Products x speed'!I36:I38)</f>
        <v>0</v>
      </c>
      <c r="H123" s="398">
        <f>SUM('Products x speed'!J36:J38)</f>
        <v>0</v>
      </c>
      <c r="I123" s="398">
        <f>SUM('Products x speed'!K36:K38)</f>
        <v>0</v>
      </c>
      <c r="J123" s="398">
        <f>SUM('Products x speed'!L36:L38)</f>
        <v>0</v>
      </c>
      <c r="K123" s="398">
        <f>SUM('Products x speed'!M36:M38)</f>
        <v>0</v>
      </c>
      <c r="L123" s="398">
        <f>SUM('Products x speed'!N36:N38)</f>
        <v>0</v>
      </c>
      <c r="M123" s="398">
        <f>SUM('Products x speed'!O36:O38)</f>
        <v>0</v>
      </c>
    </row>
    <row r="124" spans="1:21">
      <c r="B124" s="279" t="s">
        <v>62</v>
      </c>
      <c r="C124" s="397">
        <f>SUM('Products x speed'!E39:E57)</f>
        <v>919370</v>
      </c>
      <c r="D124" s="398">
        <f>SUM('Products x speed'!F39:F57)</f>
        <v>2881490</v>
      </c>
      <c r="E124" s="398">
        <f>SUM('Products x speed'!G39:G57)</f>
        <v>0</v>
      </c>
      <c r="F124" s="398">
        <f>SUM('Products x speed'!H39:H57)</f>
        <v>0</v>
      </c>
      <c r="G124" s="398">
        <f>SUM('Products x speed'!I39:I57)</f>
        <v>0</v>
      </c>
      <c r="H124" s="398">
        <f>SUM('Products x speed'!J39:J57)</f>
        <v>0</v>
      </c>
      <c r="I124" s="398">
        <f>SUM('Products x speed'!K39:K57)</f>
        <v>0</v>
      </c>
      <c r="J124" s="398">
        <f>SUM('Products x speed'!L39:L57)</f>
        <v>0</v>
      </c>
      <c r="K124" s="398">
        <f>SUM('Products x speed'!M39:M57)</f>
        <v>0</v>
      </c>
      <c r="L124" s="398">
        <f>SUM('Products x speed'!N39:N57)</f>
        <v>0</v>
      </c>
      <c r="M124" s="398">
        <f>SUM('Products x speed'!O39:O57)</f>
        <v>0</v>
      </c>
      <c r="U124" s="555"/>
    </row>
    <row r="125" spans="1:21">
      <c r="B125" s="279" t="s">
        <v>139</v>
      </c>
      <c r="C125" s="397"/>
      <c r="D125" s="74"/>
      <c r="E125" s="398">
        <f>'Products x speed'!G58+'Products x speed'!G60</f>
        <v>0</v>
      </c>
      <c r="F125" s="398">
        <f>'Products x speed'!H58+'Products x speed'!H60</f>
        <v>0</v>
      </c>
      <c r="G125" s="398">
        <f>'Products x speed'!I58+'Products x speed'!I60</f>
        <v>0</v>
      </c>
      <c r="H125" s="398">
        <f>'Products x speed'!J58+'Products x speed'!J60</f>
        <v>0</v>
      </c>
      <c r="I125" s="398">
        <f>'Products x speed'!K58+'Products x speed'!K60</f>
        <v>0</v>
      </c>
      <c r="J125" s="398">
        <f>'Products x speed'!L58+'Products x speed'!L60</f>
        <v>0</v>
      </c>
      <c r="K125" s="398">
        <f>'Products x speed'!M58+'Products x speed'!M60</f>
        <v>0</v>
      </c>
      <c r="L125" s="398">
        <f>'Products x speed'!N58+'Products x speed'!N60</f>
        <v>0</v>
      </c>
      <c r="M125" s="398">
        <f>'Products x speed'!O58+'Products x speed'!O60</f>
        <v>0</v>
      </c>
    </row>
    <row r="126" spans="1:21">
      <c r="B126" s="279" t="s">
        <v>128</v>
      </c>
      <c r="C126" s="397"/>
      <c r="D126" s="166">
        <f>SUM('Products x speed'!F61:F65)+'Products x speed'!F59</f>
        <v>89</v>
      </c>
      <c r="E126" s="166">
        <f>SUM('Products x speed'!G61:G65)+'Products x speed'!G59</f>
        <v>0</v>
      </c>
      <c r="F126" s="166">
        <f>SUM('Products x speed'!H61:H65)+'Products x speed'!H59</f>
        <v>0</v>
      </c>
      <c r="G126" s="166">
        <f>SUM('Products x speed'!I61:I65)+'Products x speed'!I59</f>
        <v>0</v>
      </c>
      <c r="H126" s="166">
        <f>SUM('Products x speed'!J61:J65)+'Products x speed'!J59</f>
        <v>0</v>
      </c>
      <c r="I126" s="166">
        <f>SUM('Products x speed'!K61:K65)+'Products x speed'!K59</f>
        <v>0</v>
      </c>
      <c r="J126" s="166">
        <f>SUM('Products x speed'!L61:L65)+'Products x speed'!L59</f>
        <v>0</v>
      </c>
      <c r="K126" s="166">
        <f>SUM('Products x speed'!M61:M65)+'Products x speed'!M59</f>
        <v>0</v>
      </c>
      <c r="L126" s="166">
        <f>SUM('Products x speed'!N61:N65)+'Products x speed'!N59</f>
        <v>0</v>
      </c>
      <c r="M126" s="166">
        <f>SUM('Products x speed'!O61:O65)+'Products x speed'!O59</f>
        <v>0</v>
      </c>
    </row>
    <row r="127" spans="1:21">
      <c r="B127" s="279" t="s">
        <v>398</v>
      </c>
      <c r="C127" s="397"/>
      <c r="D127" s="398"/>
      <c r="E127" s="398"/>
      <c r="F127" s="398">
        <f>SUM('Products x speed'!H66:H69)</f>
        <v>0</v>
      </c>
      <c r="G127" s="398">
        <f>SUM('Products x speed'!I66:I69)</f>
        <v>0</v>
      </c>
      <c r="H127" s="398">
        <f>SUM('Products x speed'!J66:J69)</f>
        <v>0</v>
      </c>
      <c r="I127" s="398">
        <f>SUM('Products x speed'!K66:K69)</f>
        <v>0</v>
      </c>
      <c r="J127" s="398">
        <f>SUM('Products x speed'!L66:L69)</f>
        <v>0</v>
      </c>
      <c r="K127" s="398">
        <f>SUM('Products x speed'!M66:M69)</f>
        <v>0</v>
      </c>
      <c r="L127" s="398">
        <f>SUM('Products x speed'!N66:N69)</f>
        <v>0</v>
      </c>
      <c r="M127" s="398">
        <f>SUM('Products x speed'!O66:O69)</f>
        <v>0</v>
      </c>
    </row>
    <row r="128" spans="1:21">
      <c r="B128" s="383" t="str">
        <f>'Products x speed'!D23</f>
        <v>Legacy/discontinued</v>
      </c>
      <c r="C128" s="399">
        <f>'Products x speed'!E13+'Products x speed'!E23</f>
        <v>265053</v>
      </c>
      <c r="D128" s="391">
        <f>'Products x speed'!F13+'Products x speed'!F23</f>
        <v>24329</v>
      </c>
      <c r="E128" s="391">
        <f>'Products x speed'!G13+'Products x speed'!G23</f>
        <v>0</v>
      </c>
      <c r="F128" s="391">
        <f>'Products x speed'!H13+'Products x speed'!H23</f>
        <v>0</v>
      </c>
      <c r="G128" s="391"/>
      <c r="H128" s="391"/>
      <c r="I128" s="391"/>
      <c r="J128" s="391"/>
      <c r="K128" s="391"/>
      <c r="L128" s="391"/>
      <c r="M128" s="391"/>
    </row>
    <row r="129" spans="1:20">
      <c r="B129" s="275" t="s">
        <v>13</v>
      </c>
      <c r="C129" s="399">
        <f t="shared" ref="C129:K129" si="0">SUM(C119:C128)</f>
        <v>36433414.034999996</v>
      </c>
      <c r="D129" s="391">
        <f t="shared" si="0"/>
        <v>38102112.150000006</v>
      </c>
      <c r="E129" s="391">
        <f t="shared" si="0"/>
        <v>0</v>
      </c>
      <c r="F129" s="391">
        <f t="shared" si="0"/>
        <v>0</v>
      </c>
      <c r="G129" s="391">
        <f t="shared" si="0"/>
        <v>0</v>
      </c>
      <c r="H129" s="391">
        <f t="shared" si="0"/>
        <v>0</v>
      </c>
      <c r="I129" s="391">
        <f t="shared" si="0"/>
        <v>0</v>
      </c>
      <c r="J129" s="391">
        <f t="shared" si="0"/>
        <v>0</v>
      </c>
      <c r="K129" s="391">
        <f t="shared" si="0"/>
        <v>0</v>
      </c>
      <c r="L129" s="391">
        <f t="shared" ref="L129:M129" si="1">SUM(L119:L128)</f>
        <v>0</v>
      </c>
      <c r="M129" s="391">
        <f t="shared" si="1"/>
        <v>0</v>
      </c>
    </row>
    <row r="130" spans="1:20">
      <c r="B130" s="331" t="s">
        <v>91</v>
      </c>
      <c r="C130" s="274"/>
      <c r="D130" s="274">
        <f t="shared" ref="D130:K130" si="2">D129/C129-1</f>
        <v>4.5801310670390727E-2</v>
      </c>
      <c r="E130" s="274">
        <f t="shared" si="2"/>
        <v>-1</v>
      </c>
      <c r="F130" s="274" t="e">
        <f t="shared" si="2"/>
        <v>#DIV/0!</v>
      </c>
      <c r="G130" s="274" t="e">
        <f t="shared" si="2"/>
        <v>#DIV/0!</v>
      </c>
      <c r="H130" s="274" t="e">
        <f t="shared" si="2"/>
        <v>#DIV/0!</v>
      </c>
      <c r="I130" s="274" t="e">
        <f t="shared" si="2"/>
        <v>#DIV/0!</v>
      </c>
      <c r="J130" s="274" t="e">
        <f t="shared" si="2"/>
        <v>#DIV/0!</v>
      </c>
      <c r="K130" s="274" t="e">
        <f t="shared" si="2"/>
        <v>#DIV/0!</v>
      </c>
      <c r="L130" s="274" t="e">
        <f t="shared" ref="L130" si="3">L129/K129-1</f>
        <v>#DIV/0!</v>
      </c>
      <c r="M130" s="274" t="e">
        <f t="shared" ref="M130" si="4">M129/L129-1</f>
        <v>#DIV/0!</v>
      </c>
    </row>
    <row r="131" spans="1:20">
      <c r="B131" s="331" t="s">
        <v>293</v>
      </c>
      <c r="C131" s="274"/>
      <c r="D131" s="274">
        <f t="shared" ref="D131:K131" si="5">SUM(D121:D126)/SUM(C121:C126)-1</f>
        <v>0.67944278000808978</v>
      </c>
      <c r="E131" s="274">
        <f t="shared" si="5"/>
        <v>-1</v>
      </c>
      <c r="F131" s="274" t="e">
        <f t="shared" si="5"/>
        <v>#DIV/0!</v>
      </c>
      <c r="G131" s="274" t="e">
        <f t="shared" si="5"/>
        <v>#DIV/0!</v>
      </c>
      <c r="H131" s="274" t="e">
        <f t="shared" si="5"/>
        <v>#DIV/0!</v>
      </c>
      <c r="I131" s="274" t="e">
        <f t="shared" si="5"/>
        <v>#DIV/0!</v>
      </c>
      <c r="J131" s="274" t="e">
        <f t="shared" si="5"/>
        <v>#DIV/0!</v>
      </c>
      <c r="K131" s="274" t="e">
        <f t="shared" si="5"/>
        <v>#DIV/0!</v>
      </c>
      <c r="L131" s="274" t="e">
        <f t="shared" ref="L131" si="6">SUM(L121:L126)/SUM(K121:K126)-1</f>
        <v>#DIV/0!</v>
      </c>
      <c r="M131" s="274" t="e">
        <f t="shared" ref="M131" si="7">SUM(M121:M126)/SUM(L121:L126)-1</f>
        <v>#DIV/0!</v>
      </c>
    </row>
    <row r="132" spans="1:20">
      <c r="B132" s="331"/>
    </row>
    <row r="133" spans="1:20">
      <c r="C133" s="74"/>
      <c r="D133" s="74"/>
      <c r="E133" s="74"/>
      <c r="F133" s="74"/>
      <c r="G133" s="74"/>
      <c r="H133" s="74"/>
      <c r="I133" s="74"/>
      <c r="J133" s="74"/>
      <c r="K133" s="74"/>
      <c r="L133" s="74"/>
      <c r="M133" s="74"/>
      <c r="N133" s="74"/>
      <c r="O133" s="74"/>
      <c r="P133" s="74"/>
    </row>
    <row r="134" spans="1:20" ht="21">
      <c r="A134" s="50"/>
      <c r="B134" s="17" t="s">
        <v>84</v>
      </c>
      <c r="C134" s="50"/>
      <c r="D134" s="50"/>
    </row>
    <row r="135" spans="1:20">
      <c r="C135" s="393">
        <v>2016</v>
      </c>
      <c r="D135" s="394">
        <v>2017</v>
      </c>
      <c r="E135" s="394">
        <v>2018</v>
      </c>
      <c r="F135" s="394">
        <v>2019</v>
      </c>
      <c r="G135" s="394">
        <v>2020</v>
      </c>
      <c r="H135" s="394">
        <v>2021</v>
      </c>
      <c r="I135" s="394">
        <v>2022</v>
      </c>
      <c r="J135" s="394">
        <v>2023</v>
      </c>
      <c r="K135" s="394">
        <v>2024</v>
      </c>
      <c r="L135" s="394">
        <v>2025</v>
      </c>
      <c r="M135" s="394">
        <v>2026</v>
      </c>
    </row>
    <row r="136" spans="1:20">
      <c r="B136" s="277" t="str">
        <f t="shared" ref="B136:B144" si="8">B119</f>
        <v>1G</v>
      </c>
      <c r="C136" s="400">
        <f>SUM('Products x speed'!E159:E162)</f>
        <v>154.16513112975395</v>
      </c>
      <c r="D136" s="401">
        <f>SUM('Products x speed'!F159:F162)</f>
        <v>110.62740763127242</v>
      </c>
      <c r="E136" s="401">
        <f>SUM('Products x speed'!G159:G162)</f>
        <v>0</v>
      </c>
      <c r="F136" s="401">
        <f>SUM('Products x speed'!H159:H162)</f>
        <v>0</v>
      </c>
      <c r="G136" s="401">
        <f>SUM('Products x speed'!I159:I162)</f>
        <v>0</v>
      </c>
      <c r="H136" s="401">
        <f>SUM('Products x speed'!J159:J162)</f>
        <v>0</v>
      </c>
      <c r="I136" s="401">
        <f>SUM('Products x speed'!K159:K162)</f>
        <v>0</v>
      </c>
      <c r="J136" s="401">
        <f>SUM('Products x speed'!L159:L162)</f>
        <v>0</v>
      </c>
      <c r="K136" s="401">
        <f>SUM('Products x speed'!M159:M162)</f>
        <v>0</v>
      </c>
      <c r="L136" s="401">
        <f>SUM('Products x speed'!N159:N162)</f>
        <v>0</v>
      </c>
      <c r="M136" s="401">
        <f>SUM('Products x speed'!O159:O162)</f>
        <v>0</v>
      </c>
    </row>
    <row r="137" spans="1:20">
      <c r="B137" s="279" t="str">
        <f t="shared" si="8"/>
        <v>10G</v>
      </c>
      <c r="C137" s="402">
        <f>SUM('Products x speed'!E164:E172)</f>
        <v>588.89972784362988</v>
      </c>
      <c r="D137" s="283">
        <f>SUM('Products x speed'!F164:F172)</f>
        <v>486.60483553423245</v>
      </c>
      <c r="E137" s="283">
        <f>SUM('Products x speed'!G164:G172)</f>
        <v>0</v>
      </c>
      <c r="F137" s="283">
        <f>SUM('Products x speed'!H164:H172)</f>
        <v>0</v>
      </c>
      <c r="G137" s="283">
        <f>SUM('Products x speed'!I164:I172)</f>
        <v>0</v>
      </c>
      <c r="H137" s="283">
        <f>SUM('Products x speed'!J164:J172)</f>
        <v>0</v>
      </c>
      <c r="I137" s="283">
        <f>SUM('Products x speed'!K164:K172)</f>
        <v>0</v>
      </c>
      <c r="J137" s="283">
        <f>SUM('Products x speed'!L164:L172)</f>
        <v>0</v>
      </c>
      <c r="K137" s="283">
        <f>SUM('Products x speed'!M164:M172)</f>
        <v>0</v>
      </c>
      <c r="L137" s="283">
        <f>SUM('Products x speed'!N164:N172)</f>
        <v>0</v>
      </c>
      <c r="M137" s="283">
        <f>SUM('Products x speed'!O164:O172)</f>
        <v>0</v>
      </c>
    </row>
    <row r="138" spans="1:20">
      <c r="B138" s="279" t="str">
        <f t="shared" si="8"/>
        <v>25G</v>
      </c>
      <c r="C138" s="285">
        <f>SUM('Products x speed'!E174:E176)</f>
        <v>3.4123060000000001</v>
      </c>
      <c r="D138" s="283">
        <f>SUM('Products x speed'!F174:F176)</f>
        <v>19.187075306914231</v>
      </c>
      <c r="E138" s="283">
        <f>SUM('Products x speed'!G174:G176)</f>
        <v>0</v>
      </c>
      <c r="F138" s="283">
        <f>SUM('Products x speed'!H174:H176)</f>
        <v>0</v>
      </c>
      <c r="G138" s="283">
        <f>SUM('Products x speed'!I174:I176)</f>
        <v>0</v>
      </c>
      <c r="H138" s="283">
        <f>SUM('Products x speed'!J174:J176)</f>
        <v>0</v>
      </c>
      <c r="I138" s="283">
        <f>SUM('Products x speed'!K174:K176)</f>
        <v>0</v>
      </c>
      <c r="J138" s="283">
        <f>SUM('Products x speed'!L174:L176)</f>
        <v>0</v>
      </c>
      <c r="K138" s="283">
        <f>SUM('Products x speed'!M174:M176)</f>
        <v>0</v>
      </c>
      <c r="L138" s="283">
        <f>SUM('Products x speed'!N174:N176)</f>
        <v>0</v>
      </c>
      <c r="M138" s="283">
        <f>SUM('Products x speed'!O174:O176)</f>
        <v>0</v>
      </c>
    </row>
    <row r="139" spans="1:20" ht="15.5">
      <c r="B139" s="279" t="str">
        <f t="shared" si="8"/>
        <v>40G</v>
      </c>
      <c r="C139" s="402">
        <f>SUM('Products x speed'!E177:E185)</f>
        <v>787.93297017215446</v>
      </c>
      <c r="D139" s="283">
        <f>SUM('Products x speed'!F177:F185)</f>
        <v>904.27751564220159</v>
      </c>
      <c r="E139" s="283">
        <f>SUM('Products x speed'!G177:G185)</f>
        <v>0</v>
      </c>
      <c r="F139" s="283">
        <f>SUM('Products x speed'!H177:H185)</f>
        <v>0</v>
      </c>
      <c r="G139" s="283">
        <f>SUM('Products x speed'!I177:I185)</f>
        <v>0</v>
      </c>
      <c r="H139" s="283">
        <f>SUM('Products x speed'!J177:J185)</f>
        <v>0</v>
      </c>
      <c r="I139" s="283">
        <f>SUM('Products x speed'!K177:K185)</f>
        <v>0</v>
      </c>
      <c r="J139" s="283">
        <f>SUM('Products x speed'!L177:L185)</f>
        <v>0</v>
      </c>
      <c r="K139" s="283">
        <f>SUM('Products x speed'!M177:M185)</f>
        <v>0</v>
      </c>
      <c r="L139" s="283">
        <f>SUM('Products x speed'!N177:N185)</f>
        <v>0</v>
      </c>
      <c r="M139" s="283">
        <f>SUM('Products x speed'!O177:O185)</f>
        <v>0</v>
      </c>
      <c r="T139" s="574"/>
    </row>
    <row r="140" spans="1:20" ht="15.5">
      <c r="B140" s="279" t="str">
        <f t="shared" si="8"/>
        <v>50G</v>
      </c>
      <c r="C140" s="402"/>
      <c r="D140" s="283"/>
      <c r="E140" s="283">
        <f>SUM('Products x speed'!G186:G188)</f>
        <v>0</v>
      </c>
      <c r="F140" s="283">
        <f>SUM('Products x speed'!H186:H188)</f>
        <v>0</v>
      </c>
      <c r="G140" s="283">
        <f>SUM('Products x speed'!I186:I188)</f>
        <v>0</v>
      </c>
      <c r="H140" s="283">
        <f>SUM('Products x speed'!J186:J188)</f>
        <v>0</v>
      </c>
      <c r="I140" s="283">
        <f>SUM('Products x speed'!K186:K188)</f>
        <v>0</v>
      </c>
      <c r="J140" s="283">
        <f>SUM('Products x speed'!L186:L188)</f>
        <v>0</v>
      </c>
      <c r="K140" s="283">
        <f>SUM('Products x speed'!M186:M188)</f>
        <v>0</v>
      </c>
      <c r="L140" s="283">
        <f>SUM('Products x speed'!N186:N188)</f>
        <v>0</v>
      </c>
      <c r="M140" s="283">
        <f>SUM('Products x speed'!O186:O188)</f>
        <v>0</v>
      </c>
      <c r="T140" s="575"/>
    </row>
    <row r="141" spans="1:20" ht="15.5">
      <c r="B141" s="279" t="str">
        <f t="shared" si="8"/>
        <v>100G</v>
      </c>
      <c r="C141" s="402">
        <f>SUM('Products x speed'!E189:E207)</f>
        <v>1143.1589634696481</v>
      </c>
      <c r="D141" s="283">
        <f>SUM('Products x speed'!F189:F207)</f>
        <v>1653.9743919741536</v>
      </c>
      <c r="E141" s="283">
        <f>SUM('Products x speed'!G189:G207)</f>
        <v>0</v>
      </c>
      <c r="F141" s="283">
        <f>SUM('Products x speed'!H189:H207)</f>
        <v>0</v>
      </c>
      <c r="G141" s="283">
        <f>SUM('Products x speed'!I189:I207)</f>
        <v>0</v>
      </c>
      <c r="H141" s="283">
        <f>SUM('Products x speed'!J189:J207)</f>
        <v>0</v>
      </c>
      <c r="I141" s="283">
        <f>SUM('Products x speed'!K189:K207)</f>
        <v>0</v>
      </c>
      <c r="J141" s="283">
        <f>SUM('Products x speed'!L189:L207)</f>
        <v>0</v>
      </c>
      <c r="K141" s="283">
        <f>SUM('Products x speed'!M189:M207)</f>
        <v>0</v>
      </c>
      <c r="L141" s="283">
        <f>SUM('Products x speed'!N189:N207)</f>
        <v>0</v>
      </c>
      <c r="M141" s="283">
        <f>SUM('Products x speed'!O189:O207)</f>
        <v>0</v>
      </c>
      <c r="T141" s="575"/>
    </row>
    <row r="142" spans="1:20">
      <c r="B142" s="279" t="str">
        <f t="shared" si="8"/>
        <v>200G</v>
      </c>
      <c r="C142" s="402"/>
      <c r="D142" s="619"/>
      <c r="E142" s="175">
        <f>'Products x speed'!G208+'Products x speed'!G210</f>
        <v>0</v>
      </c>
      <c r="F142" s="175">
        <f>'Products x speed'!H208+'Products x speed'!H210</f>
        <v>0</v>
      </c>
      <c r="G142" s="175">
        <f>'Products x speed'!I208+'Products x speed'!I210</f>
        <v>0</v>
      </c>
      <c r="H142" s="175">
        <f>'Products x speed'!J208+'Products x speed'!J210</f>
        <v>0</v>
      </c>
      <c r="I142" s="175">
        <f>'Products x speed'!K208+'Products x speed'!K210</f>
        <v>0</v>
      </c>
      <c r="J142" s="175">
        <f>'Products x speed'!L208+'Products x speed'!L210</f>
        <v>0</v>
      </c>
      <c r="K142" s="175">
        <f>'Products x speed'!M208+'Products x speed'!M210</f>
        <v>0</v>
      </c>
      <c r="L142" s="175">
        <f>'Products x speed'!N208+'Products x speed'!N210</f>
        <v>0</v>
      </c>
      <c r="M142" s="175">
        <f>'Products x speed'!O208+'Products x speed'!O210</f>
        <v>0</v>
      </c>
    </row>
    <row r="143" spans="1:20">
      <c r="B143" s="279" t="str">
        <f t="shared" si="8"/>
        <v>400G</v>
      </c>
      <c r="C143" s="402"/>
      <c r="D143" s="175">
        <f>SUM('Products x speed'!F211:F215)+'Products x speed'!F209</f>
        <v>1.3482999999999998</v>
      </c>
      <c r="E143" s="175">
        <f>SUM('Products x speed'!G211:G215)+'Products x speed'!G209</f>
        <v>0</v>
      </c>
      <c r="F143" s="175">
        <f>SUM('Products x speed'!H211:H215)+'Products x speed'!H209</f>
        <v>0</v>
      </c>
      <c r="G143" s="175">
        <f>SUM('Products x speed'!I211:I215)+'Products x speed'!I209</f>
        <v>0</v>
      </c>
      <c r="H143" s="175">
        <f>SUM('Products x speed'!J211:J215)+'Products x speed'!J209</f>
        <v>0</v>
      </c>
      <c r="I143" s="175">
        <f>SUM('Products x speed'!K211:K215)+'Products x speed'!K209</f>
        <v>0</v>
      </c>
      <c r="J143" s="175">
        <f>SUM('Products x speed'!L211:L215)+'Products x speed'!L209</f>
        <v>0</v>
      </c>
      <c r="K143" s="175">
        <f>SUM('Products x speed'!M211:M215)+'Products x speed'!M209</f>
        <v>0</v>
      </c>
      <c r="L143" s="175">
        <f>SUM('Products x speed'!N211:N215)+'Products x speed'!N209</f>
        <v>0</v>
      </c>
      <c r="M143" s="175">
        <f>SUM('Products x speed'!O211:O215)+'Products x speed'!O209</f>
        <v>0</v>
      </c>
    </row>
    <row r="144" spans="1:20">
      <c r="B144" s="279" t="str">
        <f t="shared" si="8"/>
        <v>800G</v>
      </c>
      <c r="C144" s="402"/>
      <c r="D144" s="283"/>
      <c r="E144" s="283"/>
      <c r="F144" s="283"/>
      <c r="G144" s="283">
        <f>SUM('Products x speed'!I216:I219)</f>
        <v>0</v>
      </c>
      <c r="H144" s="283">
        <f>SUM('Products x speed'!J216:J219)</f>
        <v>0</v>
      </c>
      <c r="I144" s="283">
        <f>SUM('Products x speed'!K216:K219)</f>
        <v>0</v>
      </c>
      <c r="J144" s="283">
        <f>SUM('Products x speed'!L216:L219)</f>
        <v>0</v>
      </c>
      <c r="K144" s="283">
        <f>SUM('Products x speed'!M216:M219)</f>
        <v>0</v>
      </c>
      <c r="L144" s="283">
        <f>SUM('Products x speed'!N216:N219)</f>
        <v>0</v>
      </c>
      <c r="M144" s="283">
        <f>SUM('Products x speed'!O216:O219)</f>
        <v>0</v>
      </c>
    </row>
    <row r="145" spans="2:13">
      <c r="B145" s="383" t="str">
        <f>B128</f>
        <v>Legacy/discontinued</v>
      </c>
      <c r="C145" s="403">
        <f>'Products x speed'!E173+'Products x speed'!E163</f>
        <v>10.04630903</v>
      </c>
      <c r="D145" s="404">
        <f>'Products x speed'!F173+'Products x speed'!F163</f>
        <v>2.2937660000000006</v>
      </c>
      <c r="E145" s="404">
        <f>'Products x speed'!G173+'Products x speed'!G163</f>
        <v>0</v>
      </c>
      <c r="F145" s="404">
        <f>'Products x speed'!H173+'Products x speed'!H163</f>
        <v>0</v>
      </c>
      <c r="G145" s="404"/>
      <c r="H145" s="404"/>
      <c r="I145" s="404"/>
      <c r="J145" s="404"/>
      <c r="K145" s="404"/>
      <c r="L145" s="404"/>
      <c r="M145" s="404"/>
    </row>
    <row r="146" spans="2:13">
      <c r="B146" s="275" t="str">
        <f>B129</f>
        <v>Total</v>
      </c>
      <c r="C146" s="403">
        <f t="shared" ref="C146:K146" si="9">SUM(C136:C145)</f>
        <v>2687.6154076451867</v>
      </c>
      <c r="D146" s="404">
        <f t="shared" si="9"/>
        <v>3178.3132920887742</v>
      </c>
      <c r="E146" s="404">
        <f t="shared" si="9"/>
        <v>0</v>
      </c>
      <c r="F146" s="404">
        <f t="shared" si="9"/>
        <v>0</v>
      </c>
      <c r="G146" s="404">
        <f t="shared" si="9"/>
        <v>0</v>
      </c>
      <c r="H146" s="404">
        <f t="shared" si="9"/>
        <v>0</v>
      </c>
      <c r="I146" s="404">
        <f t="shared" si="9"/>
        <v>0</v>
      </c>
      <c r="J146" s="404">
        <f t="shared" si="9"/>
        <v>0</v>
      </c>
      <c r="K146" s="404">
        <f t="shared" si="9"/>
        <v>0</v>
      </c>
      <c r="L146" s="404">
        <f t="shared" ref="L146:M146" si="10">SUM(L136:L145)</f>
        <v>0</v>
      </c>
      <c r="M146" s="404">
        <f t="shared" si="10"/>
        <v>0</v>
      </c>
    </row>
    <row r="147" spans="2:13">
      <c r="B147" s="331" t="s">
        <v>91</v>
      </c>
      <c r="C147" s="274"/>
      <c r="D147" s="274">
        <f t="shared" ref="D147:K147" si="11">D146/C146-1</f>
        <v>0.18257741901901192</v>
      </c>
      <c r="E147" s="274">
        <f t="shared" si="11"/>
        <v>-1</v>
      </c>
      <c r="F147" s="274" t="e">
        <f t="shared" si="11"/>
        <v>#DIV/0!</v>
      </c>
      <c r="G147" s="274" t="e">
        <f t="shared" si="11"/>
        <v>#DIV/0!</v>
      </c>
      <c r="H147" s="274" t="e">
        <f t="shared" si="11"/>
        <v>#DIV/0!</v>
      </c>
      <c r="I147" s="274" t="e">
        <f t="shared" si="11"/>
        <v>#DIV/0!</v>
      </c>
      <c r="J147" s="274" t="e">
        <f t="shared" si="11"/>
        <v>#DIV/0!</v>
      </c>
      <c r="K147" s="274" t="e">
        <f t="shared" si="11"/>
        <v>#DIV/0!</v>
      </c>
      <c r="L147" s="274" t="e">
        <f t="shared" ref="L147" si="12">L146/K146-1</f>
        <v>#DIV/0!</v>
      </c>
      <c r="M147" s="274" t="e">
        <f t="shared" ref="M147" si="13">M146/L146-1</f>
        <v>#DIV/0!</v>
      </c>
    </row>
    <row r="148" spans="2:13">
      <c r="B148" s="331" t="s">
        <v>293</v>
      </c>
      <c r="C148" s="274"/>
      <c r="D148" s="274">
        <f t="shared" ref="D148:K148" si="14">SUM(D138:D143)/SUM(C138:C143)-1</f>
        <v>0.33304814229859958</v>
      </c>
      <c r="E148" s="274">
        <f t="shared" si="14"/>
        <v>-1</v>
      </c>
      <c r="F148" s="274" t="e">
        <f t="shared" si="14"/>
        <v>#DIV/0!</v>
      </c>
      <c r="G148" s="274" t="e">
        <f t="shared" si="14"/>
        <v>#DIV/0!</v>
      </c>
      <c r="H148" s="274" t="e">
        <f t="shared" si="14"/>
        <v>#DIV/0!</v>
      </c>
      <c r="I148" s="274" t="e">
        <f t="shared" si="14"/>
        <v>#DIV/0!</v>
      </c>
      <c r="J148" s="274" t="e">
        <f t="shared" si="14"/>
        <v>#DIV/0!</v>
      </c>
      <c r="K148" s="274" t="e">
        <f t="shared" si="14"/>
        <v>#DIV/0!</v>
      </c>
      <c r="L148" s="274" t="e">
        <f t="shared" ref="L148" si="15">SUM(L138:L143)/SUM(K138:K143)-1</f>
        <v>#DIV/0!</v>
      </c>
      <c r="M148" s="274" t="e">
        <f t="shared" ref="M148" si="16">SUM(M138:M143)/SUM(L138:L143)-1</f>
        <v>#DIV/0!</v>
      </c>
    </row>
    <row r="149" spans="2:13" ht="11.5" customHeight="1"/>
    <row r="151" spans="2:13">
      <c r="B151" s="562" t="s">
        <v>22</v>
      </c>
      <c r="C151" s="388">
        <v>2016</v>
      </c>
      <c r="D151" s="389">
        <v>2017</v>
      </c>
      <c r="E151" s="389">
        <v>2018</v>
      </c>
      <c r="F151" s="389">
        <v>2019</v>
      </c>
      <c r="G151" s="389">
        <v>2020</v>
      </c>
      <c r="H151" s="389">
        <v>2021</v>
      </c>
      <c r="I151" s="389">
        <v>2022</v>
      </c>
      <c r="J151" s="389">
        <v>2023</v>
      </c>
      <c r="K151" s="389">
        <v>2024</v>
      </c>
      <c r="L151" s="389">
        <v>2025</v>
      </c>
      <c r="M151" s="545">
        <v>2026</v>
      </c>
    </row>
    <row r="152" spans="2:13">
      <c r="B152" s="580" t="s">
        <v>369</v>
      </c>
      <c r="C152" s="163">
        <f t="shared" ref="C152:L152" si="17">SUM(C119:C124)</f>
        <v>36168361.034999996</v>
      </c>
      <c r="D152" s="164">
        <f t="shared" si="17"/>
        <v>38077694.150000006</v>
      </c>
      <c r="E152" s="164">
        <f t="shared" si="17"/>
        <v>0</v>
      </c>
      <c r="F152" s="164">
        <f t="shared" si="17"/>
        <v>0</v>
      </c>
      <c r="G152" s="164">
        <f t="shared" si="17"/>
        <v>0</v>
      </c>
      <c r="H152" s="164">
        <f t="shared" si="17"/>
        <v>0</v>
      </c>
      <c r="I152" s="164">
        <f t="shared" si="17"/>
        <v>0</v>
      </c>
      <c r="J152" s="164">
        <f t="shared" si="17"/>
        <v>0</v>
      </c>
      <c r="K152" s="164">
        <f t="shared" si="17"/>
        <v>0</v>
      </c>
      <c r="L152" s="164">
        <f t="shared" si="17"/>
        <v>0</v>
      </c>
      <c r="M152" s="563">
        <f t="shared" ref="M152" si="18">SUM(M119:M124)</f>
        <v>0</v>
      </c>
    </row>
    <row r="153" spans="2:13">
      <c r="B153" s="581" t="s">
        <v>370</v>
      </c>
      <c r="C153" s="167">
        <f t="shared" ref="C153:L153" si="19">SUM(C125:C127)</f>
        <v>0</v>
      </c>
      <c r="D153" s="168">
        <f t="shared" si="19"/>
        <v>89</v>
      </c>
      <c r="E153" s="168">
        <f t="shared" si="19"/>
        <v>0</v>
      </c>
      <c r="F153" s="168">
        <f t="shared" si="19"/>
        <v>0</v>
      </c>
      <c r="G153" s="168">
        <f t="shared" si="19"/>
        <v>0</v>
      </c>
      <c r="H153" s="168">
        <f t="shared" si="19"/>
        <v>0</v>
      </c>
      <c r="I153" s="168">
        <f t="shared" si="19"/>
        <v>0</v>
      </c>
      <c r="J153" s="168">
        <f t="shared" si="19"/>
        <v>0</v>
      </c>
      <c r="K153" s="168">
        <f t="shared" si="19"/>
        <v>0</v>
      </c>
      <c r="L153" s="168">
        <f t="shared" si="19"/>
        <v>0</v>
      </c>
      <c r="M153" s="564">
        <f t="shared" ref="M153" si="20">SUM(M125:M127)</f>
        <v>0</v>
      </c>
    </row>
    <row r="154" spans="2:13">
      <c r="B154" s="331"/>
      <c r="C154" s="274"/>
      <c r="D154" s="274"/>
      <c r="E154" s="274"/>
      <c r="F154" s="274"/>
      <c r="G154" s="274"/>
      <c r="H154" s="274"/>
      <c r="I154" s="274"/>
      <c r="J154" s="274"/>
      <c r="K154" s="274"/>
      <c r="L154" s="274"/>
      <c r="M154" s="274"/>
    </row>
    <row r="155" spans="2:13">
      <c r="B155" s="562" t="s">
        <v>15</v>
      </c>
      <c r="C155" s="388">
        <v>2016</v>
      </c>
      <c r="D155" s="389">
        <v>2017</v>
      </c>
      <c r="E155" s="389">
        <v>2018</v>
      </c>
      <c r="F155" s="389">
        <v>2019</v>
      </c>
      <c r="G155" s="389">
        <v>2020</v>
      </c>
      <c r="H155" s="389">
        <v>2021</v>
      </c>
      <c r="I155" s="389">
        <v>2022</v>
      </c>
      <c r="J155" s="389">
        <v>2023</v>
      </c>
      <c r="K155" s="389">
        <v>2024</v>
      </c>
      <c r="L155" s="389">
        <v>2025</v>
      </c>
      <c r="M155" s="545">
        <v>2026</v>
      </c>
    </row>
    <row r="156" spans="2:13">
      <c r="B156" s="580" t="s">
        <v>369</v>
      </c>
      <c r="C156" s="176">
        <f t="shared" ref="C156:L156" si="21">SUM(C136:C141)</f>
        <v>2677.5690986151867</v>
      </c>
      <c r="D156" s="173">
        <f t="shared" si="21"/>
        <v>3174.6712260887743</v>
      </c>
      <c r="E156" s="173">
        <f t="shared" si="21"/>
        <v>0</v>
      </c>
      <c r="F156" s="173">
        <f t="shared" si="21"/>
        <v>0</v>
      </c>
      <c r="G156" s="173">
        <f t="shared" si="21"/>
        <v>0</v>
      </c>
      <c r="H156" s="173">
        <f t="shared" si="21"/>
        <v>0</v>
      </c>
      <c r="I156" s="173">
        <f t="shared" si="21"/>
        <v>0</v>
      </c>
      <c r="J156" s="173">
        <f t="shared" si="21"/>
        <v>0</v>
      </c>
      <c r="K156" s="173">
        <f t="shared" si="21"/>
        <v>0</v>
      </c>
      <c r="L156" s="173">
        <f t="shared" si="21"/>
        <v>0</v>
      </c>
      <c r="M156" s="174">
        <f t="shared" ref="M156" si="22">SUM(M136:M141)</f>
        <v>0</v>
      </c>
    </row>
    <row r="157" spans="2:13">
      <c r="B157" s="581" t="s">
        <v>370</v>
      </c>
      <c r="C157" s="183">
        <f t="shared" ref="C157:L157" si="23">SUM(C142:C144)</f>
        <v>0</v>
      </c>
      <c r="D157" s="171">
        <f t="shared" si="23"/>
        <v>1.3482999999999998</v>
      </c>
      <c r="E157" s="171">
        <f t="shared" si="23"/>
        <v>0</v>
      </c>
      <c r="F157" s="171">
        <f t="shared" si="23"/>
        <v>0</v>
      </c>
      <c r="G157" s="171">
        <f t="shared" si="23"/>
        <v>0</v>
      </c>
      <c r="H157" s="171">
        <f t="shared" si="23"/>
        <v>0</v>
      </c>
      <c r="I157" s="171">
        <f t="shared" si="23"/>
        <v>0</v>
      </c>
      <c r="J157" s="171">
        <f t="shared" si="23"/>
        <v>0</v>
      </c>
      <c r="K157" s="171">
        <f t="shared" si="23"/>
        <v>0</v>
      </c>
      <c r="L157" s="171">
        <f t="shared" si="23"/>
        <v>0</v>
      </c>
      <c r="M157" s="172">
        <f t="shared" ref="M157" si="24">SUM(M142:M144)</f>
        <v>0</v>
      </c>
    </row>
    <row r="158" spans="2:13">
      <c r="B158" s="331"/>
      <c r="C158" s="274"/>
      <c r="D158" s="274"/>
      <c r="E158" s="274"/>
      <c r="F158" s="274"/>
      <c r="G158" s="274"/>
      <c r="H158" s="274"/>
      <c r="I158" s="274"/>
      <c r="J158" s="274"/>
      <c r="K158" s="274"/>
      <c r="L158" s="274"/>
      <c r="M158" s="274"/>
    </row>
    <row r="159" spans="2:13">
      <c r="B159" s="562" t="s">
        <v>15</v>
      </c>
      <c r="C159" s="388">
        <v>2016</v>
      </c>
      <c r="D159" s="389">
        <v>2017</v>
      </c>
      <c r="E159" s="389">
        <v>2018</v>
      </c>
      <c r="F159" s="389">
        <v>2019</v>
      </c>
      <c r="G159" s="389">
        <v>2020</v>
      </c>
      <c r="H159" s="389">
        <v>2021</v>
      </c>
      <c r="I159" s="389">
        <v>2022</v>
      </c>
      <c r="J159" s="389">
        <v>2023</v>
      </c>
      <c r="K159" s="389">
        <v>2024</v>
      </c>
      <c r="L159" s="389">
        <v>2025</v>
      </c>
      <c r="M159" s="545">
        <v>2026</v>
      </c>
    </row>
    <row r="160" spans="2:13">
      <c r="B160" s="582" t="s">
        <v>382</v>
      </c>
      <c r="C160" s="112">
        <f t="shared" ref="C160:L160" si="25">SUM(C136:C140)</f>
        <v>1534.4101351455383</v>
      </c>
      <c r="D160" s="113">
        <f t="shared" si="25"/>
        <v>1520.6968341146207</v>
      </c>
      <c r="E160" s="113">
        <f t="shared" si="25"/>
        <v>0</v>
      </c>
      <c r="F160" s="113">
        <f t="shared" si="25"/>
        <v>0</v>
      </c>
      <c r="G160" s="113">
        <f t="shared" si="25"/>
        <v>0</v>
      </c>
      <c r="H160" s="113">
        <f t="shared" si="25"/>
        <v>0</v>
      </c>
      <c r="I160" s="113">
        <f t="shared" si="25"/>
        <v>0</v>
      </c>
      <c r="J160" s="113">
        <f t="shared" si="25"/>
        <v>0</v>
      </c>
      <c r="K160" s="113">
        <f t="shared" si="25"/>
        <v>0</v>
      </c>
      <c r="L160" s="113">
        <f t="shared" si="25"/>
        <v>0</v>
      </c>
      <c r="M160" s="114">
        <f t="shared" ref="M160" si="26">SUM(M136:M140)</f>
        <v>0</v>
      </c>
    </row>
    <row r="161" spans="2:19">
      <c r="B161" s="331"/>
      <c r="C161" s="74"/>
      <c r="D161" s="274"/>
      <c r="E161" s="274"/>
      <c r="F161" s="274"/>
      <c r="G161" s="274"/>
      <c r="H161" s="274"/>
      <c r="I161" s="274"/>
      <c r="J161" s="274"/>
      <c r="K161" s="274"/>
      <c r="L161" s="274"/>
      <c r="M161" s="274"/>
      <c r="N161" s="274"/>
      <c r="O161" s="274"/>
      <c r="P161" s="274"/>
      <c r="Q161" s="274"/>
      <c r="R161" s="274"/>
      <c r="S161" s="274"/>
    </row>
    <row r="163" spans="2:19" ht="21">
      <c r="B163" s="153" t="s">
        <v>451</v>
      </c>
      <c r="H163" s="153" t="s">
        <v>450</v>
      </c>
    </row>
    <row r="186" spans="2:20" s="4" customFormat="1" ht="22.5" customHeight="1">
      <c r="B186" s="17"/>
      <c r="T186" s="29"/>
    </row>
    <row r="188" spans="2:20" s="4" customFormat="1" ht="13.5" customHeight="1">
      <c r="B188" s="17"/>
      <c r="T188" s="29"/>
    </row>
    <row r="189" spans="2:20" s="4" customFormat="1" ht="13.5" customHeight="1">
      <c r="B189" s="17"/>
      <c r="T189" s="29"/>
    </row>
    <row r="190" spans="2:20" s="4" customFormat="1" ht="13.5" customHeight="1">
      <c r="B190" s="17"/>
      <c r="T190" s="29"/>
    </row>
    <row r="191" spans="2:20" s="4" customFormat="1" ht="13.5" customHeight="1">
      <c r="B191" s="17"/>
      <c r="T191" s="29"/>
    </row>
    <row r="192" spans="2:20" s="4" customFormat="1" ht="13.5" customHeight="1">
      <c r="B192" s="17"/>
      <c r="T192" s="29"/>
    </row>
    <row r="193" spans="2:20" s="4" customFormat="1" ht="12.5">
      <c r="T193" s="29"/>
    </row>
    <row r="194" spans="2:20" s="4" customFormat="1" ht="12.5">
      <c r="T194" s="29"/>
    </row>
    <row r="195" spans="2:20" s="4" customFormat="1" ht="12.5">
      <c r="T195" s="29"/>
    </row>
    <row r="196" spans="2:20" s="4" customFormat="1" ht="12.5">
      <c r="T196" s="29"/>
    </row>
    <row r="197" spans="2:20" s="4" customFormat="1" ht="12.5">
      <c r="T197" s="29"/>
    </row>
    <row r="198" spans="2:20" s="4" customFormat="1" ht="12.5">
      <c r="T198" s="29"/>
    </row>
    <row r="199" spans="2:20" s="4" customFormat="1" ht="12.5">
      <c r="T199" s="29"/>
    </row>
    <row r="200" spans="2:20" s="4" customFormat="1" ht="12.5">
      <c r="T200" s="29"/>
    </row>
    <row r="201" spans="2:20" s="4" customFormat="1" ht="12.5">
      <c r="T201" s="29"/>
    </row>
    <row r="202" spans="2:20" s="4" customFormat="1" ht="12.5">
      <c r="T202" s="29"/>
    </row>
    <row r="203" spans="2:20" s="4" customFormat="1" ht="12.5">
      <c r="T203" s="29"/>
    </row>
    <row r="204" spans="2:20" s="4" customFormat="1" ht="12.5">
      <c r="T204" s="29"/>
    </row>
    <row r="205" spans="2:20" s="4" customFormat="1">
      <c r="B205" s="3"/>
      <c r="T205" s="29"/>
    </row>
    <row r="206" spans="2:20" s="4" customFormat="1">
      <c r="C206" s="393">
        <v>2016</v>
      </c>
      <c r="D206" s="394">
        <v>2017</v>
      </c>
      <c r="E206" s="394">
        <v>2018</v>
      </c>
      <c r="F206" s="394">
        <v>2019</v>
      </c>
      <c r="G206" s="394">
        <v>2020</v>
      </c>
      <c r="H206" s="394">
        <v>2021</v>
      </c>
      <c r="I206" s="394">
        <v>2022</v>
      </c>
      <c r="J206" s="394">
        <v>2023</v>
      </c>
      <c r="K206" s="394">
        <v>2024</v>
      </c>
      <c r="L206" s="394">
        <v>2025</v>
      </c>
      <c r="M206" s="394">
        <v>2026</v>
      </c>
      <c r="T206" s="29"/>
    </row>
    <row r="207" spans="2:20" s="4" customFormat="1">
      <c r="B207" s="405" t="s">
        <v>125</v>
      </c>
      <c r="C207" s="583"/>
      <c r="D207" s="406"/>
      <c r="E207" s="406"/>
      <c r="F207" s="406"/>
      <c r="G207" s="406"/>
      <c r="H207" s="406"/>
      <c r="I207" s="406"/>
      <c r="J207" s="406"/>
      <c r="K207" s="406"/>
      <c r="L207" s="406"/>
      <c r="M207" s="406"/>
      <c r="T207" s="29"/>
    </row>
    <row r="208" spans="2:20" s="4" customFormat="1">
      <c r="B208" s="287" t="s">
        <v>180</v>
      </c>
      <c r="C208" s="584">
        <f>'Products x speed'!E9</f>
        <v>4496175.0999999996</v>
      </c>
      <c r="D208" s="407">
        <f>'Products x speed'!F9</f>
        <v>4278484</v>
      </c>
      <c r="E208" s="407">
        <f>'Products x speed'!G9</f>
        <v>0</v>
      </c>
      <c r="F208" s="407">
        <f>'Products x speed'!H9</f>
        <v>0</v>
      </c>
      <c r="G208" s="407">
        <f>'Products x speed'!I9</f>
        <v>0</v>
      </c>
      <c r="H208" s="407">
        <f>'Products x speed'!J9</f>
        <v>0</v>
      </c>
      <c r="I208" s="407">
        <f>'Products x speed'!K9</f>
        <v>0</v>
      </c>
      <c r="J208" s="407">
        <f>'Products x speed'!L9</f>
        <v>0</v>
      </c>
      <c r="K208" s="407">
        <f>'Products x speed'!M9</f>
        <v>0</v>
      </c>
      <c r="L208" s="407">
        <f>'Products x speed'!N9</f>
        <v>0</v>
      </c>
      <c r="M208" s="407">
        <f>'Products x speed'!O9</f>
        <v>0</v>
      </c>
      <c r="T208" s="29"/>
    </row>
    <row r="209" spans="1:20" s="4" customFormat="1" ht="15.5">
      <c r="B209" s="287" t="s">
        <v>71</v>
      </c>
      <c r="C209" s="584">
        <f>+'Products x speed'!E14+'Products x speed'!E15+'Products x speed'!E16</f>
        <v>11471385.93</v>
      </c>
      <c r="D209" s="407">
        <f>+'Products x speed'!F14+'Products x speed'!F15+'Products x speed'!F16</f>
        <v>12691744</v>
      </c>
      <c r="E209" s="407">
        <f>+'Products x speed'!G14+'Products x speed'!G15+'Products x speed'!G16</f>
        <v>0</v>
      </c>
      <c r="F209" s="407">
        <f>+'Products x speed'!H14+'Products x speed'!H15+'Products x speed'!H16</f>
        <v>0</v>
      </c>
      <c r="G209" s="407">
        <f>+'Products x speed'!I14+'Products x speed'!I15+'Products x speed'!I16</f>
        <v>0</v>
      </c>
      <c r="H209" s="407">
        <f>+'Products x speed'!J14+'Products x speed'!J15+'Products x speed'!J16</f>
        <v>0</v>
      </c>
      <c r="I209" s="407">
        <f>+'Products x speed'!K14+'Products x speed'!K15+'Products x speed'!K16</f>
        <v>0</v>
      </c>
      <c r="J209" s="407">
        <f>+'Products x speed'!L14+'Products x speed'!L15+'Products x speed'!L16</f>
        <v>0</v>
      </c>
      <c r="K209" s="407">
        <f>+'Products x speed'!M14+'Products x speed'!M15+'Products x speed'!M16</f>
        <v>0</v>
      </c>
      <c r="L209" s="407">
        <f>+'Products x speed'!N14+'Products x speed'!N15+'Products x speed'!N16</f>
        <v>0</v>
      </c>
      <c r="M209" s="407">
        <f>+'Products x speed'!O14+'Products x speed'!O15+'Products x speed'!O16</f>
        <v>0</v>
      </c>
      <c r="T209" s="574"/>
    </row>
    <row r="210" spans="1:20" s="4" customFormat="1" ht="15.5">
      <c r="B210" s="287" t="s">
        <v>72</v>
      </c>
      <c r="C210" s="584">
        <f>'Products x speed'!E24</f>
        <v>7146</v>
      </c>
      <c r="D210" s="407">
        <f>'Products x speed'!F24</f>
        <v>95865</v>
      </c>
      <c r="E210" s="407">
        <f>'Products x speed'!G24</f>
        <v>0</v>
      </c>
      <c r="F210" s="407">
        <f>'Products x speed'!H24</f>
        <v>0</v>
      </c>
      <c r="G210" s="407">
        <f>'Products x speed'!I24</f>
        <v>0</v>
      </c>
      <c r="H210" s="407">
        <f>'Products x speed'!J24</f>
        <v>0</v>
      </c>
      <c r="I210" s="407">
        <f>'Products x speed'!K24</f>
        <v>0</v>
      </c>
      <c r="J210" s="407">
        <f>'Products x speed'!L24</f>
        <v>0</v>
      </c>
      <c r="K210" s="407">
        <f>'Products x speed'!M24</f>
        <v>0</v>
      </c>
      <c r="L210" s="407">
        <f>'Products x speed'!N24</f>
        <v>0</v>
      </c>
      <c r="M210" s="407">
        <f>'Products x speed'!O24</f>
        <v>0</v>
      </c>
      <c r="T210" s="574"/>
    </row>
    <row r="211" spans="1:20" s="4" customFormat="1" ht="15.5">
      <c r="A211" s="273"/>
      <c r="B211" s="287" t="s">
        <v>140</v>
      </c>
      <c r="C211" s="584">
        <f>'Products x speed'!E27+'Products x speed'!E28+'Products x speed'!E29</f>
        <v>1529498</v>
      </c>
      <c r="D211" s="407">
        <f>'Products x speed'!F27+'Products x speed'!F28+'Products x speed'!F29</f>
        <v>2010866</v>
      </c>
      <c r="E211" s="407">
        <f>'Products x speed'!G27+'Products x speed'!G28+'Products x speed'!G29</f>
        <v>0</v>
      </c>
      <c r="F211" s="407">
        <f>'Products x speed'!H27+'Products x speed'!H28+'Products x speed'!H29</f>
        <v>0</v>
      </c>
      <c r="G211" s="407">
        <f>'Products x speed'!I27+'Products x speed'!I28+'Products x speed'!I29</f>
        <v>0</v>
      </c>
      <c r="H211" s="407">
        <f>'Products x speed'!J27+'Products x speed'!J28+'Products x speed'!J29</f>
        <v>0</v>
      </c>
      <c r="I211" s="407">
        <f>'Products x speed'!K27+'Products x speed'!K28+'Products x speed'!K29</f>
        <v>0</v>
      </c>
      <c r="J211" s="407">
        <f>'Products x speed'!L27+'Products x speed'!L28+'Products x speed'!L29</f>
        <v>0</v>
      </c>
      <c r="K211" s="407">
        <f>'Products x speed'!M27+'Products x speed'!M28+'Products x speed'!M29</f>
        <v>0</v>
      </c>
      <c r="L211" s="407">
        <f>'Products x speed'!N27+'Products x speed'!N28+'Products x speed'!N29</f>
        <v>0</v>
      </c>
      <c r="M211" s="407">
        <f>'Products x speed'!O27+'Products x speed'!O28+'Products x speed'!O29</f>
        <v>0</v>
      </c>
      <c r="T211" s="575"/>
    </row>
    <row r="212" spans="1:20" s="4" customFormat="1" ht="15.5">
      <c r="A212" s="273"/>
      <c r="B212" s="287" t="s">
        <v>149</v>
      </c>
      <c r="C212" s="584"/>
      <c r="D212" s="407"/>
      <c r="E212" s="407">
        <f>'Products x speed'!G36</f>
        <v>0</v>
      </c>
      <c r="F212" s="407">
        <f>'Products x speed'!H36</f>
        <v>0</v>
      </c>
      <c r="G212" s="407">
        <f>'Products x speed'!I36</f>
        <v>0</v>
      </c>
      <c r="H212" s="407">
        <f>'Products x speed'!J36</f>
        <v>0</v>
      </c>
      <c r="I212" s="407">
        <f>'Products x speed'!K36</f>
        <v>0</v>
      </c>
      <c r="J212" s="407">
        <f>'Products x speed'!L36</f>
        <v>0</v>
      </c>
      <c r="K212" s="407">
        <f>'Products x speed'!M36</f>
        <v>0</v>
      </c>
      <c r="L212" s="407">
        <f>'Products x speed'!N36</f>
        <v>0</v>
      </c>
      <c r="M212" s="407">
        <f>'Products x speed'!O36</f>
        <v>0</v>
      </c>
      <c r="T212" s="575"/>
    </row>
    <row r="213" spans="1:20" s="4" customFormat="1">
      <c r="A213" s="273"/>
      <c r="B213" s="287" t="s">
        <v>159</v>
      </c>
      <c r="C213" s="584">
        <f>SUM('Products x speed'!E39:E44)</f>
        <v>299241</v>
      </c>
      <c r="D213" s="407">
        <f>SUM('Products x speed'!F39:F44)</f>
        <v>631974</v>
      </c>
      <c r="E213" s="407">
        <f>SUM('Products x speed'!G39:G44)</f>
        <v>0</v>
      </c>
      <c r="F213" s="407">
        <f>SUM('Products x speed'!H39:H44)</f>
        <v>0</v>
      </c>
      <c r="G213" s="407">
        <f>SUM('Products x speed'!I39:I44)</f>
        <v>0</v>
      </c>
      <c r="H213" s="407">
        <f>SUM('Products x speed'!J39:J44)</f>
        <v>0</v>
      </c>
      <c r="I213" s="407">
        <f>SUM('Products x speed'!K39:K44)</f>
        <v>0</v>
      </c>
      <c r="J213" s="407">
        <f>SUM('Products x speed'!L39:L44)</f>
        <v>0</v>
      </c>
      <c r="K213" s="407">
        <f>SUM('Products x speed'!M39:M44)</f>
        <v>0</v>
      </c>
      <c r="L213" s="407">
        <f>SUM('Products x speed'!N39:N44)</f>
        <v>0</v>
      </c>
      <c r="M213" s="407">
        <f>SUM('Products x speed'!O39:O44)</f>
        <v>0</v>
      </c>
      <c r="T213" s="29"/>
    </row>
    <row r="214" spans="1:20" s="4" customFormat="1">
      <c r="A214" s="273"/>
      <c r="B214" s="287" t="s">
        <v>160</v>
      </c>
      <c r="C214" s="584"/>
      <c r="D214" s="407">
        <f>'Products x speed'!F58</f>
        <v>0</v>
      </c>
      <c r="E214" s="407">
        <f>'Products x speed'!G58</f>
        <v>0</v>
      </c>
      <c r="F214" s="407">
        <f>'Products x speed'!H58</f>
        <v>0</v>
      </c>
      <c r="G214" s="407">
        <f>'Products x speed'!I58</f>
        <v>0</v>
      </c>
      <c r="H214" s="407">
        <f>'Products x speed'!J58</f>
        <v>0</v>
      </c>
      <c r="I214" s="407">
        <f>'Products x speed'!K58</f>
        <v>0</v>
      </c>
      <c r="J214" s="407">
        <f>'Products x speed'!L58</f>
        <v>0</v>
      </c>
      <c r="K214" s="407">
        <f>'Products x speed'!M58</f>
        <v>0</v>
      </c>
      <c r="L214" s="407">
        <f>'Products x speed'!N58</f>
        <v>0</v>
      </c>
      <c r="M214" s="407">
        <f>'Products x speed'!O58</f>
        <v>0</v>
      </c>
      <c r="T214" s="29"/>
    </row>
    <row r="215" spans="1:20" s="4" customFormat="1">
      <c r="A215" s="273"/>
      <c r="B215" s="287" t="s">
        <v>161</v>
      </c>
      <c r="C215" s="584"/>
      <c r="D215" s="407">
        <f>'Products x speed'!F62+'Products x speed'!F59</f>
        <v>0</v>
      </c>
      <c r="E215" s="407">
        <f>'Products x speed'!G62+'Products x speed'!G59</f>
        <v>0</v>
      </c>
      <c r="F215" s="407">
        <f>'Products x speed'!H62+'Products x speed'!H59</f>
        <v>0</v>
      </c>
      <c r="G215" s="407">
        <f>'Products x speed'!I62+'Products x speed'!I59</f>
        <v>0</v>
      </c>
      <c r="H215" s="407">
        <f>'Products x speed'!J62+'Products x speed'!J59</f>
        <v>0</v>
      </c>
      <c r="I215" s="407">
        <f>'Products x speed'!K62+'Products x speed'!K59</f>
        <v>0</v>
      </c>
      <c r="J215" s="407">
        <f>'Products x speed'!L62+'Products x speed'!L59</f>
        <v>0</v>
      </c>
      <c r="K215" s="407">
        <f>'Products x speed'!M62+'Products x speed'!M59</f>
        <v>0</v>
      </c>
      <c r="L215" s="407">
        <f>'Products x speed'!N62+'Products x speed'!N59</f>
        <v>0</v>
      </c>
      <c r="M215" s="407">
        <f>'Products x speed'!O62+'Products x speed'!O59</f>
        <v>0</v>
      </c>
      <c r="T215" s="29"/>
    </row>
    <row r="216" spans="1:20" s="4" customFormat="1">
      <c r="A216" s="273"/>
      <c r="B216" s="525" t="s">
        <v>452</v>
      </c>
      <c r="C216" s="584"/>
      <c r="D216" s="526"/>
      <c r="E216" s="526"/>
      <c r="F216" s="526"/>
      <c r="G216" s="526">
        <f>'Products x speed'!I66</f>
        <v>0</v>
      </c>
      <c r="H216" s="526">
        <f>'Products x speed'!J66</f>
        <v>0</v>
      </c>
      <c r="I216" s="526">
        <f>'Products x speed'!K66</f>
        <v>0</v>
      </c>
      <c r="J216" s="526">
        <f>'Products x speed'!L66</f>
        <v>0</v>
      </c>
      <c r="K216" s="526">
        <f>'Products x speed'!M66</f>
        <v>0</v>
      </c>
      <c r="L216" s="526">
        <f>'Products x speed'!N66</f>
        <v>0</v>
      </c>
      <c r="M216" s="526">
        <f>'Products x speed'!O66</f>
        <v>0</v>
      </c>
      <c r="T216" s="29"/>
    </row>
    <row r="217" spans="1:20" s="4" customFormat="1">
      <c r="A217" s="273"/>
      <c r="B217" s="408" t="s">
        <v>133</v>
      </c>
      <c r="C217" s="585"/>
      <c r="D217" s="409"/>
      <c r="E217" s="409"/>
      <c r="F217" s="409"/>
      <c r="G217" s="409"/>
      <c r="H217" s="409"/>
      <c r="I217" s="409"/>
      <c r="J217" s="409"/>
      <c r="K217" s="409"/>
      <c r="L217" s="409"/>
      <c r="M217" s="409"/>
      <c r="T217" s="29"/>
    </row>
    <row r="218" spans="1:20" s="4" customFormat="1">
      <c r="A218" s="273"/>
      <c r="B218" s="410" t="s">
        <v>181</v>
      </c>
      <c r="C218" s="585">
        <f>'Products x speed'!E10+'Products x speed'!E11+'Products x speed'!E12</f>
        <v>9071235.0050000008</v>
      </c>
      <c r="D218" s="411">
        <f>'Products x speed'!F10+'Products x speed'!F11+'Products x speed'!F12</f>
        <v>6995211.0500000007</v>
      </c>
      <c r="E218" s="411">
        <f>'Products x speed'!G10+'Products x speed'!G11+'Products x speed'!G12</f>
        <v>0</v>
      </c>
      <c r="F218" s="411">
        <f>'Products x speed'!H10+'Products x speed'!H11+'Products x speed'!H12</f>
        <v>0</v>
      </c>
      <c r="G218" s="411">
        <f>'Products x speed'!I10+'Products x speed'!I11+'Products x speed'!I12</f>
        <v>0</v>
      </c>
      <c r="H218" s="411">
        <f>'Products x speed'!J10+'Products x speed'!J11+'Products x speed'!J12</f>
        <v>0</v>
      </c>
      <c r="I218" s="411">
        <f>'Products x speed'!K10+'Products x speed'!K11+'Products x speed'!K12</f>
        <v>0</v>
      </c>
      <c r="J218" s="411">
        <f>'Products x speed'!L10+'Products x speed'!L11+'Products x speed'!L12</f>
        <v>0</v>
      </c>
      <c r="K218" s="411">
        <f>'Products x speed'!M10+'Products x speed'!M11+'Products x speed'!M12</f>
        <v>0</v>
      </c>
      <c r="L218" s="411">
        <f>'Products x speed'!N10+'Products x speed'!N11+'Products x speed'!N12</f>
        <v>0</v>
      </c>
      <c r="M218" s="411">
        <f>'Products x speed'!O10+'Products x speed'!O11+'Products x speed'!O12</f>
        <v>0</v>
      </c>
      <c r="T218" s="29"/>
    </row>
    <row r="219" spans="1:20" s="4" customFormat="1">
      <c r="A219" s="273"/>
      <c r="B219" s="410" t="s">
        <v>74</v>
      </c>
      <c r="C219" s="585">
        <f>SUM('Products x speed'!E17:E22)</f>
        <v>7045433</v>
      </c>
      <c r="D219" s="411">
        <f>SUM('Products x speed'!F17:F22)</f>
        <v>7253278.0999999996</v>
      </c>
      <c r="E219" s="411">
        <f>SUM('Products x speed'!G17:G22)</f>
        <v>0</v>
      </c>
      <c r="F219" s="411">
        <f>SUM('Products x speed'!H17:H22)</f>
        <v>0</v>
      </c>
      <c r="G219" s="411">
        <f>SUM('Products x speed'!I17:I22)</f>
        <v>0</v>
      </c>
      <c r="H219" s="411">
        <f>SUM('Products x speed'!J17:J22)</f>
        <v>0</v>
      </c>
      <c r="I219" s="411">
        <f>SUM('Products x speed'!K17:K22)</f>
        <v>0</v>
      </c>
      <c r="J219" s="411">
        <f>SUM('Products x speed'!L17:L22)</f>
        <v>0</v>
      </c>
      <c r="K219" s="411">
        <f>SUM('Products x speed'!M17:M22)</f>
        <v>0</v>
      </c>
      <c r="L219" s="411">
        <f>SUM('Products x speed'!N17:N22)</f>
        <v>0</v>
      </c>
      <c r="M219" s="411">
        <f>SUM('Products x speed'!O17:O22)</f>
        <v>0</v>
      </c>
      <c r="T219" s="29"/>
    </row>
    <row r="220" spans="1:20" s="4" customFormat="1">
      <c r="A220" s="273"/>
      <c r="B220" s="410" t="s">
        <v>75</v>
      </c>
      <c r="C220" s="585">
        <f>SUM('Products x speed'!E25:E26)</f>
        <v>4548</v>
      </c>
      <c r="D220" s="411">
        <f>SUM('Products x speed'!F25:F26)</f>
        <v>17462</v>
      </c>
      <c r="E220" s="411">
        <f>SUM('Products x speed'!G25:G26)</f>
        <v>0</v>
      </c>
      <c r="F220" s="411">
        <f>SUM('Products x speed'!H25:H26)</f>
        <v>0</v>
      </c>
      <c r="G220" s="411">
        <f>SUM('Products x speed'!I25:I26)</f>
        <v>0</v>
      </c>
      <c r="H220" s="411">
        <f>SUM('Products x speed'!J25:J26)</f>
        <v>0</v>
      </c>
      <c r="I220" s="411">
        <f>SUM('Products x speed'!K25:K26)</f>
        <v>0</v>
      </c>
      <c r="J220" s="411">
        <f>SUM('Products x speed'!L25:L26)</f>
        <v>0</v>
      </c>
      <c r="K220" s="411">
        <f>SUM('Products x speed'!M25:M26)</f>
        <v>0</v>
      </c>
      <c r="L220" s="411">
        <f>SUM('Products x speed'!N25:N26)</f>
        <v>0</v>
      </c>
      <c r="M220" s="411">
        <f>SUM('Products x speed'!O25:O26)</f>
        <v>0</v>
      </c>
      <c r="T220" s="29"/>
    </row>
    <row r="221" spans="1:20" s="4" customFormat="1">
      <c r="A221" s="273"/>
      <c r="B221" s="410" t="s">
        <v>143</v>
      </c>
      <c r="C221" s="585">
        <f>SUM('Products x speed'!E30:E35)</f>
        <v>1623570</v>
      </c>
      <c r="D221" s="411">
        <f>SUM('Products x speed'!F30:F35)</f>
        <v>1853294</v>
      </c>
      <c r="E221" s="411">
        <f>SUM('Products x speed'!G30:G35)</f>
        <v>0</v>
      </c>
      <c r="F221" s="411">
        <f>SUM('Products x speed'!H30:H35)</f>
        <v>0</v>
      </c>
      <c r="G221" s="411">
        <f>SUM('Products x speed'!I30:I35)</f>
        <v>0</v>
      </c>
      <c r="H221" s="411">
        <f>SUM('Products x speed'!J30:J35)</f>
        <v>0</v>
      </c>
      <c r="I221" s="411">
        <f>SUM('Products x speed'!K30:K35)</f>
        <v>0</v>
      </c>
      <c r="J221" s="411">
        <f>SUM('Products x speed'!L30:L35)</f>
        <v>0</v>
      </c>
      <c r="K221" s="411">
        <f>SUM('Products x speed'!M30:M35)</f>
        <v>0</v>
      </c>
      <c r="L221" s="411">
        <f>SUM('Products x speed'!N30:N35)</f>
        <v>0</v>
      </c>
      <c r="M221" s="411">
        <f>SUM('Products x speed'!O30:O35)</f>
        <v>0</v>
      </c>
      <c r="T221" s="29"/>
    </row>
    <row r="222" spans="1:20" s="4" customFormat="1">
      <c r="A222" s="273"/>
      <c r="B222" s="410" t="s">
        <v>148</v>
      </c>
      <c r="C222" s="585"/>
      <c r="D222" s="411"/>
      <c r="E222" s="411">
        <f>SUM('Products x speed'!G37:G38)</f>
        <v>0</v>
      </c>
      <c r="F222" s="411">
        <f>SUM('Products x speed'!H37:H38)</f>
        <v>0</v>
      </c>
      <c r="G222" s="411">
        <f>SUM('Products x speed'!I37:I38)</f>
        <v>0</v>
      </c>
      <c r="H222" s="411">
        <f>SUM('Products x speed'!J37:J38)</f>
        <v>0</v>
      </c>
      <c r="I222" s="411">
        <f>SUM('Products x speed'!K37:K38)</f>
        <v>0</v>
      </c>
      <c r="J222" s="411">
        <f>SUM('Products x speed'!L37:L38)</f>
        <v>0</v>
      </c>
      <c r="K222" s="411">
        <f>SUM('Products x speed'!M37:M38)</f>
        <v>0</v>
      </c>
      <c r="L222" s="411">
        <f>SUM('Products x speed'!N37:N38)</f>
        <v>0</v>
      </c>
      <c r="M222" s="411">
        <f>SUM('Products x speed'!O37:O38)</f>
        <v>0</v>
      </c>
      <c r="T222" s="29"/>
    </row>
    <row r="223" spans="1:20" s="4" customFormat="1">
      <c r="A223" s="273"/>
      <c r="B223" s="410" t="s">
        <v>142</v>
      </c>
      <c r="C223" s="585">
        <f>SUM('Products x speed'!E45:E57)</f>
        <v>620129</v>
      </c>
      <c r="D223" s="411">
        <f>SUM('Products x speed'!F45:F57)</f>
        <v>2249516</v>
      </c>
      <c r="E223" s="411">
        <f>SUM('Products x speed'!G45:G57)</f>
        <v>0</v>
      </c>
      <c r="F223" s="411">
        <f>SUM('Products x speed'!H45:H57)</f>
        <v>0</v>
      </c>
      <c r="G223" s="411">
        <f>SUM('Products x speed'!I45:I57)</f>
        <v>0</v>
      </c>
      <c r="H223" s="411">
        <f>SUM('Products x speed'!J45:J57)</f>
        <v>0</v>
      </c>
      <c r="I223" s="411">
        <f>SUM('Products x speed'!K45:K57)</f>
        <v>0</v>
      </c>
      <c r="J223" s="411">
        <f>SUM('Products x speed'!L45:L57)</f>
        <v>0</v>
      </c>
      <c r="K223" s="411">
        <f>SUM('Products x speed'!M45:M57)</f>
        <v>0</v>
      </c>
      <c r="L223" s="411">
        <f>SUM('Products x speed'!N45:N57)</f>
        <v>0</v>
      </c>
      <c r="M223" s="411">
        <f>SUM('Products x speed'!O45:O57)</f>
        <v>0</v>
      </c>
      <c r="T223" s="29"/>
    </row>
    <row r="224" spans="1:20" s="4" customFormat="1">
      <c r="A224" s="273"/>
      <c r="B224" s="410" t="s">
        <v>163</v>
      </c>
      <c r="C224" s="585"/>
      <c r="D224" s="411">
        <f>SUM('Products x speed'!F60:F60)</f>
        <v>0</v>
      </c>
      <c r="E224" s="411">
        <f>SUM('Products x speed'!G60:G60)</f>
        <v>0</v>
      </c>
      <c r="F224" s="411">
        <f>SUM('Products x speed'!H60:H60)</f>
        <v>0</v>
      </c>
      <c r="G224" s="411">
        <f>SUM('Products x speed'!I60:I60)</f>
        <v>0</v>
      </c>
      <c r="H224" s="411">
        <f>SUM('Products x speed'!J60:J60)</f>
        <v>0</v>
      </c>
      <c r="I224" s="411">
        <f>SUM('Products x speed'!K60:K60)</f>
        <v>0</v>
      </c>
      <c r="J224" s="411">
        <f>SUM('Products x speed'!L60:L60)</f>
        <v>0</v>
      </c>
      <c r="K224" s="411">
        <f>SUM('Products x speed'!M60:M60)</f>
        <v>0</v>
      </c>
      <c r="L224" s="411">
        <f>SUM('Products x speed'!N60:N60)</f>
        <v>0</v>
      </c>
      <c r="M224" s="411">
        <f>SUM('Products x speed'!O60:O60)</f>
        <v>0</v>
      </c>
      <c r="T224" s="29"/>
    </row>
    <row r="225" spans="1:20" s="4" customFormat="1">
      <c r="A225" s="273"/>
      <c r="B225" s="410" t="s">
        <v>164</v>
      </c>
      <c r="C225" s="585"/>
      <c r="D225" s="411">
        <f>SUM('Products x speed'!F63:F65)+'Products x speed'!F61</f>
        <v>89</v>
      </c>
      <c r="E225" s="411">
        <f>SUM('Products x speed'!G63:G65)+'Products x speed'!G61</f>
        <v>0</v>
      </c>
      <c r="F225" s="411">
        <f>SUM('Products x speed'!H63:H65)+'Products x speed'!H61</f>
        <v>0</v>
      </c>
      <c r="G225" s="411">
        <f>SUM('Products x speed'!I63:I65)+'Products x speed'!I61</f>
        <v>0</v>
      </c>
      <c r="H225" s="411">
        <f>SUM('Products x speed'!J63:J65)+'Products x speed'!J61</f>
        <v>0</v>
      </c>
      <c r="I225" s="411">
        <f>SUM('Products x speed'!K63:K65)+'Products x speed'!K61</f>
        <v>0</v>
      </c>
      <c r="J225" s="411">
        <f>SUM('Products x speed'!L63:L65)+'Products x speed'!L61</f>
        <v>0</v>
      </c>
      <c r="K225" s="411">
        <f>SUM('Products x speed'!M63:M65)+'Products x speed'!M61</f>
        <v>0</v>
      </c>
      <c r="L225" s="411">
        <f>SUM('Products x speed'!N63:N65)+'Products x speed'!N61</f>
        <v>0</v>
      </c>
      <c r="M225" s="411">
        <f>SUM('Products x speed'!O63:O65)+'Products x speed'!O61</f>
        <v>0</v>
      </c>
      <c r="T225" s="29"/>
    </row>
    <row r="226" spans="1:20" s="4" customFormat="1">
      <c r="A226" s="273"/>
      <c r="B226" s="412" t="s">
        <v>453</v>
      </c>
      <c r="C226" s="586"/>
      <c r="D226" s="413"/>
      <c r="E226" s="413"/>
      <c r="F226" s="413"/>
      <c r="G226" s="413">
        <f>SUM('Products x speed'!I67:I68)</f>
        <v>0</v>
      </c>
      <c r="H226" s="413">
        <f>SUM('Products x speed'!J67:J68)</f>
        <v>0</v>
      </c>
      <c r="I226" s="413">
        <f>SUM('Products x speed'!K67:K68)</f>
        <v>0</v>
      </c>
      <c r="J226" s="413">
        <f>SUM('Products x speed'!L67:L68)</f>
        <v>0</v>
      </c>
      <c r="K226" s="413">
        <f>SUM('Products x speed'!M67:M68)</f>
        <v>0</v>
      </c>
      <c r="L226" s="413">
        <f>SUM('Products x speed'!N67:N68)</f>
        <v>0</v>
      </c>
      <c r="M226" s="413">
        <f>SUM('Products x speed'!O67:O68)</f>
        <v>0</v>
      </c>
      <c r="T226" s="29"/>
    </row>
    <row r="227" spans="1:20" s="4" customFormat="1">
      <c r="A227" s="273"/>
      <c r="T227" s="29"/>
    </row>
    <row r="228" spans="1:20" s="4" customFormat="1">
      <c r="A228" s="273"/>
      <c r="B228" s="307" t="s">
        <v>162</v>
      </c>
      <c r="C228" s="295"/>
      <c r="D228" s="295"/>
      <c r="E228" s="295"/>
      <c r="F228" s="295"/>
      <c r="G228" s="295"/>
      <c r="H228" s="295"/>
      <c r="I228" s="295"/>
      <c r="J228" s="295"/>
      <c r="T228" s="29"/>
    </row>
    <row r="229" spans="1:20" s="4" customFormat="1">
      <c r="A229" s="273"/>
      <c r="B229" s="288" t="str">
        <f t="shared" ref="B229:B237" si="27">B218</f>
        <v>1G SMF</v>
      </c>
      <c r="C229" s="587">
        <f t="shared" ref="C229:L229" si="28">(C208+C218)/SUM(C208:C225)</f>
        <v>0.37511818939959324</v>
      </c>
      <c r="D229" s="274">
        <f t="shared" si="28"/>
        <v>0.2960701521301668</v>
      </c>
      <c r="E229" s="274" t="e">
        <f t="shared" si="28"/>
        <v>#DIV/0!</v>
      </c>
      <c r="F229" s="274" t="e">
        <f t="shared" si="28"/>
        <v>#DIV/0!</v>
      </c>
      <c r="G229" s="274" t="e">
        <f t="shared" si="28"/>
        <v>#DIV/0!</v>
      </c>
      <c r="H229" s="274" t="e">
        <f t="shared" si="28"/>
        <v>#DIV/0!</v>
      </c>
      <c r="I229" s="274" t="e">
        <f t="shared" si="28"/>
        <v>#DIV/0!</v>
      </c>
      <c r="J229" s="274" t="e">
        <f t="shared" si="28"/>
        <v>#DIV/0!</v>
      </c>
      <c r="K229" s="274" t="e">
        <f t="shared" si="28"/>
        <v>#DIV/0!</v>
      </c>
      <c r="L229" s="274" t="e">
        <f t="shared" si="28"/>
        <v>#DIV/0!</v>
      </c>
      <c r="M229" s="274" t="e">
        <f t="shared" ref="M229" si="29">(M208+M218)/SUM(M208:M225)</f>
        <v>#DIV/0!</v>
      </c>
      <c r="T229" s="29"/>
    </row>
    <row r="230" spans="1:20" s="4" customFormat="1">
      <c r="A230" s="273"/>
      <c r="B230" s="288" t="str">
        <f t="shared" si="27"/>
        <v>10G SMF</v>
      </c>
      <c r="C230" s="587">
        <f t="shared" ref="C230:L230" si="30">(C209+C219)/SUM(C208:C225)</f>
        <v>0.51196179202262815</v>
      </c>
      <c r="D230" s="274">
        <f t="shared" si="30"/>
        <v>0.52379682980572895</v>
      </c>
      <c r="E230" s="274" t="e">
        <f t="shared" si="30"/>
        <v>#DIV/0!</v>
      </c>
      <c r="F230" s="274" t="e">
        <f t="shared" si="30"/>
        <v>#DIV/0!</v>
      </c>
      <c r="G230" s="274" t="e">
        <f t="shared" si="30"/>
        <v>#DIV/0!</v>
      </c>
      <c r="H230" s="274" t="e">
        <f t="shared" si="30"/>
        <v>#DIV/0!</v>
      </c>
      <c r="I230" s="274" t="e">
        <f t="shared" si="30"/>
        <v>#DIV/0!</v>
      </c>
      <c r="J230" s="274" t="e">
        <f t="shared" si="30"/>
        <v>#DIV/0!</v>
      </c>
      <c r="K230" s="274" t="e">
        <f t="shared" si="30"/>
        <v>#DIV/0!</v>
      </c>
      <c r="L230" s="274" t="e">
        <f t="shared" si="30"/>
        <v>#DIV/0!</v>
      </c>
      <c r="M230" s="274" t="e">
        <f t="shared" ref="M230" si="31">(M209+M219)/SUM(M208:M225)</f>
        <v>#DIV/0!</v>
      </c>
      <c r="T230" s="29"/>
    </row>
    <row r="231" spans="1:20" s="4" customFormat="1">
      <c r="A231" s="273"/>
      <c r="B231" s="288" t="str">
        <f t="shared" si="27"/>
        <v>25G SMF</v>
      </c>
      <c r="C231" s="588">
        <f t="shared" ref="C231:L231" si="32">(C210+C220)/SUM(C208:C225)</f>
        <v>3.2332125828659351E-4</v>
      </c>
      <c r="D231" s="414">
        <f t="shared" si="32"/>
        <v>2.976197420778683E-3</v>
      </c>
      <c r="E231" s="414" t="e">
        <f t="shared" si="32"/>
        <v>#DIV/0!</v>
      </c>
      <c r="F231" s="414" t="e">
        <f t="shared" si="32"/>
        <v>#DIV/0!</v>
      </c>
      <c r="G231" s="414" t="e">
        <f t="shared" si="32"/>
        <v>#DIV/0!</v>
      </c>
      <c r="H231" s="414" t="e">
        <f t="shared" si="32"/>
        <v>#DIV/0!</v>
      </c>
      <c r="I231" s="414" t="e">
        <f t="shared" si="32"/>
        <v>#DIV/0!</v>
      </c>
      <c r="J231" s="414" t="e">
        <f t="shared" si="32"/>
        <v>#DIV/0!</v>
      </c>
      <c r="K231" s="414" t="e">
        <f t="shared" si="32"/>
        <v>#DIV/0!</v>
      </c>
      <c r="L231" s="414" t="e">
        <f t="shared" si="32"/>
        <v>#DIV/0!</v>
      </c>
      <c r="M231" s="414" t="e">
        <f t="shared" ref="M231" si="33">(M210+M220)/SUM(M208:M225)</f>
        <v>#DIV/0!</v>
      </c>
      <c r="T231" s="29"/>
    </row>
    <row r="232" spans="1:20" s="4" customFormat="1">
      <c r="A232" s="273"/>
      <c r="B232" s="288" t="str">
        <f t="shared" si="27"/>
        <v>40G SMF</v>
      </c>
      <c r="C232" s="588">
        <f t="shared" ref="C232:L232" si="34">(C211+C221)/SUM(C208:C225)</f>
        <v>8.7177519516264138E-2</v>
      </c>
      <c r="D232" s="414">
        <f t="shared" si="34"/>
        <v>0.10148069767554208</v>
      </c>
      <c r="E232" s="414" t="e">
        <f t="shared" si="34"/>
        <v>#DIV/0!</v>
      </c>
      <c r="F232" s="414" t="e">
        <f t="shared" si="34"/>
        <v>#DIV/0!</v>
      </c>
      <c r="G232" s="414" t="e">
        <f t="shared" si="34"/>
        <v>#DIV/0!</v>
      </c>
      <c r="H232" s="414" t="e">
        <f t="shared" si="34"/>
        <v>#DIV/0!</v>
      </c>
      <c r="I232" s="414" t="e">
        <f t="shared" si="34"/>
        <v>#DIV/0!</v>
      </c>
      <c r="J232" s="414" t="e">
        <f t="shared" si="34"/>
        <v>#DIV/0!</v>
      </c>
      <c r="K232" s="414" t="e">
        <f t="shared" si="34"/>
        <v>#DIV/0!</v>
      </c>
      <c r="L232" s="414" t="e">
        <f t="shared" si="34"/>
        <v>#DIV/0!</v>
      </c>
      <c r="M232" s="414" t="e">
        <f t="shared" ref="M232" si="35">(M211+M221)/SUM(M208:M225)</f>
        <v>#DIV/0!</v>
      </c>
      <c r="T232" s="29"/>
    </row>
    <row r="233" spans="1:20" s="4" customFormat="1">
      <c r="B233" s="288" t="str">
        <f t="shared" si="27"/>
        <v>50G SMF</v>
      </c>
      <c r="C233" s="588">
        <f t="shared" ref="C233:L233" si="36">(C212+C222)/SUM(C208:C225)</f>
        <v>0</v>
      </c>
      <c r="D233" s="414">
        <f t="shared" si="36"/>
        <v>0</v>
      </c>
      <c r="E233" s="414" t="e">
        <f t="shared" si="36"/>
        <v>#DIV/0!</v>
      </c>
      <c r="F233" s="414" t="e">
        <f t="shared" si="36"/>
        <v>#DIV/0!</v>
      </c>
      <c r="G233" s="414" t="e">
        <f t="shared" si="36"/>
        <v>#DIV/0!</v>
      </c>
      <c r="H233" s="414" t="e">
        <f t="shared" si="36"/>
        <v>#DIV/0!</v>
      </c>
      <c r="I233" s="414" t="e">
        <f t="shared" si="36"/>
        <v>#DIV/0!</v>
      </c>
      <c r="J233" s="414" t="e">
        <f t="shared" si="36"/>
        <v>#DIV/0!</v>
      </c>
      <c r="K233" s="414" t="e">
        <f t="shared" si="36"/>
        <v>#DIV/0!</v>
      </c>
      <c r="L233" s="414" t="e">
        <f t="shared" si="36"/>
        <v>#DIV/0!</v>
      </c>
      <c r="M233" s="414" t="e">
        <f t="shared" ref="M233" si="37">(M212+M222)/SUM(M208:M225)</f>
        <v>#DIV/0!</v>
      </c>
      <c r="T233" s="29"/>
    </row>
    <row r="234" spans="1:20" s="4" customFormat="1">
      <c r="B234" s="288" t="str">
        <f t="shared" si="27"/>
        <v>100G SMF</v>
      </c>
      <c r="C234" s="588">
        <f t="shared" ref="C234:L234" si="38">(C213+C223)/SUM(C208:C225)</f>
        <v>2.5419177803227763E-2</v>
      </c>
      <c r="D234" s="414">
        <f t="shared" si="38"/>
        <v>7.5673785646841157E-2</v>
      </c>
      <c r="E234" s="414" t="e">
        <f t="shared" si="38"/>
        <v>#DIV/0!</v>
      </c>
      <c r="F234" s="414" t="e">
        <f t="shared" si="38"/>
        <v>#DIV/0!</v>
      </c>
      <c r="G234" s="414" t="e">
        <f t="shared" si="38"/>
        <v>#DIV/0!</v>
      </c>
      <c r="H234" s="414" t="e">
        <f t="shared" si="38"/>
        <v>#DIV/0!</v>
      </c>
      <c r="I234" s="414" t="e">
        <f t="shared" si="38"/>
        <v>#DIV/0!</v>
      </c>
      <c r="J234" s="414" t="e">
        <f t="shared" si="38"/>
        <v>#DIV/0!</v>
      </c>
      <c r="K234" s="414" t="e">
        <f t="shared" si="38"/>
        <v>#DIV/0!</v>
      </c>
      <c r="L234" s="414" t="e">
        <f t="shared" si="38"/>
        <v>#DIV/0!</v>
      </c>
      <c r="M234" s="414" t="e">
        <f t="shared" ref="M234" si="39">(M213+M223)/SUM(M208:M225)</f>
        <v>#DIV/0!</v>
      </c>
      <c r="T234" s="29"/>
    </row>
    <row r="235" spans="1:20" s="4" customFormat="1">
      <c r="B235" s="308" t="str">
        <f t="shared" si="27"/>
        <v>200G SMF</v>
      </c>
      <c r="C235" s="588">
        <f t="shared" ref="C235:L235" si="40">(C214+C224)/SUM(C208:C225)</f>
        <v>0</v>
      </c>
      <c r="D235" s="414">
        <f t="shared" si="40"/>
        <v>0</v>
      </c>
      <c r="E235" s="414" t="e">
        <f t="shared" si="40"/>
        <v>#DIV/0!</v>
      </c>
      <c r="F235" s="414" t="e">
        <f t="shared" si="40"/>
        <v>#DIV/0!</v>
      </c>
      <c r="G235" s="414" t="e">
        <f t="shared" si="40"/>
        <v>#DIV/0!</v>
      </c>
      <c r="H235" s="414" t="e">
        <f t="shared" si="40"/>
        <v>#DIV/0!</v>
      </c>
      <c r="I235" s="414" t="e">
        <f t="shared" si="40"/>
        <v>#DIV/0!</v>
      </c>
      <c r="J235" s="414" t="e">
        <f t="shared" si="40"/>
        <v>#DIV/0!</v>
      </c>
      <c r="K235" s="414" t="e">
        <f t="shared" si="40"/>
        <v>#DIV/0!</v>
      </c>
      <c r="L235" s="414" t="e">
        <f t="shared" si="40"/>
        <v>#DIV/0!</v>
      </c>
      <c r="M235" s="414" t="e">
        <f t="shared" ref="M235" si="41">(M214+M224)/SUM(M208:M225)</f>
        <v>#DIV/0!</v>
      </c>
      <c r="T235" s="29"/>
    </row>
    <row r="236" spans="1:20" s="4" customFormat="1">
      <c r="B236" s="308" t="str">
        <f t="shared" si="27"/>
        <v>400G SMF</v>
      </c>
      <c r="C236" s="588">
        <f t="shared" ref="C236:H237" si="42">(C215+C225)/SUM(C208:C225)</f>
        <v>0</v>
      </c>
      <c r="D236" s="414">
        <f t="shared" si="42"/>
        <v>2.3373209424876932E-6</v>
      </c>
      <c r="E236" s="414" t="e">
        <f t="shared" si="42"/>
        <v>#DIV/0!</v>
      </c>
      <c r="F236" s="414" t="e">
        <f t="shared" si="42"/>
        <v>#DIV/0!</v>
      </c>
      <c r="G236" s="414" t="e">
        <f t="shared" si="42"/>
        <v>#DIV/0!</v>
      </c>
      <c r="H236" s="414" t="e">
        <f t="shared" si="42"/>
        <v>#DIV/0!</v>
      </c>
      <c r="I236" s="414" t="e">
        <f t="shared" ref="I236:K237" si="43">(I215+I225)/SUM(I208:I225)</f>
        <v>#DIV/0!</v>
      </c>
      <c r="J236" s="414" t="e">
        <f t="shared" si="43"/>
        <v>#DIV/0!</v>
      </c>
      <c r="K236" s="414" t="e">
        <f t="shared" si="43"/>
        <v>#DIV/0!</v>
      </c>
      <c r="L236" s="414" t="e">
        <f>(L215+L225)/SUM(L208:L225)</f>
        <v>#DIV/0!</v>
      </c>
      <c r="M236" s="414" t="e">
        <f>(M215+M225)/SUM(M208:M225)</f>
        <v>#DIV/0!</v>
      </c>
      <c r="T236" s="29"/>
    </row>
    <row r="237" spans="1:20" s="4" customFormat="1">
      <c r="B237" s="308" t="str">
        <f t="shared" si="27"/>
        <v>800G SMF</v>
      </c>
      <c r="C237" s="588">
        <f t="shared" si="42"/>
        <v>0</v>
      </c>
      <c r="D237" s="414">
        <f t="shared" si="42"/>
        <v>0</v>
      </c>
      <c r="E237" s="414" t="e">
        <f t="shared" si="42"/>
        <v>#DIV/0!</v>
      </c>
      <c r="F237" s="414" t="e">
        <f t="shared" si="42"/>
        <v>#DIV/0!</v>
      </c>
      <c r="G237" s="414" t="e">
        <f>(G216+G226)/SUM(G209:G226)</f>
        <v>#DIV/0!</v>
      </c>
      <c r="H237" s="414" t="e">
        <f t="shared" si="42"/>
        <v>#DIV/0!</v>
      </c>
      <c r="I237" s="414" t="e">
        <f t="shared" si="43"/>
        <v>#DIV/0!</v>
      </c>
      <c r="J237" s="414" t="e">
        <f t="shared" si="43"/>
        <v>#DIV/0!</v>
      </c>
      <c r="K237" s="414" t="e">
        <f t="shared" si="43"/>
        <v>#DIV/0!</v>
      </c>
      <c r="L237" s="414" t="e">
        <f>(L216+L226)/SUM(L209:L226)</f>
        <v>#DIV/0!</v>
      </c>
      <c r="M237" s="414" t="e">
        <f>(M216+M226)/SUM(M209:M226)</f>
        <v>#DIV/0!</v>
      </c>
      <c r="T237" s="29"/>
    </row>
    <row r="238" spans="1:20" s="4" customFormat="1">
      <c r="A238" s="415"/>
      <c r="B238" s="162" t="s">
        <v>158</v>
      </c>
      <c r="C238" s="589">
        <f t="shared" ref="C238:L238" si="44">SUM(C229:C237)-1</f>
        <v>0</v>
      </c>
      <c r="D238" s="69">
        <f t="shared" si="44"/>
        <v>0</v>
      </c>
      <c r="E238" s="69" t="e">
        <f t="shared" si="44"/>
        <v>#DIV/0!</v>
      </c>
      <c r="F238" s="69" t="e">
        <f t="shared" si="44"/>
        <v>#DIV/0!</v>
      </c>
      <c r="G238" s="69" t="e">
        <f t="shared" si="44"/>
        <v>#DIV/0!</v>
      </c>
      <c r="H238" s="69" t="e">
        <f t="shared" si="44"/>
        <v>#DIV/0!</v>
      </c>
      <c r="I238" s="69" t="e">
        <f t="shared" si="44"/>
        <v>#DIV/0!</v>
      </c>
      <c r="J238" s="69" t="e">
        <f t="shared" si="44"/>
        <v>#DIV/0!</v>
      </c>
      <c r="K238" s="69" t="e">
        <f t="shared" si="44"/>
        <v>#DIV/0!</v>
      </c>
      <c r="L238" s="69" t="e">
        <f t="shared" si="44"/>
        <v>#DIV/0!</v>
      </c>
      <c r="M238" s="69" t="e">
        <f t="shared" ref="M238" si="45">SUM(M229:M237)-1</f>
        <v>#DIV/0!</v>
      </c>
      <c r="T238" s="29"/>
    </row>
    <row r="239" spans="1:20" s="4" customFormat="1">
      <c r="A239" s="415"/>
      <c r="B239" s="288" t="s">
        <v>165</v>
      </c>
      <c r="C239" s="590">
        <f t="shared" ref="C239:L239" si="46">SUM(C208:C215)</f>
        <v>17803446.030000001</v>
      </c>
      <c r="D239" s="281">
        <f t="shared" si="46"/>
        <v>19708933</v>
      </c>
      <c r="E239" s="281">
        <f t="shared" si="46"/>
        <v>0</v>
      </c>
      <c r="F239" s="281">
        <f t="shared" si="46"/>
        <v>0</v>
      </c>
      <c r="G239" s="281">
        <f t="shared" si="46"/>
        <v>0</v>
      </c>
      <c r="H239" s="281">
        <f t="shared" si="46"/>
        <v>0</v>
      </c>
      <c r="I239" s="281">
        <f t="shared" si="46"/>
        <v>0</v>
      </c>
      <c r="J239" s="281">
        <f t="shared" si="46"/>
        <v>0</v>
      </c>
      <c r="K239" s="281">
        <f t="shared" si="46"/>
        <v>0</v>
      </c>
      <c r="L239" s="281">
        <f t="shared" si="46"/>
        <v>0</v>
      </c>
      <c r="M239" s="281">
        <f t="shared" ref="M239" si="47">SUM(M208:M215)</f>
        <v>0</v>
      </c>
      <c r="T239" s="29"/>
    </row>
    <row r="240" spans="1:20" s="4" customFormat="1">
      <c r="A240" s="415"/>
      <c r="B240" s="288" t="s">
        <v>166</v>
      </c>
      <c r="C240" s="590">
        <f t="shared" ref="C240:K240" si="48">SUM(C218:C226)</f>
        <v>18364915.005000003</v>
      </c>
      <c r="D240" s="281">
        <f t="shared" si="48"/>
        <v>18368850.149999999</v>
      </c>
      <c r="E240" s="281">
        <f t="shared" si="48"/>
        <v>0</v>
      </c>
      <c r="F240" s="281">
        <f t="shared" si="48"/>
        <v>0</v>
      </c>
      <c r="G240" s="281">
        <f t="shared" si="48"/>
        <v>0</v>
      </c>
      <c r="H240" s="281">
        <f t="shared" si="48"/>
        <v>0</v>
      </c>
      <c r="I240" s="281">
        <f t="shared" si="48"/>
        <v>0</v>
      </c>
      <c r="J240" s="281">
        <f t="shared" si="48"/>
        <v>0</v>
      </c>
      <c r="K240" s="281">
        <f t="shared" si="48"/>
        <v>0</v>
      </c>
      <c r="L240" s="281">
        <f>SUM(L218:L226)</f>
        <v>0</v>
      </c>
      <c r="M240" s="281">
        <f>SUM(M218:M226)</f>
        <v>0</v>
      </c>
      <c r="T240" s="29"/>
    </row>
    <row r="241" spans="1:33" s="4" customFormat="1">
      <c r="A241" s="415"/>
      <c r="B241" s="288" t="s">
        <v>79</v>
      </c>
      <c r="C241" s="587">
        <f t="shared" ref="C241:L241" si="49">SUM(C208:C215)/SUM(C208:C225)</f>
        <v>0.49223811974149628</v>
      </c>
      <c r="D241" s="274">
        <f t="shared" si="49"/>
        <v>0.51759665005603139</v>
      </c>
      <c r="E241" s="274" t="e">
        <f t="shared" si="49"/>
        <v>#DIV/0!</v>
      </c>
      <c r="F241" s="274" t="e">
        <f t="shared" si="49"/>
        <v>#DIV/0!</v>
      </c>
      <c r="G241" s="274" t="e">
        <f t="shared" si="49"/>
        <v>#DIV/0!</v>
      </c>
      <c r="H241" s="274" t="e">
        <f t="shared" si="49"/>
        <v>#DIV/0!</v>
      </c>
      <c r="I241" s="274" t="e">
        <f t="shared" si="49"/>
        <v>#DIV/0!</v>
      </c>
      <c r="J241" s="274" t="e">
        <f t="shared" si="49"/>
        <v>#DIV/0!</v>
      </c>
      <c r="K241" s="274" t="e">
        <f t="shared" si="49"/>
        <v>#DIV/0!</v>
      </c>
      <c r="L241" s="274" t="e">
        <f t="shared" si="49"/>
        <v>#DIV/0!</v>
      </c>
      <c r="M241" s="274" t="e">
        <f t="shared" ref="M241" si="50">SUM(M208:M215)/SUM(M208:M225)</f>
        <v>#DIV/0!</v>
      </c>
      <c r="T241" s="29"/>
    </row>
    <row r="242" spans="1:33" s="4" customFormat="1">
      <c r="A242" s="415"/>
      <c r="B242" s="288" t="s">
        <v>80</v>
      </c>
      <c r="C242" s="587">
        <f t="shared" ref="C242:L242" si="51">SUM(C218:C225)/SUM(C208:C225)</f>
        <v>0.50776188025850366</v>
      </c>
      <c r="D242" s="274">
        <f t="shared" si="51"/>
        <v>0.48240334994396855</v>
      </c>
      <c r="E242" s="274" t="e">
        <f t="shared" si="51"/>
        <v>#DIV/0!</v>
      </c>
      <c r="F242" s="274" t="e">
        <f t="shared" si="51"/>
        <v>#DIV/0!</v>
      </c>
      <c r="G242" s="274" t="e">
        <f t="shared" si="51"/>
        <v>#DIV/0!</v>
      </c>
      <c r="H242" s="274" t="e">
        <f t="shared" si="51"/>
        <v>#DIV/0!</v>
      </c>
      <c r="I242" s="274" t="e">
        <f t="shared" si="51"/>
        <v>#DIV/0!</v>
      </c>
      <c r="J242" s="274" t="e">
        <f t="shared" si="51"/>
        <v>#DIV/0!</v>
      </c>
      <c r="K242" s="274" t="e">
        <f t="shared" si="51"/>
        <v>#DIV/0!</v>
      </c>
      <c r="L242" s="274" t="e">
        <f t="shared" si="51"/>
        <v>#DIV/0!</v>
      </c>
      <c r="M242" s="274" t="e">
        <f t="shared" ref="M242" si="52">SUM(M218:M225)/SUM(M208:M225)</f>
        <v>#DIV/0!</v>
      </c>
      <c r="T242" s="29"/>
    </row>
    <row r="243" spans="1:33" s="4" customFormat="1">
      <c r="A243" s="273"/>
      <c r="B243" s="288"/>
      <c r="C243" s="73"/>
      <c r="T243" s="29"/>
    </row>
    <row r="244" spans="1:33" s="4" customFormat="1">
      <c r="B244" s="162" t="s">
        <v>478</v>
      </c>
      <c r="C244" s="279"/>
      <c r="D244" s="273"/>
      <c r="E244" s="273"/>
      <c r="F244" s="273"/>
      <c r="G244" s="273"/>
      <c r="H244" s="273"/>
      <c r="I244" s="273"/>
      <c r="J244" s="273"/>
      <c r="K244" s="273"/>
      <c r="L244" s="273"/>
      <c r="M244" s="273"/>
      <c r="T244" s="576" t="s">
        <v>358</v>
      </c>
      <c r="U244" s="389">
        <v>2016</v>
      </c>
      <c r="V244" s="389">
        <v>2017</v>
      </c>
      <c r="W244" s="389">
        <v>2018</v>
      </c>
      <c r="X244" s="389">
        <v>2019</v>
      </c>
      <c r="Y244" s="389">
        <v>2020</v>
      </c>
      <c r="Z244" s="389">
        <v>2021</v>
      </c>
      <c r="AA244" s="389">
        <v>2022</v>
      </c>
      <c r="AB244" s="389">
        <v>2023</v>
      </c>
      <c r="AC244" s="389">
        <v>2024</v>
      </c>
      <c r="AD244" s="389">
        <v>2025</v>
      </c>
      <c r="AE244" s="389">
        <v>2026</v>
      </c>
    </row>
    <row r="245" spans="1:33" s="4" customFormat="1">
      <c r="A245" s="273"/>
      <c r="B245" s="288" t="s">
        <v>165</v>
      </c>
      <c r="C245" s="590">
        <f>SUM(C213:C216)</f>
        <v>299241</v>
      </c>
      <c r="D245" s="276">
        <f t="shared" ref="D245:M245" si="53">SUM(D213:D216)</f>
        <v>631974</v>
      </c>
      <c r="E245" s="276">
        <f t="shared" si="53"/>
        <v>0</v>
      </c>
      <c r="F245" s="276">
        <f t="shared" si="53"/>
        <v>0</v>
      </c>
      <c r="G245" s="276">
        <f t="shared" si="53"/>
        <v>0</v>
      </c>
      <c r="H245" s="276">
        <f t="shared" si="53"/>
        <v>0</v>
      </c>
      <c r="I245" s="276">
        <f t="shared" si="53"/>
        <v>0</v>
      </c>
      <c r="J245" s="276">
        <f t="shared" si="53"/>
        <v>0</v>
      </c>
      <c r="K245" s="276">
        <f t="shared" si="53"/>
        <v>0</v>
      </c>
      <c r="L245" s="276">
        <f t="shared" si="53"/>
        <v>0</v>
      </c>
      <c r="M245" s="276">
        <f t="shared" si="53"/>
        <v>0</v>
      </c>
      <c r="T245" s="288" t="s">
        <v>165</v>
      </c>
      <c r="U245" s="416">
        <f t="shared" ref="U245:AE245" si="54">SUM(C211:C215)</f>
        <v>1828739</v>
      </c>
      <c r="V245" s="416">
        <f t="shared" si="54"/>
        <v>2642840</v>
      </c>
      <c r="W245" s="416">
        <f t="shared" si="54"/>
        <v>0</v>
      </c>
      <c r="X245" s="416">
        <f t="shared" si="54"/>
        <v>0</v>
      </c>
      <c r="Y245" s="416">
        <f t="shared" si="54"/>
        <v>0</v>
      </c>
      <c r="Z245" s="416">
        <f t="shared" si="54"/>
        <v>0</v>
      </c>
      <c r="AA245" s="416">
        <f t="shared" si="54"/>
        <v>0</v>
      </c>
      <c r="AB245" s="416">
        <f t="shared" si="54"/>
        <v>0</v>
      </c>
      <c r="AC245" s="416">
        <f t="shared" si="54"/>
        <v>0</v>
      </c>
      <c r="AD245" s="416">
        <f t="shared" si="54"/>
        <v>0</v>
      </c>
      <c r="AE245" s="416">
        <f t="shared" si="54"/>
        <v>0</v>
      </c>
    </row>
    <row r="246" spans="1:33" s="4" customFormat="1">
      <c r="A246" s="273"/>
      <c r="B246" s="288" t="s">
        <v>166</v>
      </c>
      <c r="C246" s="590">
        <f>SUM(C223:C226)</f>
        <v>620129</v>
      </c>
      <c r="D246" s="276">
        <f t="shared" ref="D246:M246" si="55">SUM(D223:D226)</f>
        <v>2249605</v>
      </c>
      <c r="E246" s="276">
        <f t="shared" si="55"/>
        <v>0</v>
      </c>
      <c r="F246" s="276">
        <f t="shared" si="55"/>
        <v>0</v>
      </c>
      <c r="G246" s="276">
        <f t="shared" si="55"/>
        <v>0</v>
      </c>
      <c r="H246" s="276">
        <f t="shared" si="55"/>
        <v>0</v>
      </c>
      <c r="I246" s="276">
        <f t="shared" si="55"/>
        <v>0</v>
      </c>
      <c r="J246" s="276">
        <f t="shared" si="55"/>
        <v>0</v>
      </c>
      <c r="K246" s="276">
        <f t="shared" si="55"/>
        <v>0</v>
      </c>
      <c r="L246" s="276">
        <f t="shared" si="55"/>
        <v>0</v>
      </c>
      <c r="M246" s="276">
        <f t="shared" si="55"/>
        <v>0</v>
      </c>
      <c r="T246" s="288" t="s">
        <v>166</v>
      </c>
      <c r="U246" s="416">
        <f t="shared" ref="U246:AE246" si="56">SUM(C221:C226)</f>
        <v>2243699</v>
      </c>
      <c r="V246" s="416">
        <f t="shared" si="56"/>
        <v>4102899</v>
      </c>
      <c r="W246" s="416">
        <f t="shared" si="56"/>
        <v>0</v>
      </c>
      <c r="X246" s="416">
        <f t="shared" si="56"/>
        <v>0</v>
      </c>
      <c r="Y246" s="416">
        <f t="shared" si="56"/>
        <v>0</v>
      </c>
      <c r="Z246" s="416">
        <f t="shared" si="56"/>
        <v>0</v>
      </c>
      <c r="AA246" s="416">
        <f t="shared" si="56"/>
        <v>0</v>
      </c>
      <c r="AB246" s="416">
        <f t="shared" si="56"/>
        <v>0</v>
      </c>
      <c r="AC246" s="416">
        <f t="shared" si="56"/>
        <v>0</v>
      </c>
      <c r="AD246" s="416">
        <f t="shared" si="56"/>
        <v>0</v>
      </c>
      <c r="AE246" s="416">
        <f t="shared" si="56"/>
        <v>0</v>
      </c>
    </row>
    <row r="247" spans="1:33" s="4" customFormat="1">
      <c r="A247" s="273"/>
      <c r="B247" s="288" t="s">
        <v>79</v>
      </c>
      <c r="C247" s="587">
        <f>C245/(C245+C246)</f>
        <v>0.32548484288153845</v>
      </c>
      <c r="D247" s="656">
        <f t="shared" ref="D247:M247" si="57">D245/(D245+D246)</f>
        <v>0.21931517407643517</v>
      </c>
      <c r="E247" s="656" t="e">
        <f t="shared" si="57"/>
        <v>#DIV/0!</v>
      </c>
      <c r="F247" s="656" t="e">
        <f t="shared" si="57"/>
        <v>#DIV/0!</v>
      </c>
      <c r="G247" s="656" t="e">
        <f t="shared" si="57"/>
        <v>#DIV/0!</v>
      </c>
      <c r="H247" s="656" t="e">
        <f t="shared" si="57"/>
        <v>#DIV/0!</v>
      </c>
      <c r="I247" s="656" t="e">
        <f t="shared" si="57"/>
        <v>#DIV/0!</v>
      </c>
      <c r="J247" s="656" t="e">
        <f t="shared" si="57"/>
        <v>#DIV/0!</v>
      </c>
      <c r="K247" s="656" t="e">
        <f t="shared" si="57"/>
        <v>#DIV/0!</v>
      </c>
      <c r="L247" s="656" t="e">
        <f t="shared" si="57"/>
        <v>#DIV/0!</v>
      </c>
      <c r="M247" s="656" t="e">
        <f t="shared" si="57"/>
        <v>#DIV/0!</v>
      </c>
      <c r="T247" s="288" t="s">
        <v>79</v>
      </c>
      <c r="U247" s="274">
        <f t="shared" ref="U247:AE247" si="58">U245/(SUM(C211:C215)+SUM(C221:C226))</f>
        <v>0.44905263137216578</v>
      </c>
      <c r="V247" s="274">
        <f t="shared" si="58"/>
        <v>0.39177916607802349</v>
      </c>
      <c r="W247" s="274" t="e">
        <f t="shared" si="58"/>
        <v>#DIV/0!</v>
      </c>
      <c r="X247" s="274" t="e">
        <f t="shared" si="58"/>
        <v>#DIV/0!</v>
      </c>
      <c r="Y247" s="274" t="e">
        <f t="shared" si="58"/>
        <v>#DIV/0!</v>
      </c>
      <c r="Z247" s="274" t="e">
        <f t="shared" si="58"/>
        <v>#DIV/0!</v>
      </c>
      <c r="AA247" s="274" t="e">
        <f t="shared" si="58"/>
        <v>#DIV/0!</v>
      </c>
      <c r="AB247" s="274" t="e">
        <f t="shared" si="58"/>
        <v>#DIV/0!</v>
      </c>
      <c r="AC247" s="274" t="e">
        <f t="shared" si="58"/>
        <v>#DIV/0!</v>
      </c>
      <c r="AD247" s="274" t="e">
        <f t="shared" si="58"/>
        <v>#DIV/0!</v>
      </c>
      <c r="AE247" s="274" t="e">
        <f t="shared" si="58"/>
        <v>#DIV/0!</v>
      </c>
    </row>
    <row r="248" spans="1:33" s="4" customFormat="1">
      <c r="A248" s="273"/>
      <c r="B248" s="288" t="s">
        <v>80</v>
      </c>
      <c r="C248" s="587">
        <f t="shared" ref="C248:L248" si="59">1-C247</f>
        <v>0.67451515711846155</v>
      </c>
      <c r="D248" s="656">
        <f t="shared" si="59"/>
        <v>0.78068482592356481</v>
      </c>
      <c r="E248" s="656" t="e">
        <f t="shared" si="59"/>
        <v>#DIV/0!</v>
      </c>
      <c r="F248" s="656" t="e">
        <f t="shared" si="59"/>
        <v>#DIV/0!</v>
      </c>
      <c r="G248" s="656" t="e">
        <f t="shared" si="59"/>
        <v>#DIV/0!</v>
      </c>
      <c r="H248" s="656" t="e">
        <f t="shared" si="59"/>
        <v>#DIV/0!</v>
      </c>
      <c r="I248" s="656" t="e">
        <f t="shared" si="59"/>
        <v>#DIV/0!</v>
      </c>
      <c r="J248" s="656" t="e">
        <f t="shared" si="59"/>
        <v>#DIV/0!</v>
      </c>
      <c r="K248" s="656" t="e">
        <f t="shared" si="59"/>
        <v>#DIV/0!</v>
      </c>
      <c r="L248" s="656" t="e">
        <f t="shared" si="59"/>
        <v>#DIV/0!</v>
      </c>
      <c r="M248" s="656" t="e">
        <f t="shared" ref="M248" si="60">1-M247</f>
        <v>#DIV/0!</v>
      </c>
      <c r="T248" s="288" t="s">
        <v>80</v>
      </c>
      <c r="U248" s="274">
        <f t="shared" ref="U248:AE248" si="61">U246/(SUM(C221:C226)+SUM(C211:C215))</f>
        <v>0.55094736862783422</v>
      </c>
      <c r="V248" s="274">
        <f t="shared" si="61"/>
        <v>0.60822083392197657</v>
      </c>
      <c r="W248" s="274" t="e">
        <f t="shared" si="61"/>
        <v>#DIV/0!</v>
      </c>
      <c r="X248" s="274" t="e">
        <f t="shared" si="61"/>
        <v>#DIV/0!</v>
      </c>
      <c r="Y248" s="274" t="e">
        <f t="shared" si="61"/>
        <v>#DIV/0!</v>
      </c>
      <c r="Z248" s="274" t="e">
        <f t="shared" si="61"/>
        <v>#DIV/0!</v>
      </c>
      <c r="AA248" s="274" t="e">
        <f t="shared" si="61"/>
        <v>#DIV/0!</v>
      </c>
      <c r="AB248" s="274" t="e">
        <f t="shared" si="61"/>
        <v>#DIV/0!</v>
      </c>
      <c r="AC248" s="274" t="e">
        <f t="shared" si="61"/>
        <v>#DIV/0!</v>
      </c>
      <c r="AD248" s="274" t="e">
        <f t="shared" si="61"/>
        <v>#DIV/0!</v>
      </c>
      <c r="AE248" s="274" t="e">
        <f t="shared" si="61"/>
        <v>#DIV/0!</v>
      </c>
    </row>
    <row r="249" spans="1:33" s="4" customFormat="1">
      <c r="A249" s="273"/>
      <c r="C249" s="19"/>
      <c r="D249" s="19"/>
      <c r="E249" s="19"/>
      <c r="F249" s="19"/>
      <c r="G249" s="19"/>
      <c r="H249" s="19"/>
      <c r="I249" s="19"/>
      <c r="J249" s="19"/>
      <c r="K249" s="19"/>
      <c r="L249" s="19"/>
      <c r="M249" s="19"/>
      <c r="T249" s="29"/>
      <c r="U249" s="531">
        <f t="shared" ref="U249:AC249" si="62">U248+U247-1</f>
        <v>0</v>
      </c>
      <c r="V249" s="531">
        <f t="shared" si="62"/>
        <v>0</v>
      </c>
      <c r="W249" s="531" t="e">
        <f t="shared" si="62"/>
        <v>#DIV/0!</v>
      </c>
      <c r="X249" s="531" t="e">
        <f t="shared" si="62"/>
        <v>#DIV/0!</v>
      </c>
      <c r="Y249" s="531" t="e">
        <f t="shared" si="62"/>
        <v>#DIV/0!</v>
      </c>
      <c r="Z249" s="531" t="e">
        <f t="shared" si="62"/>
        <v>#DIV/0!</v>
      </c>
      <c r="AA249" s="531" t="e">
        <f t="shared" si="62"/>
        <v>#DIV/0!</v>
      </c>
      <c r="AB249" s="531" t="e">
        <f t="shared" si="62"/>
        <v>#DIV/0!</v>
      </c>
      <c r="AC249" s="531" t="e">
        <f t="shared" si="62"/>
        <v>#DIV/0!</v>
      </c>
      <c r="AD249" s="531" t="e">
        <f>AD248+AD247-1</f>
        <v>#DIV/0!</v>
      </c>
      <c r="AE249" s="531" t="e">
        <f>AE248+AE247-1</f>
        <v>#DIV/0!</v>
      </c>
    </row>
    <row r="250" spans="1:33" s="4" customFormat="1" ht="21">
      <c r="B250" s="17" t="s">
        <v>184</v>
      </c>
      <c r="T250" s="29"/>
    </row>
    <row r="251" spans="1:33" s="4" customFormat="1" ht="22.5" customHeight="1">
      <c r="T251" s="29"/>
    </row>
    <row r="252" spans="1:33">
      <c r="AG252" s="4"/>
    </row>
    <row r="253" spans="1:33" s="4" customFormat="1" ht="13.5" customHeight="1">
      <c r="B253" s="17"/>
      <c r="T253" s="29"/>
    </row>
    <row r="254" spans="1:33" s="4" customFormat="1" ht="13.5" customHeight="1">
      <c r="B254" s="17"/>
      <c r="T254" s="29"/>
    </row>
    <row r="255" spans="1:33" s="4" customFormat="1" ht="13.5" customHeight="1">
      <c r="B255" s="17"/>
      <c r="T255" s="29"/>
    </row>
    <row r="256" spans="1:33" s="4" customFormat="1" ht="13.5" customHeight="1">
      <c r="B256" s="17"/>
      <c r="T256" s="29"/>
    </row>
    <row r="257" spans="2:20" s="4" customFormat="1" ht="13.5" customHeight="1">
      <c r="B257" s="17"/>
      <c r="T257" s="29"/>
    </row>
    <row r="258" spans="2:20" s="4" customFormat="1" ht="12.5">
      <c r="T258" s="29"/>
    </row>
    <row r="259" spans="2:20" s="4" customFormat="1" ht="12.5">
      <c r="T259" s="29"/>
    </row>
    <row r="260" spans="2:20" s="4" customFormat="1" ht="12.5">
      <c r="T260" s="29"/>
    </row>
    <row r="261" spans="2:20" s="4" customFormat="1" ht="12.5">
      <c r="T261" s="29"/>
    </row>
    <row r="262" spans="2:20" s="4" customFormat="1" ht="12.5">
      <c r="T262" s="29"/>
    </row>
    <row r="263" spans="2:20" s="4" customFormat="1" ht="12.5">
      <c r="T263" s="29"/>
    </row>
    <row r="264" spans="2:20" s="4" customFormat="1" ht="12.5">
      <c r="T264" s="29"/>
    </row>
    <row r="265" spans="2:20" s="4" customFormat="1" ht="12.5">
      <c r="T265" s="29"/>
    </row>
    <row r="266" spans="2:20" s="4" customFormat="1" ht="12.5">
      <c r="T266" s="29"/>
    </row>
    <row r="267" spans="2:20" s="4" customFormat="1" ht="12.5">
      <c r="T267" s="29"/>
    </row>
    <row r="268" spans="2:20" s="4" customFormat="1" ht="12.5">
      <c r="T268" s="29"/>
    </row>
    <row r="269" spans="2:20" s="4" customFormat="1" ht="12.5">
      <c r="T269" s="29"/>
    </row>
    <row r="270" spans="2:20" s="4" customFormat="1" ht="12.5">
      <c r="T270" s="29"/>
    </row>
    <row r="271" spans="2:20" s="4" customFormat="1" ht="12.5">
      <c r="T271" s="29"/>
    </row>
    <row r="272" spans="2:20" s="4" customFormat="1">
      <c r="B272" s="3" t="s">
        <v>185</v>
      </c>
      <c r="T272" s="29"/>
    </row>
    <row r="273" spans="1:20" s="4" customFormat="1" ht="12.5">
      <c r="B273" s="4" t="s">
        <v>186</v>
      </c>
      <c r="T273" s="29"/>
    </row>
    <row r="274" spans="1:20" s="4" customFormat="1" ht="12.5">
      <c r="B274" s="4" t="s">
        <v>187</v>
      </c>
      <c r="T274" s="29"/>
    </row>
    <row r="275" spans="1:20" s="4" customFormat="1">
      <c r="B275" s="4" t="s">
        <v>188</v>
      </c>
      <c r="C275" s="388">
        <v>2016</v>
      </c>
      <c r="D275" s="389">
        <v>2017</v>
      </c>
      <c r="E275" s="389">
        <v>2018</v>
      </c>
      <c r="F275" s="389">
        <v>2019</v>
      </c>
      <c r="G275" s="389">
        <v>2020</v>
      </c>
      <c r="H275" s="389">
        <v>2021</v>
      </c>
      <c r="I275" s="389">
        <v>2022</v>
      </c>
      <c r="J275" s="389">
        <v>2023</v>
      </c>
      <c r="K275" s="389">
        <v>2024</v>
      </c>
      <c r="L275" s="389">
        <v>2025</v>
      </c>
      <c r="M275" s="389">
        <v>2026</v>
      </c>
      <c r="T275" s="29"/>
    </row>
    <row r="276" spans="1:20" s="4" customFormat="1" ht="15.5">
      <c r="A276" s="273"/>
      <c r="B276" s="610" t="s">
        <v>70</v>
      </c>
      <c r="C276" s="397">
        <f>SUM('Products x speed'!E9)</f>
        <v>4496175.0999999996</v>
      </c>
      <c r="D276" s="390">
        <f>SUM('Products x speed'!F9)</f>
        <v>4278484</v>
      </c>
      <c r="E276" s="390">
        <f>SUM('Products x speed'!G9)</f>
        <v>0</v>
      </c>
      <c r="F276" s="390">
        <f>SUM('Products x speed'!H9)</f>
        <v>0</v>
      </c>
      <c r="G276" s="390">
        <f>SUM('Products x speed'!I9)</f>
        <v>0</v>
      </c>
      <c r="H276" s="390">
        <f>SUM('Products x speed'!J9)</f>
        <v>0</v>
      </c>
      <c r="I276" s="390">
        <f>SUM('Products x speed'!K9)</f>
        <v>0</v>
      </c>
      <c r="J276" s="390">
        <f>SUM('Products x speed'!L9)</f>
        <v>0</v>
      </c>
      <c r="K276" s="390">
        <f>SUM('Products x speed'!M9)</f>
        <v>0</v>
      </c>
      <c r="L276" s="390">
        <f>SUM('Products x speed'!N9)</f>
        <v>0</v>
      </c>
      <c r="M276" s="390">
        <f>SUM('Products x speed'!O9)</f>
        <v>0</v>
      </c>
      <c r="T276" s="29"/>
    </row>
    <row r="277" spans="1:20" s="4" customFormat="1" ht="15.5">
      <c r="A277" s="273"/>
      <c r="B277" s="611" t="s">
        <v>71</v>
      </c>
      <c r="C277" s="397">
        <f>SUM('Products x speed'!E14:E16)+SUM('Products x speed'!E27:E29)</f>
        <v>13000883.93</v>
      </c>
      <c r="D277" s="390">
        <f>SUM('Products x speed'!F14:F16)+SUM('Products x speed'!F27:F29)</f>
        <v>14702610</v>
      </c>
      <c r="E277" s="390">
        <f>SUM('Products x speed'!G14:G16)+SUM('Products x speed'!G27:G29)</f>
        <v>0</v>
      </c>
      <c r="F277" s="390">
        <f>SUM('Products x speed'!H14:H16)+SUM('Products x speed'!H27:H29)</f>
        <v>0</v>
      </c>
      <c r="G277" s="390">
        <f>SUM('Products x speed'!I14:I16)+SUM('Products x speed'!I27:I29)</f>
        <v>0</v>
      </c>
      <c r="H277" s="390">
        <f>SUM('Products x speed'!J14:J16)+SUM('Products x speed'!J27:J29)</f>
        <v>0</v>
      </c>
      <c r="I277" s="390">
        <f>SUM('Products x speed'!K14:K16)+SUM('Products x speed'!K27:K29)</f>
        <v>0</v>
      </c>
      <c r="J277" s="390">
        <f>SUM('Products x speed'!L14:L16)+SUM('Products x speed'!L27:L29)</f>
        <v>0</v>
      </c>
      <c r="K277" s="390">
        <f>SUM('Products x speed'!M14:M16)+SUM('Products x speed'!M27:M29)</f>
        <v>0</v>
      </c>
      <c r="L277" s="390">
        <f>SUM('Products x speed'!N14:N16)+SUM('Products x speed'!N27:N29)</f>
        <v>0</v>
      </c>
      <c r="M277" s="390">
        <f>SUM('Products x speed'!O14:O16)+SUM('Products x speed'!O27:O29)</f>
        <v>0</v>
      </c>
      <c r="T277" s="29"/>
    </row>
    <row r="278" spans="1:20" s="4" customFormat="1" ht="15.5">
      <c r="A278" s="273"/>
      <c r="B278" s="612" t="s">
        <v>72</v>
      </c>
      <c r="C278" s="397">
        <f>'Products x speed'!E24+SUM('Products x speed'!E39:E42)+'Products x speed'!E44</f>
        <v>306387</v>
      </c>
      <c r="D278" s="390">
        <f>'Products x speed'!F24+SUM('Products x speed'!F39:F42)+'Products x speed'!F44</f>
        <v>727839</v>
      </c>
      <c r="E278" s="390">
        <f>'Products x speed'!G24+SUM('Products x speed'!G39:G42)+'Products x speed'!G44</f>
        <v>0</v>
      </c>
      <c r="F278" s="390">
        <f>'Products x speed'!H24+SUM('Products x speed'!H39:H42)+'Products x speed'!H44</f>
        <v>0</v>
      </c>
      <c r="G278" s="390">
        <f>'Products x speed'!I24+SUM('Products x speed'!I39:I42)+'Products x speed'!I44</f>
        <v>0</v>
      </c>
      <c r="H278" s="390">
        <f>'Products x speed'!J24+SUM('Products x speed'!J39:J42)+'Products x speed'!J44</f>
        <v>0</v>
      </c>
      <c r="I278" s="390">
        <f>'Products x speed'!K24+SUM('Products x speed'!K39:K42)+'Products x speed'!K44</f>
        <v>0</v>
      </c>
      <c r="J278" s="390">
        <f>'Products x speed'!L24+SUM('Products x speed'!L39:L42)+'Products x speed'!L44</f>
        <v>0</v>
      </c>
      <c r="K278" s="390">
        <f>'Products x speed'!M24+SUM('Products x speed'!M39:M42)+'Products x speed'!M44</f>
        <v>0</v>
      </c>
      <c r="L278" s="390">
        <f>'Products x speed'!N24+SUM('Products x speed'!N39:N42)+'Products x speed'!N44</f>
        <v>0</v>
      </c>
      <c r="M278" s="390">
        <f>'Products x speed'!O24+SUM('Products x speed'!O39:O42)+'Products x speed'!O44</f>
        <v>0</v>
      </c>
      <c r="T278" s="29"/>
    </row>
    <row r="279" spans="1:20" s="4" customFormat="1" ht="15.5">
      <c r="A279" s="273"/>
      <c r="B279" s="613" t="s">
        <v>149</v>
      </c>
      <c r="C279" s="399"/>
      <c r="D279" s="391"/>
      <c r="E279" s="391">
        <f>'Products x speed'!G36+'Products x speed'!G43+'Products x speed'!G58+'Products x speed'!G62</f>
        <v>0</v>
      </c>
      <c r="F279" s="391">
        <f>'Products x speed'!H36+'Products x speed'!H43+'Products x speed'!H58+'Products x speed'!H62</f>
        <v>0</v>
      </c>
      <c r="G279" s="391">
        <f>'Products x speed'!I36+'Products x speed'!I43+'Products x speed'!I58+'Products x speed'!I62</f>
        <v>0</v>
      </c>
      <c r="H279" s="391">
        <f>'Products x speed'!J36+'Products x speed'!J43+'Products x speed'!J58+'Products x speed'!J62</f>
        <v>0</v>
      </c>
      <c r="I279" s="391">
        <f>'Products x speed'!K36+'Products x speed'!K43+'Products x speed'!K58+'Products x speed'!K62</f>
        <v>0</v>
      </c>
      <c r="J279" s="391">
        <f>'Products x speed'!L36+'Products x speed'!L43+'Products x speed'!L58+'Products x speed'!L62</f>
        <v>0</v>
      </c>
      <c r="K279" s="391">
        <f>'Products x speed'!M36+'Products x speed'!M43+'Products x speed'!M58+'Products x speed'!M62</f>
        <v>0</v>
      </c>
      <c r="L279" s="391">
        <f>'Products x speed'!N36+'Products x speed'!N43+'Products x speed'!N58+'Products x speed'!N62</f>
        <v>0</v>
      </c>
      <c r="M279" s="391">
        <f>'Products x speed'!O36+'Products x speed'!O43+'Products x speed'!O58+'Products x speed'!O62</f>
        <v>0</v>
      </c>
      <c r="T279" s="29"/>
    </row>
    <row r="280" spans="1:20" s="4" customFormat="1" ht="15.5">
      <c r="A280" s="273"/>
      <c r="B280" s="614" t="s">
        <v>73</v>
      </c>
      <c r="C280" s="397">
        <f>SUM('Products x speed'!E10:E12)</f>
        <v>9071235.0050000008</v>
      </c>
      <c r="D280" s="390">
        <f>SUM('Products x speed'!F10:F12)</f>
        <v>6995211.0500000007</v>
      </c>
      <c r="E280" s="390">
        <f>SUM('Products x speed'!G10:G12)</f>
        <v>0</v>
      </c>
      <c r="F280" s="390">
        <f>SUM('Products x speed'!H10:H12)</f>
        <v>0</v>
      </c>
      <c r="G280" s="390">
        <f>SUM('Products x speed'!I10:I12)</f>
        <v>0</v>
      </c>
      <c r="H280" s="390">
        <f>SUM('Products x speed'!J10:J12)</f>
        <v>0</v>
      </c>
      <c r="I280" s="390">
        <f>SUM('Products x speed'!K10:K12)</f>
        <v>0</v>
      </c>
      <c r="J280" s="390">
        <f>SUM('Products x speed'!L10:L12)</f>
        <v>0</v>
      </c>
      <c r="K280" s="390">
        <f>SUM('Products x speed'!M10:M12)</f>
        <v>0</v>
      </c>
      <c r="L280" s="390">
        <f>SUM('Products x speed'!N10:N12)</f>
        <v>0</v>
      </c>
      <c r="M280" s="390">
        <f>SUM('Products x speed'!O10:O12)</f>
        <v>0</v>
      </c>
      <c r="T280" s="29"/>
    </row>
    <row r="281" spans="1:20" s="4" customFormat="1" ht="15.5">
      <c r="A281" s="273"/>
      <c r="B281" s="615" t="s">
        <v>74</v>
      </c>
      <c r="C281" s="397">
        <f>SUM('Products x speed'!E17:E22)+SUM('Products x speed'!E30:E35)</f>
        <v>8669003</v>
      </c>
      <c r="D281" s="390">
        <f>SUM('Products x speed'!F17:F22)+SUM('Products x speed'!F30:F35)</f>
        <v>9106572.0999999996</v>
      </c>
      <c r="E281" s="390">
        <f>SUM('Products x speed'!G17:G22)+SUM('Products x speed'!G30:G35)</f>
        <v>0</v>
      </c>
      <c r="F281" s="390">
        <f>SUM('Products x speed'!H17:H22)+SUM('Products x speed'!H30:H35)</f>
        <v>0</v>
      </c>
      <c r="G281" s="390">
        <f>SUM('Products x speed'!I17:I22)+SUM('Products x speed'!I30:I35)</f>
        <v>0</v>
      </c>
      <c r="H281" s="390">
        <f>SUM('Products x speed'!J17:J22)+SUM('Products x speed'!J30:J35)</f>
        <v>0</v>
      </c>
      <c r="I281" s="390">
        <f>SUM('Products x speed'!K17:K22)+SUM('Products x speed'!K30:K35)</f>
        <v>0</v>
      </c>
      <c r="J281" s="390">
        <f>SUM('Products x speed'!L17:L22)+SUM('Products x speed'!L30:L35)</f>
        <v>0</v>
      </c>
      <c r="K281" s="390">
        <f>SUM('Products x speed'!M17:M22)+SUM('Products x speed'!M30:M35)</f>
        <v>0</v>
      </c>
      <c r="L281" s="390">
        <f>SUM('Products x speed'!N17:N22)+SUM('Products x speed'!N30:N35)</f>
        <v>0</v>
      </c>
      <c r="M281" s="390">
        <f>SUM('Products x speed'!O17:O22)+SUM('Products x speed'!O30:O35)</f>
        <v>0</v>
      </c>
      <c r="T281" s="29"/>
    </row>
    <row r="282" spans="1:20" s="4" customFormat="1" ht="15.5">
      <c r="A282" s="273"/>
      <c r="B282" s="616" t="s">
        <v>75</v>
      </c>
      <c r="C282" s="397">
        <f>'Products x speed'!E25+'Products x speed'!E26+SUM('Products x speed'!E45:E57)-'Products x speed'!E46</f>
        <v>624677</v>
      </c>
      <c r="D282" s="390">
        <f>'Products x speed'!F25+'Products x speed'!F26+SUM('Products x speed'!F45:F57)-'Products x speed'!F46</f>
        <v>2266978</v>
      </c>
      <c r="E282" s="390">
        <f>'Products x speed'!G25+'Products x speed'!G26+SUM('Products x speed'!G45:G57)-'Products x speed'!G46</f>
        <v>0</v>
      </c>
      <c r="F282" s="390">
        <f>'Products x speed'!H25+'Products x speed'!H26+SUM('Products x speed'!H45:H57)-'Products x speed'!H46</f>
        <v>0</v>
      </c>
      <c r="G282" s="390">
        <f>'Products x speed'!I25+'Products x speed'!I26+SUM('Products x speed'!I45:I57)-'Products x speed'!I46</f>
        <v>0</v>
      </c>
      <c r="H282" s="390">
        <f>'Products x speed'!J25+'Products x speed'!J26+SUM('Products x speed'!J45:J57)-'Products x speed'!J46</f>
        <v>0</v>
      </c>
      <c r="I282" s="390">
        <f>'Products x speed'!K25+'Products x speed'!K26+SUM('Products x speed'!K45:K57)-'Products x speed'!K46</f>
        <v>0</v>
      </c>
      <c r="J282" s="390">
        <f>'Products x speed'!L25+'Products x speed'!L26+SUM('Products x speed'!L45:L57)-'Products x speed'!L46</f>
        <v>0</v>
      </c>
      <c r="K282" s="390">
        <f>'Products x speed'!M25+'Products x speed'!M26+SUM('Products x speed'!M45:M57)-'Products x speed'!M46</f>
        <v>0</v>
      </c>
      <c r="L282" s="390">
        <f>'Products x speed'!N25+'Products x speed'!N26+SUM('Products x speed'!N45:N57)-'Products x speed'!N46</f>
        <v>0</v>
      </c>
      <c r="M282" s="390">
        <f>'Products x speed'!O25+'Products x speed'!O26+SUM('Products x speed'!O45:O57)-'Products x speed'!O46</f>
        <v>0</v>
      </c>
      <c r="T282" s="29"/>
    </row>
    <row r="283" spans="1:20" s="4" customFormat="1" ht="15.5">
      <c r="A283" s="273"/>
      <c r="B283" s="617" t="s">
        <v>148</v>
      </c>
      <c r="C283" s="397"/>
      <c r="D283" s="390">
        <f>'Products x speed'!F37+'Products x speed'!F38+'Products x speed'!F59+'Products x speed'!F60+'Products x speed'!F61+'Products x speed'!F65</f>
        <v>82</v>
      </c>
      <c r="E283" s="390">
        <f>'Products x speed'!G37+'Products x speed'!G38+'Products x speed'!G59+'Products x speed'!G60+'Products x speed'!G61+'Products x speed'!G65</f>
        <v>0</v>
      </c>
      <c r="F283" s="390">
        <f>'Products x speed'!H37+'Products x speed'!H38+'Products x speed'!H59+'Products x speed'!H60+'Products x speed'!H61+'Products x speed'!H65</f>
        <v>0</v>
      </c>
      <c r="G283" s="390">
        <f>'Products x speed'!I37+'Products x speed'!I38+'Products x speed'!I59+'Products x speed'!I60+'Products x speed'!I61+'Products x speed'!I65</f>
        <v>0</v>
      </c>
      <c r="H283" s="390">
        <f>'Products x speed'!J37+'Products x speed'!J38+'Products x speed'!J59+'Products x speed'!J60+'Products x speed'!J61+'Products x speed'!J65</f>
        <v>0</v>
      </c>
      <c r="I283" s="390">
        <f>'Products x speed'!K37+'Products x speed'!K38+'Products x speed'!K59+'Products x speed'!K60+'Products x speed'!K61+'Products x speed'!K65</f>
        <v>0</v>
      </c>
      <c r="J283" s="390">
        <f>'Products x speed'!L37+'Products x speed'!L38+'Products x speed'!L59+'Products x speed'!L60+'Products x speed'!L61+'Products x speed'!L65</f>
        <v>0</v>
      </c>
      <c r="K283" s="390">
        <f>'Products x speed'!M37+'Products x speed'!M38+'Products x speed'!M59+'Products x speed'!M60+'Products x speed'!M61+'Products x speed'!M65</f>
        <v>0</v>
      </c>
      <c r="L283" s="390">
        <f>'Products x speed'!N37+'Products x speed'!N38+'Products x speed'!N59+'Products x speed'!N60+'Products x speed'!N61+'Products x speed'!N65</f>
        <v>0</v>
      </c>
      <c r="M283" s="390">
        <f>'Products x speed'!O37+'Products x speed'!O38+'Products x speed'!O59+'Products x speed'!O60+'Products x speed'!O61+'Products x speed'!O65</f>
        <v>0</v>
      </c>
      <c r="O283" s="536" t="s">
        <v>481</v>
      </c>
      <c r="T283" s="29"/>
    </row>
    <row r="284" spans="1:20" s="4" customFormat="1" ht="15.5">
      <c r="A284" s="273"/>
      <c r="B284" s="618" t="s">
        <v>142</v>
      </c>
      <c r="C284" s="399"/>
      <c r="D284" s="391">
        <f>'Products x speed'!F46+'Products x speed'!F63+'Products x speed'!F64+'Products x speed'!F66+'Products x speed'!F67+'Products x speed'!F68</f>
        <v>7</v>
      </c>
      <c r="E284" s="391">
        <f>'Products x speed'!G46+'Products x speed'!G63+'Products x speed'!G64+'Products x speed'!G66+'Products x speed'!G67+'Products x speed'!G68</f>
        <v>0</v>
      </c>
      <c r="F284" s="391">
        <f>'Products x speed'!H46+'Products x speed'!H63+'Products x speed'!H64+'Products x speed'!H66+'Products x speed'!H67+'Products x speed'!H68</f>
        <v>0</v>
      </c>
      <c r="G284" s="391">
        <f>'Products x speed'!I46+'Products x speed'!I63+'Products x speed'!I64+'Products x speed'!I66+'Products x speed'!I67+'Products x speed'!I68</f>
        <v>0</v>
      </c>
      <c r="H284" s="391">
        <f>'Products x speed'!J46+'Products x speed'!J63+'Products x speed'!J64+'Products x speed'!J66+'Products x speed'!J67+'Products x speed'!J68</f>
        <v>0</v>
      </c>
      <c r="I284" s="391">
        <f>'Products x speed'!K46+'Products x speed'!K63+'Products x speed'!K64+'Products x speed'!K66+'Products x speed'!K67+'Products x speed'!K68</f>
        <v>0</v>
      </c>
      <c r="J284" s="391">
        <f>'Products x speed'!L46+'Products x speed'!L63+'Products x speed'!L64+'Products x speed'!L66+'Products x speed'!L67+'Products x speed'!L68</f>
        <v>0</v>
      </c>
      <c r="K284" s="391">
        <f>'Products x speed'!M46+'Products x speed'!M63+'Products x speed'!M64+'Products x speed'!M66+'Products x speed'!M67+'Products x speed'!M68</f>
        <v>0</v>
      </c>
      <c r="L284" s="391">
        <f>'Products x speed'!N46+'Products x speed'!N63+'Products x speed'!N64+'Products x speed'!N66+'Products x speed'!N67+'Products x speed'!N68</f>
        <v>0</v>
      </c>
      <c r="M284" s="391">
        <f>'Products x speed'!O46+'Products x speed'!O63+'Products x speed'!O64+'Products x speed'!O66+'Products x speed'!O67+'Products x speed'!O68</f>
        <v>0</v>
      </c>
      <c r="O284" s="536" t="s">
        <v>480</v>
      </c>
      <c r="T284" s="29"/>
    </row>
    <row r="285" spans="1:20" s="4" customFormat="1">
      <c r="A285" s="273"/>
      <c r="B285" s="106"/>
      <c r="T285" s="29"/>
    </row>
    <row r="286" spans="1:20" s="4" customFormat="1">
      <c r="A286" s="273"/>
      <c r="B286" s="417" t="s">
        <v>77</v>
      </c>
      <c r="C286" s="591"/>
      <c r="D286" s="295"/>
      <c r="E286" s="295"/>
      <c r="F286" s="295"/>
      <c r="G286" s="295"/>
      <c r="H286" s="295"/>
      <c r="I286" s="295"/>
      <c r="J286" s="295"/>
      <c r="K286" s="295"/>
      <c r="L286" s="295"/>
      <c r="M286" s="295"/>
      <c r="T286" s="29"/>
    </row>
    <row r="287" spans="1:20" s="4" customFormat="1">
      <c r="B287" s="288" t="s">
        <v>153</v>
      </c>
      <c r="C287" s="587">
        <f>(C276+C280)/SUM(C276:C284)</f>
        <v>0.37511818939959324</v>
      </c>
      <c r="D287" s="274">
        <f>(D276+D280)/SUM(D276:D284)</f>
        <v>0.2960701521301668</v>
      </c>
      <c r="E287" s="274" t="e">
        <f>(E276+E280)/SUM(E276:E284)</f>
        <v>#DIV/0!</v>
      </c>
      <c r="F287" s="274" t="e">
        <f t="shared" ref="F287:K287" si="63">(F276+F280)/SUM(F276:F284)</f>
        <v>#DIV/0!</v>
      </c>
      <c r="G287" s="274" t="e">
        <f t="shared" si="63"/>
        <v>#DIV/0!</v>
      </c>
      <c r="H287" s="274" t="e">
        <f t="shared" si="63"/>
        <v>#DIV/0!</v>
      </c>
      <c r="I287" s="274" t="e">
        <f t="shared" si="63"/>
        <v>#DIV/0!</v>
      </c>
      <c r="J287" s="274" t="e">
        <f t="shared" si="63"/>
        <v>#DIV/0!</v>
      </c>
      <c r="K287" s="274" t="e">
        <f t="shared" si="63"/>
        <v>#DIV/0!</v>
      </c>
      <c r="L287" s="274" t="e">
        <f>(L276+L280)/SUM(L276:L284)</f>
        <v>#DIV/0!</v>
      </c>
      <c r="M287" s="274" t="e">
        <f>(M276+M280)/SUM(M276:M284)</f>
        <v>#DIV/0!</v>
      </c>
      <c r="T287" s="29"/>
    </row>
    <row r="288" spans="1:20" s="4" customFormat="1">
      <c r="A288" s="415"/>
      <c r="B288" s="288" t="s">
        <v>61</v>
      </c>
      <c r="C288" s="587">
        <f>(C277+C281)/SUM(C276:C284)</f>
        <v>0.59913931153889233</v>
      </c>
      <c r="D288" s="274">
        <f>(D277+D281)/SUM(D276:D284)</f>
        <v>0.62527752748127097</v>
      </c>
      <c r="E288" s="274" t="e">
        <f>(E277+E281)/SUM(E276:E284)</f>
        <v>#DIV/0!</v>
      </c>
      <c r="F288" s="274" t="e">
        <f t="shared" ref="F288:K288" si="64">(F277+F281)/SUM(F276:F284)</f>
        <v>#DIV/0!</v>
      </c>
      <c r="G288" s="274" t="e">
        <f t="shared" si="64"/>
        <v>#DIV/0!</v>
      </c>
      <c r="H288" s="274" t="e">
        <f t="shared" si="64"/>
        <v>#DIV/0!</v>
      </c>
      <c r="I288" s="274" t="e">
        <f t="shared" si="64"/>
        <v>#DIV/0!</v>
      </c>
      <c r="J288" s="274" t="e">
        <f t="shared" si="64"/>
        <v>#DIV/0!</v>
      </c>
      <c r="K288" s="274" t="e">
        <f t="shared" si="64"/>
        <v>#DIV/0!</v>
      </c>
      <c r="L288" s="274" t="e">
        <f>(L277+L281)/SUM(L276:L284)</f>
        <v>#DIV/0!</v>
      </c>
      <c r="M288" s="274" t="e">
        <f>(M277+M281)/SUM(M276:M284)</f>
        <v>#DIV/0!</v>
      </c>
      <c r="T288" s="29"/>
    </row>
    <row r="289" spans="1:33" s="4" customFormat="1">
      <c r="A289" s="415"/>
      <c r="B289" s="288" t="s">
        <v>76</v>
      </c>
      <c r="C289" s="592">
        <f>(C278+C282)/SUM(C276:C284)</f>
        <v>2.5742499061514355E-2</v>
      </c>
      <c r="D289" s="418">
        <f>(D278+D282)/SUM(D276:D284)</f>
        <v>7.8649983067619847E-2</v>
      </c>
      <c r="E289" s="418" t="e">
        <f>(E278+E282)/SUM(E276:E284)</f>
        <v>#DIV/0!</v>
      </c>
      <c r="F289" s="418" t="e">
        <f t="shared" ref="F289:K289" si="65">(F278+F282)/SUM(F276:F284)</f>
        <v>#DIV/0!</v>
      </c>
      <c r="G289" s="418" t="e">
        <f t="shared" si="65"/>
        <v>#DIV/0!</v>
      </c>
      <c r="H289" s="418" t="e">
        <f t="shared" si="65"/>
        <v>#DIV/0!</v>
      </c>
      <c r="I289" s="418" t="e">
        <f t="shared" si="65"/>
        <v>#DIV/0!</v>
      </c>
      <c r="J289" s="418" t="e">
        <f t="shared" si="65"/>
        <v>#DIV/0!</v>
      </c>
      <c r="K289" s="418" t="e">
        <f t="shared" si="65"/>
        <v>#DIV/0!</v>
      </c>
      <c r="L289" s="418" t="e">
        <f>(L278+L282)/SUM(L276:L284)</f>
        <v>#DIV/0!</v>
      </c>
      <c r="M289" s="418" t="e">
        <f>(M278+M282)/SUM(M276:M284)</f>
        <v>#DIV/0!</v>
      </c>
      <c r="T289" s="29"/>
    </row>
    <row r="290" spans="1:33" s="4" customFormat="1">
      <c r="A290" s="415"/>
      <c r="B290" s="288" t="s">
        <v>138</v>
      </c>
      <c r="C290" s="592"/>
      <c r="D290" s="418"/>
      <c r="E290" s="418" t="e">
        <f>(E283+E279)/SUM(E276:E284)</f>
        <v>#DIV/0!</v>
      </c>
      <c r="F290" s="418" t="e">
        <f t="shared" ref="F290:K290" si="66">(F283+F279)/SUM(F276:F284)</f>
        <v>#DIV/0!</v>
      </c>
      <c r="G290" s="418" t="e">
        <f t="shared" si="66"/>
        <v>#DIV/0!</v>
      </c>
      <c r="H290" s="418" t="e">
        <f t="shared" si="66"/>
        <v>#DIV/0!</v>
      </c>
      <c r="I290" s="418" t="e">
        <f t="shared" si="66"/>
        <v>#DIV/0!</v>
      </c>
      <c r="J290" s="418" t="e">
        <f t="shared" si="66"/>
        <v>#DIV/0!</v>
      </c>
      <c r="K290" s="418" t="e">
        <f t="shared" si="66"/>
        <v>#DIV/0!</v>
      </c>
      <c r="L290" s="418" t="e">
        <f>(L283+L279)/SUM(L276:L284)</f>
        <v>#DIV/0!</v>
      </c>
      <c r="M290" s="418" t="e">
        <f>(M283+M279)/SUM(M276:M284)</f>
        <v>#DIV/0!</v>
      </c>
      <c r="T290" s="29"/>
    </row>
    <row r="291" spans="1:33" s="4" customFormat="1">
      <c r="A291" s="415"/>
      <c r="B291" s="288" t="s">
        <v>62</v>
      </c>
      <c r="C291" s="592"/>
      <c r="D291" s="418"/>
      <c r="E291" s="418" t="e">
        <f>(E284)/SUM(E276:E284)</f>
        <v>#DIV/0!</v>
      </c>
      <c r="F291" s="418" t="e">
        <f t="shared" ref="F291:K291" si="67">(F284)/SUM(F276:F284)</f>
        <v>#DIV/0!</v>
      </c>
      <c r="G291" s="418" t="e">
        <f t="shared" si="67"/>
        <v>#DIV/0!</v>
      </c>
      <c r="H291" s="418" t="e">
        <f t="shared" si="67"/>
        <v>#DIV/0!</v>
      </c>
      <c r="I291" s="418" t="e">
        <f t="shared" si="67"/>
        <v>#DIV/0!</v>
      </c>
      <c r="J291" s="418" t="e">
        <f t="shared" si="67"/>
        <v>#DIV/0!</v>
      </c>
      <c r="K291" s="418" t="e">
        <f t="shared" si="67"/>
        <v>#DIV/0!</v>
      </c>
      <c r="L291" s="418" t="e">
        <f>(L284)/SUM(L276:L284)</f>
        <v>#DIV/0!</v>
      </c>
      <c r="M291" s="418" t="e">
        <f>(M284)/SUM(M276:M284)</f>
        <v>#DIV/0!</v>
      </c>
      <c r="T291" s="29"/>
    </row>
    <row r="292" spans="1:33" s="4" customFormat="1">
      <c r="A292" s="415"/>
      <c r="B292" s="288"/>
      <c r="C292" s="593">
        <f t="shared" ref="C292:L292" si="68">SUM(C287:C291)-1</f>
        <v>0</v>
      </c>
      <c r="D292" s="530">
        <f t="shared" si="68"/>
        <v>-2.3373209424581987E-6</v>
      </c>
      <c r="E292" s="530" t="e">
        <f t="shared" si="68"/>
        <v>#DIV/0!</v>
      </c>
      <c r="F292" s="530" t="e">
        <f t="shared" si="68"/>
        <v>#DIV/0!</v>
      </c>
      <c r="G292" s="530" t="e">
        <f t="shared" si="68"/>
        <v>#DIV/0!</v>
      </c>
      <c r="H292" s="530" t="e">
        <f t="shared" si="68"/>
        <v>#DIV/0!</v>
      </c>
      <c r="I292" s="530" t="e">
        <f t="shared" si="68"/>
        <v>#DIV/0!</v>
      </c>
      <c r="J292" s="530" t="e">
        <f t="shared" si="68"/>
        <v>#DIV/0!</v>
      </c>
      <c r="K292" s="530" t="e">
        <f t="shared" si="68"/>
        <v>#DIV/0!</v>
      </c>
      <c r="L292" s="530" t="e">
        <f t="shared" si="68"/>
        <v>#DIV/0!</v>
      </c>
      <c r="M292" s="530" t="e">
        <f t="shared" ref="M292" si="69">SUM(M287:M291)-1</f>
        <v>#DIV/0!</v>
      </c>
      <c r="T292" s="29"/>
    </row>
    <row r="293" spans="1:33" s="4" customFormat="1">
      <c r="A293" s="273"/>
      <c r="B293" s="162" t="s">
        <v>78</v>
      </c>
      <c r="C293" s="591"/>
      <c r="D293" s="295"/>
      <c r="E293" s="295"/>
      <c r="F293" s="295"/>
      <c r="G293" s="295"/>
      <c r="H293" s="295"/>
      <c r="I293" s="295"/>
      <c r="J293" s="295"/>
      <c r="K293" s="295"/>
      <c r="L293" s="295"/>
      <c r="M293" s="295"/>
      <c r="T293" s="29"/>
    </row>
    <row r="294" spans="1:33" s="4" customFormat="1">
      <c r="B294" s="288" t="s">
        <v>79</v>
      </c>
      <c r="C294" s="587">
        <f t="shared" ref="C294:L294" si="70">SUM(C276:C279)/SUM(C276:C284)</f>
        <v>0.49223811974149628</v>
      </c>
      <c r="D294" s="274">
        <f t="shared" si="70"/>
        <v>0.51759665005603139</v>
      </c>
      <c r="E294" s="274" t="e">
        <f t="shared" si="70"/>
        <v>#DIV/0!</v>
      </c>
      <c r="F294" s="274" t="e">
        <f t="shared" si="70"/>
        <v>#DIV/0!</v>
      </c>
      <c r="G294" s="274" t="e">
        <f t="shared" si="70"/>
        <v>#DIV/0!</v>
      </c>
      <c r="H294" s="274" t="e">
        <f t="shared" si="70"/>
        <v>#DIV/0!</v>
      </c>
      <c r="I294" s="274" t="e">
        <f t="shared" si="70"/>
        <v>#DIV/0!</v>
      </c>
      <c r="J294" s="274" t="e">
        <f t="shared" si="70"/>
        <v>#DIV/0!</v>
      </c>
      <c r="K294" s="274" t="e">
        <f t="shared" si="70"/>
        <v>#DIV/0!</v>
      </c>
      <c r="L294" s="274" t="e">
        <f t="shared" si="70"/>
        <v>#DIV/0!</v>
      </c>
      <c r="M294" s="274" t="e">
        <f t="shared" ref="M294" si="71">SUM(M276:M279)/SUM(M276:M284)</f>
        <v>#DIV/0!</v>
      </c>
      <c r="T294" s="29"/>
    </row>
    <row r="295" spans="1:33" s="4" customFormat="1">
      <c r="A295" s="273"/>
      <c r="B295" s="288" t="s">
        <v>80</v>
      </c>
      <c r="C295" s="587">
        <f t="shared" ref="C295:L295" si="72">SUM(C280:C284)/SUM(C276:C284)</f>
        <v>0.50776188025850366</v>
      </c>
      <c r="D295" s="274">
        <f t="shared" si="72"/>
        <v>0.48240334994396855</v>
      </c>
      <c r="E295" s="274" t="e">
        <f t="shared" si="72"/>
        <v>#DIV/0!</v>
      </c>
      <c r="F295" s="274" t="e">
        <f t="shared" si="72"/>
        <v>#DIV/0!</v>
      </c>
      <c r="G295" s="274" t="e">
        <f t="shared" si="72"/>
        <v>#DIV/0!</v>
      </c>
      <c r="H295" s="274" t="e">
        <f t="shared" si="72"/>
        <v>#DIV/0!</v>
      </c>
      <c r="I295" s="274" t="e">
        <f t="shared" si="72"/>
        <v>#DIV/0!</v>
      </c>
      <c r="J295" s="274" t="e">
        <f t="shared" si="72"/>
        <v>#DIV/0!</v>
      </c>
      <c r="K295" s="274" t="e">
        <f t="shared" si="72"/>
        <v>#DIV/0!</v>
      </c>
      <c r="L295" s="274" t="e">
        <f t="shared" si="72"/>
        <v>#DIV/0!</v>
      </c>
      <c r="M295" s="274" t="e">
        <f t="shared" ref="M295" si="73">SUM(M280:M284)/SUM(M276:M284)</f>
        <v>#DIV/0!</v>
      </c>
      <c r="T295" s="29"/>
    </row>
    <row r="296" spans="1:33" s="4" customFormat="1">
      <c r="A296" s="273"/>
      <c r="B296" s="288"/>
      <c r="C296" s="593">
        <f t="shared" ref="C296:K296" si="74">C295+C294-1</f>
        <v>0</v>
      </c>
      <c r="D296" s="530">
        <f t="shared" si="74"/>
        <v>0</v>
      </c>
      <c r="E296" s="530" t="e">
        <f t="shared" si="74"/>
        <v>#DIV/0!</v>
      </c>
      <c r="F296" s="530" t="e">
        <f t="shared" si="74"/>
        <v>#DIV/0!</v>
      </c>
      <c r="G296" s="530" t="e">
        <f t="shared" si="74"/>
        <v>#DIV/0!</v>
      </c>
      <c r="H296" s="530" t="e">
        <f t="shared" si="74"/>
        <v>#DIV/0!</v>
      </c>
      <c r="I296" s="530" t="e">
        <f t="shared" si="74"/>
        <v>#DIV/0!</v>
      </c>
      <c r="J296" s="530" t="e">
        <f t="shared" si="74"/>
        <v>#DIV/0!</v>
      </c>
      <c r="K296" s="530" t="e">
        <f t="shared" si="74"/>
        <v>#DIV/0!</v>
      </c>
      <c r="L296" s="530" t="e">
        <f>L295+L294-1</f>
        <v>#DIV/0!</v>
      </c>
      <c r="M296" s="530" t="e">
        <f>M295+M294-1</f>
        <v>#DIV/0!</v>
      </c>
      <c r="T296" s="29"/>
    </row>
    <row r="297" spans="1:33" s="4" customFormat="1">
      <c r="A297" s="273"/>
      <c r="B297" s="162" t="s">
        <v>81</v>
      </c>
      <c r="C297" s="279"/>
      <c r="D297" s="273"/>
      <c r="E297" s="273"/>
      <c r="F297" s="273"/>
      <c r="G297" s="273"/>
      <c r="H297" s="273"/>
      <c r="I297" s="273"/>
      <c r="J297" s="273"/>
      <c r="K297" s="273"/>
      <c r="L297" s="273"/>
      <c r="M297" s="273"/>
      <c r="T297" s="29"/>
    </row>
    <row r="298" spans="1:33" s="4" customFormat="1">
      <c r="B298" s="288" t="s">
        <v>79</v>
      </c>
      <c r="C298" s="587">
        <f t="shared" ref="C298:K298" si="75">(C277+C278+C279)/(C277+C278+C281+C282+C283+C284)</f>
        <v>0.5887925234303405</v>
      </c>
      <c r="D298" s="274">
        <f t="shared" si="75"/>
        <v>0.57567520829033536</v>
      </c>
      <c r="E298" s="274" t="e">
        <f t="shared" si="75"/>
        <v>#DIV/0!</v>
      </c>
      <c r="F298" s="274" t="e">
        <f t="shared" si="75"/>
        <v>#DIV/0!</v>
      </c>
      <c r="G298" s="274" t="e">
        <f t="shared" si="75"/>
        <v>#DIV/0!</v>
      </c>
      <c r="H298" s="274" t="e">
        <f t="shared" si="75"/>
        <v>#DIV/0!</v>
      </c>
      <c r="I298" s="274" t="e">
        <f t="shared" si="75"/>
        <v>#DIV/0!</v>
      </c>
      <c r="J298" s="274" t="e">
        <f t="shared" si="75"/>
        <v>#DIV/0!</v>
      </c>
      <c r="K298" s="274" t="e">
        <f t="shared" si="75"/>
        <v>#DIV/0!</v>
      </c>
      <c r="L298" s="274" t="e">
        <f>(L277+L278+L279)/(L277+L278+L281+L282+L283+L284)</f>
        <v>#DIV/0!</v>
      </c>
      <c r="M298" s="274" t="e">
        <f>(M277+M278+M279)/(M277+M278+M281+M282+M283+M284)</f>
        <v>#DIV/0!</v>
      </c>
      <c r="T298" s="29"/>
    </row>
    <row r="299" spans="1:33" s="4" customFormat="1">
      <c r="A299" s="273"/>
      <c r="B299" s="288" t="s">
        <v>80</v>
      </c>
      <c r="C299" s="587">
        <f t="shared" ref="C299:L299" si="76">1-C298</f>
        <v>0.4112074765696595</v>
      </c>
      <c r="D299" s="274">
        <f t="shared" si="76"/>
        <v>0.42432479170966464</v>
      </c>
      <c r="E299" s="274" t="e">
        <f t="shared" si="76"/>
        <v>#DIV/0!</v>
      </c>
      <c r="F299" s="274" t="e">
        <f t="shared" si="76"/>
        <v>#DIV/0!</v>
      </c>
      <c r="G299" s="274" t="e">
        <f t="shared" si="76"/>
        <v>#DIV/0!</v>
      </c>
      <c r="H299" s="274" t="e">
        <f t="shared" si="76"/>
        <v>#DIV/0!</v>
      </c>
      <c r="I299" s="274" t="e">
        <f t="shared" si="76"/>
        <v>#DIV/0!</v>
      </c>
      <c r="J299" s="274" t="e">
        <f t="shared" si="76"/>
        <v>#DIV/0!</v>
      </c>
      <c r="K299" s="274" t="e">
        <f t="shared" si="76"/>
        <v>#DIV/0!</v>
      </c>
      <c r="L299" s="274" t="e">
        <f t="shared" si="76"/>
        <v>#DIV/0!</v>
      </c>
      <c r="M299" s="274" t="e">
        <f t="shared" ref="M299" si="77">1-M298</f>
        <v>#DIV/0!</v>
      </c>
      <c r="T299" s="29"/>
    </row>
    <row r="300" spans="1:33" s="4" customFormat="1">
      <c r="B300" s="273"/>
      <c r="C300" s="289"/>
      <c r="D300" s="289"/>
      <c r="E300" s="289"/>
      <c r="F300" s="289"/>
      <c r="G300" s="289"/>
      <c r="H300" s="289"/>
      <c r="I300" s="289"/>
      <c r="J300" s="289"/>
      <c r="K300" s="289"/>
      <c r="L300" s="289"/>
      <c r="M300" s="289"/>
      <c r="N300" s="289"/>
      <c r="O300" s="289"/>
      <c r="P300" s="289"/>
      <c r="T300" s="29"/>
    </row>
    <row r="301" spans="1:33">
      <c r="AG301" s="4"/>
    </row>
    <row r="302" spans="1:33" ht="21">
      <c r="B302" s="153" t="s">
        <v>294</v>
      </c>
    </row>
    <row r="322" spans="2:20" ht="15.5">
      <c r="B322" s="118" t="s">
        <v>295</v>
      </c>
      <c r="C322" s="393">
        <v>2016</v>
      </c>
      <c r="D322" s="394">
        <v>2017</v>
      </c>
      <c r="E322" s="394">
        <v>2018</v>
      </c>
      <c r="F322" s="394">
        <v>2019</v>
      </c>
      <c r="G322" s="394">
        <v>2020</v>
      </c>
      <c r="H322" s="394">
        <v>2021</v>
      </c>
      <c r="I322" s="394">
        <v>2022</v>
      </c>
      <c r="J322" s="394">
        <v>2023</v>
      </c>
      <c r="K322" s="394">
        <v>2024</v>
      </c>
      <c r="L322" s="394">
        <v>2025</v>
      </c>
      <c r="M322" s="394">
        <v>2026</v>
      </c>
    </row>
    <row r="323" spans="2:20">
      <c r="B323" s="277" t="str">
        <f>'Products x speed'!C24</f>
        <v>100 - 300 m</v>
      </c>
      <c r="C323" s="163">
        <f>'Products x speed'!E24</f>
        <v>7146</v>
      </c>
      <c r="D323" s="164">
        <f>'Products x speed'!F24</f>
        <v>95865</v>
      </c>
      <c r="E323" s="164">
        <f>'Products x speed'!G24</f>
        <v>0</v>
      </c>
      <c r="F323" s="164">
        <f>'Products x speed'!H24</f>
        <v>0</v>
      </c>
      <c r="G323" s="164">
        <f>'Products x speed'!I24</f>
        <v>0</v>
      </c>
      <c r="H323" s="164">
        <f>'Products x speed'!J24</f>
        <v>0</v>
      </c>
      <c r="I323" s="164">
        <f>'Products x speed'!K24</f>
        <v>0</v>
      </c>
      <c r="J323" s="164">
        <f>'Products x speed'!L24</f>
        <v>0</v>
      </c>
      <c r="K323" s="164">
        <f>'Products x speed'!M24</f>
        <v>0</v>
      </c>
      <c r="L323" s="164">
        <f>'Products x speed'!N24</f>
        <v>0</v>
      </c>
      <c r="M323" s="164">
        <f>'Products x speed'!O24</f>
        <v>0</v>
      </c>
    </row>
    <row r="324" spans="2:20">
      <c r="B324" s="279" t="str">
        <f>'Products x speed'!C25</f>
        <v>10 km</v>
      </c>
      <c r="C324" s="165">
        <f>'Products x speed'!E25</f>
        <v>4548</v>
      </c>
      <c r="D324" s="166">
        <f>'Products x speed'!F25</f>
        <v>17462</v>
      </c>
      <c r="E324" s="166">
        <f>'Products x speed'!G25</f>
        <v>0</v>
      </c>
      <c r="F324" s="166">
        <f>'Products x speed'!H25</f>
        <v>0</v>
      </c>
      <c r="G324" s="166">
        <f>'Products x speed'!I25</f>
        <v>0</v>
      </c>
      <c r="H324" s="166">
        <f>'Products x speed'!J25</f>
        <v>0</v>
      </c>
      <c r="I324" s="166">
        <f>'Products x speed'!K25</f>
        <v>0</v>
      </c>
      <c r="J324" s="166">
        <f>'Products x speed'!L25</f>
        <v>0</v>
      </c>
      <c r="K324" s="166">
        <f>'Products x speed'!M25</f>
        <v>0</v>
      </c>
      <c r="L324" s="166">
        <f>'Products x speed'!N25</f>
        <v>0</v>
      </c>
      <c r="M324" s="166">
        <f>'Products x speed'!O25</f>
        <v>0</v>
      </c>
    </row>
    <row r="325" spans="2:20">
      <c r="B325" s="298" t="str">
        <f>'Products x speed'!C26</f>
        <v>40 km</v>
      </c>
      <c r="C325" s="165">
        <f>'Products x speed'!E26</f>
        <v>0</v>
      </c>
      <c r="D325" s="166">
        <f>'Products x speed'!F26</f>
        <v>0</v>
      </c>
      <c r="E325" s="166">
        <f>'Products x speed'!G26</f>
        <v>0</v>
      </c>
      <c r="F325" s="166">
        <f>'Products x speed'!H26</f>
        <v>0</v>
      </c>
      <c r="G325" s="166">
        <f>'Products x speed'!I26</f>
        <v>0</v>
      </c>
      <c r="H325" s="166">
        <f>'Products x speed'!J26</f>
        <v>0</v>
      </c>
      <c r="I325" s="166">
        <f>'Products x speed'!K26</f>
        <v>0</v>
      </c>
      <c r="J325" s="166">
        <f>'Products x speed'!L26</f>
        <v>0</v>
      </c>
      <c r="K325" s="166">
        <f>'Products x speed'!M26</f>
        <v>0</v>
      </c>
      <c r="L325" s="166">
        <f>'Products x speed'!N26</f>
        <v>0</v>
      </c>
      <c r="M325" s="166">
        <f>'Products x speed'!O26</f>
        <v>0</v>
      </c>
    </row>
    <row r="326" spans="2:20">
      <c r="B326" s="298" t="s">
        <v>85</v>
      </c>
      <c r="C326" s="384">
        <f t="shared" ref="C326:L326" si="78">SUM(C323:C325)</f>
        <v>11694</v>
      </c>
      <c r="D326" s="385">
        <f t="shared" si="78"/>
        <v>113327</v>
      </c>
      <c r="E326" s="385">
        <f t="shared" si="78"/>
        <v>0</v>
      </c>
      <c r="F326" s="385">
        <f t="shared" si="78"/>
        <v>0</v>
      </c>
      <c r="G326" s="385">
        <f t="shared" si="78"/>
        <v>0</v>
      </c>
      <c r="H326" s="385">
        <f t="shared" si="78"/>
        <v>0</v>
      </c>
      <c r="I326" s="385">
        <f t="shared" si="78"/>
        <v>0</v>
      </c>
      <c r="J326" s="385">
        <f t="shared" si="78"/>
        <v>0</v>
      </c>
      <c r="K326" s="385">
        <f t="shared" si="78"/>
        <v>0</v>
      </c>
      <c r="L326" s="385">
        <f t="shared" si="78"/>
        <v>0</v>
      </c>
      <c r="M326" s="385">
        <f t="shared" ref="M326" si="79">SUM(M323:M325)</f>
        <v>0</v>
      </c>
    </row>
    <row r="327" spans="2:20">
      <c r="B327" s="331" t="s">
        <v>91</v>
      </c>
      <c r="C327" s="274"/>
      <c r="D327" s="274">
        <f t="shared" ref="D327:M327" si="80">D326/C326-1</f>
        <v>8.6910381392166922</v>
      </c>
      <c r="E327" s="274">
        <f t="shared" si="80"/>
        <v>-1</v>
      </c>
      <c r="F327" s="274" t="e">
        <f t="shared" si="80"/>
        <v>#DIV/0!</v>
      </c>
      <c r="G327" s="274" t="e">
        <f t="shared" si="80"/>
        <v>#DIV/0!</v>
      </c>
      <c r="H327" s="274" t="e">
        <f t="shared" si="80"/>
        <v>#DIV/0!</v>
      </c>
      <c r="I327" s="274" t="e">
        <f t="shared" si="80"/>
        <v>#DIV/0!</v>
      </c>
      <c r="J327" s="274" t="e">
        <f t="shared" si="80"/>
        <v>#DIV/0!</v>
      </c>
      <c r="K327" s="274" t="e">
        <f t="shared" si="80"/>
        <v>#DIV/0!</v>
      </c>
      <c r="L327" s="274" t="e">
        <f t="shared" si="80"/>
        <v>#DIV/0!</v>
      </c>
      <c r="M327" s="274" t="e">
        <f t="shared" si="80"/>
        <v>#DIV/0!</v>
      </c>
    </row>
    <row r="328" spans="2:20" s="280" customFormat="1">
      <c r="T328" s="294"/>
    </row>
    <row r="331" spans="2:20" ht="21">
      <c r="B331" s="153" t="s">
        <v>298</v>
      </c>
    </row>
    <row r="332" spans="2:20" ht="21">
      <c r="B332" s="302" t="s">
        <v>366</v>
      </c>
      <c r="H332" s="302" t="s">
        <v>367</v>
      </c>
    </row>
    <row r="354" spans="1:20" ht="15.5">
      <c r="B354" s="118" t="s">
        <v>299</v>
      </c>
    </row>
    <row r="355" spans="1:20">
      <c r="C355" s="393">
        <v>2016</v>
      </c>
      <c r="D355" s="394">
        <v>2017</v>
      </c>
      <c r="E355" s="394">
        <v>2018</v>
      </c>
      <c r="F355" s="394">
        <v>2019</v>
      </c>
      <c r="G355" s="394">
        <v>2020</v>
      </c>
      <c r="H355" s="394">
        <v>2021</v>
      </c>
      <c r="I355" s="394">
        <v>2022</v>
      </c>
      <c r="J355" s="394">
        <v>2023</v>
      </c>
      <c r="K355" s="394">
        <v>2024</v>
      </c>
      <c r="L355" s="394">
        <v>2025</v>
      </c>
      <c r="M355" s="394">
        <v>2026</v>
      </c>
    </row>
    <row r="356" spans="1:20">
      <c r="B356" s="277" t="s">
        <v>35</v>
      </c>
      <c r="C356" s="163">
        <f>'Products x speed'!E27+'Products x speed'!E28</f>
        <v>1254229</v>
      </c>
      <c r="D356" s="164">
        <f>'Products x speed'!F27+'Products x speed'!F28</f>
        <v>1544331</v>
      </c>
      <c r="E356" s="164">
        <f>'Products x speed'!G27+'Products x speed'!G28</f>
        <v>0</v>
      </c>
      <c r="F356" s="164">
        <f>'Products x speed'!H27+'Products x speed'!H28</f>
        <v>0</v>
      </c>
      <c r="G356" s="164">
        <f>'Products x speed'!I27+'Products x speed'!I28</f>
        <v>0</v>
      </c>
      <c r="H356" s="164">
        <f>'Products x speed'!J27+'Products x speed'!J28</f>
        <v>0</v>
      </c>
      <c r="I356" s="164">
        <f>'Products x speed'!K27+'Products x speed'!K28</f>
        <v>0</v>
      </c>
      <c r="J356" s="164">
        <f>'Products x speed'!L27+'Products x speed'!L28</f>
        <v>0</v>
      </c>
      <c r="K356" s="164">
        <f>'Products x speed'!M27+'Products x speed'!M28</f>
        <v>0</v>
      </c>
      <c r="L356" s="164">
        <f>'Products x speed'!N27+'Products x speed'!N28</f>
        <v>0</v>
      </c>
      <c r="M356" s="164">
        <f>'Products x speed'!O27+'Products x speed'!O28</f>
        <v>0</v>
      </c>
    </row>
    <row r="357" spans="1:20">
      <c r="B357" s="279" t="s">
        <v>42</v>
      </c>
      <c r="C357" s="165">
        <f>'Products x speed'!E29</f>
        <v>275269</v>
      </c>
      <c r="D357" s="166">
        <f>'Products x speed'!F29</f>
        <v>466535</v>
      </c>
      <c r="E357" s="166">
        <f>'Products x speed'!G29</f>
        <v>0</v>
      </c>
      <c r="F357" s="166">
        <f>'Products x speed'!H29</f>
        <v>0</v>
      </c>
      <c r="G357" s="166">
        <f>'Products x speed'!I29</f>
        <v>0</v>
      </c>
      <c r="H357" s="166">
        <f>'Products x speed'!J29</f>
        <v>0</v>
      </c>
      <c r="I357" s="166">
        <f>'Products x speed'!K29</f>
        <v>0</v>
      </c>
      <c r="J357" s="166">
        <f>'Products x speed'!L29</f>
        <v>0</v>
      </c>
      <c r="K357" s="166">
        <f>'Products x speed'!M29</f>
        <v>0</v>
      </c>
      <c r="L357" s="166">
        <f>'Products x speed'!N29</f>
        <v>0</v>
      </c>
      <c r="M357" s="166">
        <f>'Products x speed'!O29</f>
        <v>0</v>
      </c>
    </row>
    <row r="358" spans="1:20">
      <c r="B358" s="279" t="s">
        <v>45</v>
      </c>
      <c r="C358" s="165">
        <f>'Products x speed'!E30</f>
        <v>813790</v>
      </c>
      <c r="D358" s="166">
        <f>'Products x speed'!F30</f>
        <v>613640</v>
      </c>
      <c r="E358" s="166">
        <f>'Products x speed'!G30</f>
        <v>0</v>
      </c>
      <c r="F358" s="166">
        <f>'Products x speed'!H30</f>
        <v>0</v>
      </c>
      <c r="G358" s="166">
        <f>'Products x speed'!I30</f>
        <v>0</v>
      </c>
      <c r="H358" s="166">
        <f>'Products x speed'!J30</f>
        <v>0</v>
      </c>
      <c r="I358" s="166">
        <f>'Products x speed'!K30</f>
        <v>0</v>
      </c>
      <c r="J358" s="166">
        <f>'Products x speed'!L30</f>
        <v>0</v>
      </c>
      <c r="K358" s="166">
        <f>'Products x speed'!M30</f>
        <v>0</v>
      </c>
      <c r="L358" s="166">
        <f>'Products x speed'!N30</f>
        <v>0</v>
      </c>
      <c r="M358" s="166">
        <f>'Products x speed'!O30</f>
        <v>0</v>
      </c>
    </row>
    <row r="359" spans="1:20">
      <c r="B359" s="279" t="s">
        <v>48</v>
      </c>
      <c r="C359" s="165">
        <f>'Products x speed'!E31+'Products x speed'!E32</f>
        <v>471000</v>
      </c>
      <c r="D359" s="166">
        <f>'Products x speed'!F31+'Products x speed'!F32</f>
        <v>807018</v>
      </c>
      <c r="E359" s="166">
        <f>'Products x speed'!G31+'Products x speed'!G32</f>
        <v>0</v>
      </c>
      <c r="F359" s="166">
        <f>'Products x speed'!H31+'Products x speed'!H32</f>
        <v>0</v>
      </c>
      <c r="G359" s="166">
        <f>'Products x speed'!I31+'Products x speed'!I32</f>
        <v>0</v>
      </c>
      <c r="H359" s="166">
        <f>'Products x speed'!J31+'Products x speed'!J32</f>
        <v>0</v>
      </c>
      <c r="I359" s="166">
        <f>'Products x speed'!K31+'Products x speed'!K32</f>
        <v>0</v>
      </c>
      <c r="J359" s="166">
        <f>'Products x speed'!L31+'Products x speed'!L32</f>
        <v>0</v>
      </c>
      <c r="K359" s="166">
        <f>'Products x speed'!M31+'Products x speed'!M32</f>
        <v>0</v>
      </c>
      <c r="L359" s="166">
        <f>'Products x speed'!N31+'Products x speed'!N32</f>
        <v>0</v>
      </c>
      <c r="M359" s="166">
        <f>'Products x speed'!O31+'Products x speed'!O32</f>
        <v>0</v>
      </c>
    </row>
    <row r="360" spans="1:20">
      <c r="B360" s="279" t="s">
        <v>51</v>
      </c>
      <c r="C360" s="165">
        <f>'Products x speed'!E33+'Products x speed'!E34</f>
        <v>333886</v>
      </c>
      <c r="D360" s="166">
        <f>'Products x speed'!F33+'Products x speed'!F34</f>
        <v>427204</v>
      </c>
      <c r="E360" s="166">
        <f>'Products x speed'!G33+'Products x speed'!G34</f>
        <v>0</v>
      </c>
      <c r="F360" s="166">
        <f>'Products x speed'!H33+'Products x speed'!H34</f>
        <v>0</v>
      </c>
      <c r="G360" s="166">
        <f>'Products x speed'!I33+'Products x speed'!I34</f>
        <v>0</v>
      </c>
      <c r="H360" s="166">
        <f>'Products x speed'!J33+'Products x speed'!J34</f>
        <v>0</v>
      </c>
      <c r="I360" s="166">
        <f>'Products x speed'!K33+'Products x speed'!K34</f>
        <v>0</v>
      </c>
      <c r="J360" s="166">
        <f>'Products x speed'!L33+'Products x speed'!L34</f>
        <v>0</v>
      </c>
      <c r="K360" s="166">
        <f>'Products x speed'!M33+'Products x speed'!M34</f>
        <v>0</v>
      </c>
      <c r="L360" s="166">
        <f>'Products x speed'!N33+'Products x speed'!N34</f>
        <v>0</v>
      </c>
      <c r="M360" s="166">
        <f>'Products x speed'!O33+'Products x speed'!O34</f>
        <v>0</v>
      </c>
    </row>
    <row r="361" spans="1:20" s="4" customFormat="1">
      <c r="A361" s="10"/>
      <c r="B361" s="279" t="s">
        <v>56</v>
      </c>
      <c r="C361" s="167">
        <f>'Products x speed'!E35</f>
        <v>4894</v>
      </c>
      <c r="D361" s="168">
        <f>'Products x speed'!F35</f>
        <v>5432</v>
      </c>
      <c r="E361" s="168">
        <f>'Products x speed'!G35</f>
        <v>0</v>
      </c>
      <c r="F361" s="168">
        <f>'Products x speed'!H35</f>
        <v>0</v>
      </c>
      <c r="G361" s="168">
        <f>'Products x speed'!I35</f>
        <v>0</v>
      </c>
      <c r="H361" s="168">
        <f>'Products x speed'!J35</f>
        <v>0</v>
      </c>
      <c r="I361" s="168">
        <f>'Products x speed'!K35</f>
        <v>0</v>
      </c>
      <c r="J361" s="168">
        <f>'Products x speed'!L35</f>
        <v>0</v>
      </c>
      <c r="K361" s="168">
        <f>'Products x speed'!M35</f>
        <v>0</v>
      </c>
      <c r="L361" s="168">
        <f>'Products x speed'!N35</f>
        <v>0</v>
      </c>
      <c r="M361" s="168">
        <f>'Products x speed'!O35</f>
        <v>0</v>
      </c>
      <c r="T361" s="294"/>
    </row>
    <row r="362" spans="1:20">
      <c r="B362" s="275" t="s">
        <v>85</v>
      </c>
      <c r="C362" s="384">
        <f t="shared" ref="C362:L362" si="81">SUM(C356:C361)</f>
        <v>3153068</v>
      </c>
      <c r="D362" s="385">
        <f t="shared" si="81"/>
        <v>3864160</v>
      </c>
      <c r="E362" s="385">
        <f t="shared" si="81"/>
        <v>0</v>
      </c>
      <c r="F362" s="385">
        <f t="shared" si="81"/>
        <v>0</v>
      </c>
      <c r="G362" s="385">
        <f t="shared" si="81"/>
        <v>0</v>
      </c>
      <c r="H362" s="385">
        <f t="shared" si="81"/>
        <v>0</v>
      </c>
      <c r="I362" s="385">
        <f t="shared" si="81"/>
        <v>0</v>
      </c>
      <c r="J362" s="385">
        <f t="shared" si="81"/>
        <v>0</v>
      </c>
      <c r="K362" s="385">
        <f t="shared" si="81"/>
        <v>0</v>
      </c>
      <c r="L362" s="385">
        <f t="shared" si="81"/>
        <v>0</v>
      </c>
      <c r="M362" s="385">
        <f t="shared" ref="M362" si="82">SUM(M356:M361)</f>
        <v>0</v>
      </c>
    </row>
    <row r="363" spans="1:20">
      <c r="B363" s="331" t="s">
        <v>91</v>
      </c>
      <c r="C363" s="274"/>
      <c r="D363" s="274">
        <f t="shared" ref="D363:M363" si="83">D362/C362-1</f>
        <v>0.22552383900378925</v>
      </c>
      <c r="E363" s="274">
        <f t="shared" si="83"/>
        <v>-1</v>
      </c>
      <c r="F363" s="274" t="e">
        <f t="shared" si="83"/>
        <v>#DIV/0!</v>
      </c>
      <c r="G363" s="274" t="e">
        <f t="shared" si="83"/>
        <v>#DIV/0!</v>
      </c>
      <c r="H363" s="274" t="e">
        <f t="shared" si="83"/>
        <v>#DIV/0!</v>
      </c>
      <c r="I363" s="274" t="e">
        <f t="shared" si="83"/>
        <v>#DIV/0!</v>
      </c>
      <c r="J363" s="274" t="e">
        <f t="shared" si="83"/>
        <v>#DIV/0!</v>
      </c>
      <c r="K363" s="274" t="e">
        <f t="shared" si="83"/>
        <v>#DIV/0!</v>
      </c>
      <c r="L363" s="274" t="e">
        <f t="shared" si="83"/>
        <v>#DIV/0!</v>
      </c>
      <c r="M363" s="274" t="e">
        <f t="shared" si="83"/>
        <v>#DIV/0!</v>
      </c>
    </row>
    <row r="364" spans="1:20" s="280" customFormat="1">
      <c r="B364" s="331"/>
      <c r="C364" s="273"/>
      <c r="D364" s="274"/>
      <c r="E364" s="274"/>
      <c r="F364" s="274"/>
      <c r="G364" s="274"/>
      <c r="H364" s="274"/>
      <c r="I364" s="274"/>
      <c r="J364" s="274"/>
      <c r="K364" s="274"/>
      <c r="L364" s="274"/>
      <c r="M364" s="274"/>
      <c r="N364" s="274"/>
      <c r="O364" s="274"/>
      <c r="P364" s="274"/>
      <c r="Q364" s="274"/>
      <c r="R364" s="274"/>
      <c r="S364" s="274"/>
      <c r="T364" s="294"/>
    </row>
    <row r="365" spans="1:20" s="280" customFormat="1" ht="15.5">
      <c r="B365" s="118" t="s">
        <v>300</v>
      </c>
      <c r="C365" s="273"/>
      <c r="D365" s="273"/>
      <c r="E365" s="273"/>
      <c r="F365" s="273"/>
      <c r="G365" s="273"/>
      <c r="H365" s="273"/>
      <c r="I365" s="273"/>
      <c r="J365" s="273"/>
      <c r="K365" s="273"/>
      <c r="L365" s="273"/>
      <c r="M365" s="273"/>
      <c r="N365" s="273"/>
      <c r="O365" s="273"/>
      <c r="P365" s="273"/>
      <c r="Q365" s="273"/>
      <c r="R365" s="273"/>
      <c r="S365" s="273"/>
      <c r="T365" s="294"/>
    </row>
    <row r="366" spans="1:20" s="280" customFormat="1">
      <c r="B366" s="273" t="s">
        <v>86</v>
      </c>
      <c r="C366" s="388">
        <v>2016</v>
      </c>
      <c r="D366" s="389">
        <v>2017</v>
      </c>
      <c r="E366" s="389">
        <v>2018</v>
      </c>
      <c r="F366" s="389">
        <v>2019</v>
      </c>
      <c r="G366" s="389">
        <v>2020</v>
      </c>
      <c r="H366" s="389">
        <v>2021</v>
      </c>
      <c r="I366" s="389">
        <v>2022</v>
      </c>
      <c r="J366" s="389">
        <v>2023</v>
      </c>
      <c r="K366" s="389">
        <v>2024</v>
      </c>
      <c r="L366" s="389">
        <v>2025</v>
      </c>
      <c r="M366" s="389">
        <v>2026</v>
      </c>
      <c r="T366" s="294"/>
    </row>
    <row r="367" spans="1:20" s="280" customFormat="1">
      <c r="B367" s="277" t="s">
        <v>39</v>
      </c>
      <c r="C367" s="165">
        <f>'Products x speed'!E31+'Products x speed'!E33</f>
        <v>7446</v>
      </c>
      <c r="D367" s="166">
        <f>'Products x speed'!F31+'Products x speed'!F33</f>
        <v>3248</v>
      </c>
      <c r="E367" s="166">
        <f>'Products x speed'!G31+'Products x speed'!G33</f>
        <v>0</v>
      </c>
      <c r="F367" s="166">
        <f>'Products x speed'!H31+'Products x speed'!H33</f>
        <v>0</v>
      </c>
      <c r="G367" s="166">
        <f>'Products x speed'!I31+'Products x speed'!I33</f>
        <v>0</v>
      </c>
      <c r="H367" s="166">
        <f>'Products x speed'!J31+'Products x speed'!J33</f>
        <v>0</v>
      </c>
      <c r="I367" s="166">
        <f>'Products x speed'!K31+'Products x speed'!K33</f>
        <v>0</v>
      </c>
      <c r="J367" s="166">
        <f>'Products x speed'!L31+'Products x speed'!L33</f>
        <v>0</v>
      </c>
      <c r="K367" s="166">
        <f>'Products x speed'!M31+'Products x speed'!M33</f>
        <v>0</v>
      </c>
      <c r="L367" s="166">
        <f>'Products x speed'!N31+'Products x speed'!N33</f>
        <v>0</v>
      </c>
      <c r="M367" s="166">
        <f>'Products x speed'!O31+'Products x speed'!O33</f>
        <v>0</v>
      </c>
      <c r="T367" s="294"/>
    </row>
    <row r="368" spans="1:20" s="280" customFormat="1">
      <c r="B368" s="279" t="s">
        <v>94</v>
      </c>
      <c r="C368" s="165">
        <f>'Products x speed'!E27+'Products x speed'!E28+'Products x speed'!E29+'Products x speed'!E30+'Products x speed'!E32+'Products x speed'!E34+'Products x speed'!E35</f>
        <v>3145622</v>
      </c>
      <c r="D368" s="166">
        <f>'Products x speed'!F27+'Products x speed'!F28+'Products x speed'!F29+'Products x speed'!F30+'Products x speed'!F32+'Products x speed'!F34+'Products x speed'!F35</f>
        <v>3860912</v>
      </c>
      <c r="E368" s="166">
        <f>'Products x speed'!G27+'Products x speed'!G28+'Products x speed'!G29+'Products x speed'!G30+'Products x speed'!G32+'Products x speed'!G34+'Products x speed'!G35</f>
        <v>0</v>
      </c>
      <c r="F368" s="166">
        <f>'Products x speed'!H27+'Products x speed'!H28+'Products x speed'!H29+'Products x speed'!H30+'Products x speed'!H32+'Products x speed'!H34+'Products x speed'!H35</f>
        <v>0</v>
      </c>
      <c r="G368" s="166">
        <f>'Products x speed'!I27+'Products x speed'!I28+'Products x speed'!I29+'Products x speed'!I30+'Products x speed'!I32+'Products x speed'!I34+'Products x speed'!I35</f>
        <v>0</v>
      </c>
      <c r="H368" s="166">
        <f>'Products x speed'!J27+'Products x speed'!J28+'Products x speed'!J29+'Products x speed'!J30+'Products x speed'!J32+'Products x speed'!J34+'Products x speed'!J35</f>
        <v>0</v>
      </c>
      <c r="I368" s="166">
        <f>'Products x speed'!K27+'Products x speed'!K28+'Products x speed'!K29+'Products x speed'!K30+'Products x speed'!K32+'Products x speed'!K34+'Products x speed'!K35</f>
        <v>0</v>
      </c>
      <c r="J368" s="166">
        <f>'Products x speed'!L27+'Products x speed'!L28+'Products x speed'!L29+'Products x speed'!L30+'Products x speed'!L32+'Products x speed'!L34+'Products x speed'!L35</f>
        <v>0</v>
      </c>
      <c r="K368" s="166">
        <f>'Products x speed'!M27+'Products x speed'!M28+'Products x speed'!M29+'Products x speed'!M30+'Products x speed'!M32+'Products x speed'!M34+'Products x speed'!M35</f>
        <v>0</v>
      </c>
      <c r="L368" s="166">
        <f>'Products x speed'!N27+'Products x speed'!N28+'Products x speed'!N29+'Products x speed'!N30+'Products x speed'!N32+'Products x speed'!N34+'Products x speed'!N35</f>
        <v>0</v>
      </c>
      <c r="M368" s="166">
        <f>'Products x speed'!O27+'Products x speed'!O28+'Products x speed'!O29+'Products x speed'!O30+'Products x speed'!O32+'Products x speed'!O34+'Products x speed'!O35</f>
        <v>0</v>
      </c>
      <c r="T368" s="294"/>
    </row>
    <row r="369" spans="1:20">
      <c r="B369" s="275" t="s">
        <v>85</v>
      </c>
      <c r="C369" s="384">
        <f t="shared" ref="C369:L369" si="84">SUM(C367:C368)</f>
        <v>3153068</v>
      </c>
      <c r="D369" s="385">
        <f t="shared" si="84"/>
        <v>3864160</v>
      </c>
      <c r="E369" s="385">
        <f t="shared" si="84"/>
        <v>0</v>
      </c>
      <c r="F369" s="385">
        <f t="shared" si="84"/>
        <v>0</v>
      </c>
      <c r="G369" s="385">
        <f t="shared" si="84"/>
        <v>0</v>
      </c>
      <c r="H369" s="385">
        <f t="shared" si="84"/>
        <v>0</v>
      </c>
      <c r="I369" s="385">
        <f t="shared" si="84"/>
        <v>0</v>
      </c>
      <c r="J369" s="385">
        <f t="shared" si="84"/>
        <v>0</v>
      </c>
      <c r="K369" s="385">
        <f t="shared" si="84"/>
        <v>0</v>
      </c>
      <c r="L369" s="385">
        <f t="shared" si="84"/>
        <v>0</v>
      </c>
      <c r="M369" s="385">
        <f t="shared" ref="M369" si="85">SUM(M367:M368)</f>
        <v>0</v>
      </c>
    </row>
    <row r="370" spans="1:20">
      <c r="B370" s="331" t="s">
        <v>91</v>
      </c>
      <c r="C370" s="274"/>
      <c r="D370" s="274">
        <f t="shared" ref="D370:M370" si="86">D369/C369-1</f>
        <v>0.22552383900378925</v>
      </c>
      <c r="E370" s="274">
        <f t="shared" si="86"/>
        <v>-1</v>
      </c>
      <c r="F370" s="274" t="e">
        <f t="shared" si="86"/>
        <v>#DIV/0!</v>
      </c>
      <c r="G370" s="274" t="e">
        <f t="shared" si="86"/>
        <v>#DIV/0!</v>
      </c>
      <c r="H370" s="274" t="e">
        <f t="shared" si="86"/>
        <v>#DIV/0!</v>
      </c>
      <c r="I370" s="274" t="e">
        <f t="shared" si="86"/>
        <v>#DIV/0!</v>
      </c>
      <c r="J370" s="274" t="e">
        <f t="shared" si="86"/>
        <v>#DIV/0!</v>
      </c>
      <c r="K370" s="274" t="e">
        <f t="shared" si="86"/>
        <v>#DIV/0!</v>
      </c>
      <c r="L370" s="274" t="e">
        <f t="shared" si="86"/>
        <v>#DIV/0!</v>
      </c>
      <c r="M370" s="274" t="e">
        <f t="shared" si="86"/>
        <v>#DIV/0!</v>
      </c>
    </row>
    <row r="371" spans="1:20" s="4" customFormat="1" ht="21">
      <c r="A371" s="10"/>
      <c r="B371" s="17"/>
      <c r="C371" s="273"/>
      <c r="T371" s="294"/>
    </row>
    <row r="372" spans="1:20" s="4" customFormat="1" ht="21">
      <c r="A372" s="10"/>
      <c r="B372" s="17" t="s">
        <v>189</v>
      </c>
      <c r="T372" s="294"/>
    </row>
    <row r="373" spans="1:20" ht="21">
      <c r="B373" s="302" t="s">
        <v>22</v>
      </c>
      <c r="H373" s="302" t="s">
        <v>21</v>
      </c>
      <c r="P373" s="302" t="s">
        <v>15</v>
      </c>
    </row>
    <row r="374" spans="1:20" s="4" customFormat="1">
      <c r="A374" s="10"/>
      <c r="T374" s="294"/>
    </row>
    <row r="375" spans="1:20" s="4" customFormat="1">
      <c r="A375" s="10"/>
      <c r="T375" s="294"/>
    </row>
    <row r="376" spans="1:20" s="4" customFormat="1">
      <c r="A376" s="10"/>
      <c r="T376" s="294"/>
    </row>
    <row r="377" spans="1:20" s="4" customFormat="1">
      <c r="A377" s="10"/>
      <c r="T377" s="294"/>
    </row>
    <row r="378" spans="1:20" s="4" customFormat="1">
      <c r="A378" s="10"/>
      <c r="T378" s="294"/>
    </row>
    <row r="379" spans="1:20" s="4" customFormat="1">
      <c r="A379" s="10"/>
      <c r="T379" s="294"/>
    </row>
    <row r="380" spans="1:20" s="4" customFormat="1">
      <c r="A380" s="10"/>
      <c r="T380" s="294"/>
    </row>
    <row r="381" spans="1:20" s="4" customFormat="1">
      <c r="A381" s="10"/>
      <c r="T381" s="294"/>
    </row>
    <row r="382" spans="1:20" s="4" customFormat="1">
      <c r="A382" s="10"/>
      <c r="T382" s="294"/>
    </row>
    <row r="383" spans="1:20" s="4" customFormat="1">
      <c r="A383" s="10"/>
      <c r="T383" s="294"/>
    </row>
    <row r="384" spans="1:20" s="4" customFormat="1">
      <c r="A384" s="10"/>
      <c r="T384" s="294"/>
    </row>
    <row r="385" spans="1:20" s="4" customFormat="1">
      <c r="A385" s="10"/>
      <c r="T385" s="294"/>
    </row>
    <row r="386" spans="1:20" s="4" customFormat="1">
      <c r="A386" s="10"/>
      <c r="T386" s="294"/>
    </row>
    <row r="387" spans="1:20" s="4" customFormat="1">
      <c r="A387" s="10"/>
      <c r="T387" s="294"/>
    </row>
    <row r="388" spans="1:20" s="4" customFormat="1">
      <c r="A388" s="10"/>
      <c r="T388" s="294"/>
    </row>
    <row r="389" spans="1:20" s="4" customFormat="1">
      <c r="A389" s="10"/>
      <c r="T389" s="294"/>
    </row>
    <row r="390" spans="1:20" s="4" customFormat="1">
      <c r="A390" s="10"/>
      <c r="T390" s="294"/>
    </row>
    <row r="391" spans="1:20" s="4" customFormat="1">
      <c r="A391" s="10"/>
      <c r="T391" s="294"/>
    </row>
    <row r="392" spans="1:20" s="4" customFormat="1">
      <c r="A392" s="10"/>
      <c r="T392" s="294"/>
    </row>
    <row r="393" spans="1:20" s="4" customFormat="1">
      <c r="A393" s="10"/>
      <c r="T393" s="294"/>
    </row>
    <row r="394" spans="1:20" s="4" customFormat="1">
      <c r="A394" s="10"/>
      <c r="T394" s="294"/>
    </row>
    <row r="395" spans="1:20" s="4" customFormat="1">
      <c r="A395" s="10"/>
      <c r="B395" s="81" t="s">
        <v>22</v>
      </c>
      <c r="C395" s="393">
        <v>2016</v>
      </c>
      <c r="D395" s="394">
        <v>2017</v>
      </c>
      <c r="E395" s="394">
        <v>2018</v>
      </c>
      <c r="F395" s="394">
        <v>2019</v>
      </c>
      <c r="G395" s="394">
        <v>2020</v>
      </c>
      <c r="H395" s="394">
        <v>2021</v>
      </c>
      <c r="I395" s="394">
        <v>2022</v>
      </c>
      <c r="J395" s="394">
        <v>2023</v>
      </c>
      <c r="K395" s="394">
        <v>2024</v>
      </c>
      <c r="L395" s="394">
        <v>2025</v>
      </c>
      <c r="M395" s="394">
        <v>2026</v>
      </c>
      <c r="T395" s="294"/>
    </row>
    <row r="396" spans="1:20" s="4" customFormat="1">
      <c r="A396" s="10"/>
      <c r="B396" s="277" t="s">
        <v>121</v>
      </c>
      <c r="C396" s="395">
        <f>'Products x speed'!E27</f>
        <v>639935</v>
      </c>
      <c r="D396" s="396">
        <f>'Products x speed'!F27</f>
        <v>793812</v>
      </c>
      <c r="E396" s="396">
        <f>'Products x speed'!G27</f>
        <v>0</v>
      </c>
      <c r="F396" s="396">
        <f>'Products x speed'!H27</f>
        <v>0</v>
      </c>
      <c r="G396" s="396">
        <f>'Products x speed'!I27</f>
        <v>0</v>
      </c>
      <c r="H396" s="396">
        <f>'Products x speed'!J27</f>
        <v>0</v>
      </c>
      <c r="I396" s="396">
        <f>'Products x speed'!K27</f>
        <v>0</v>
      </c>
      <c r="J396" s="396">
        <f>'Products x speed'!L27</f>
        <v>0</v>
      </c>
      <c r="K396" s="396">
        <f>'Products x speed'!M27</f>
        <v>0</v>
      </c>
      <c r="L396" s="396">
        <f>'Products x speed'!N27</f>
        <v>0</v>
      </c>
      <c r="M396" s="396">
        <f>'Products x speed'!O27</f>
        <v>0</v>
      </c>
      <c r="T396" s="294"/>
    </row>
    <row r="397" spans="1:20" s="4" customFormat="1">
      <c r="A397" s="10"/>
      <c r="B397" s="279" t="s">
        <v>120</v>
      </c>
      <c r="C397" s="397">
        <f>'Products x speed'!E28</f>
        <v>614294</v>
      </c>
      <c r="D397" s="398">
        <f>'Products x speed'!F28</f>
        <v>750519</v>
      </c>
      <c r="E397" s="398">
        <f>'Products x speed'!G28</f>
        <v>0</v>
      </c>
      <c r="F397" s="398">
        <f>'Products x speed'!H28</f>
        <v>0</v>
      </c>
      <c r="G397" s="398">
        <f>'Products x speed'!I28</f>
        <v>0</v>
      </c>
      <c r="H397" s="398">
        <f>'Products x speed'!J28</f>
        <v>0</v>
      </c>
      <c r="I397" s="398">
        <f>'Products x speed'!K28</f>
        <v>0</v>
      </c>
      <c r="J397" s="398">
        <f>'Products x speed'!L28</f>
        <v>0</v>
      </c>
      <c r="K397" s="398">
        <f>'Products x speed'!M28</f>
        <v>0</v>
      </c>
      <c r="L397" s="398">
        <f>'Products x speed'!N28</f>
        <v>0</v>
      </c>
      <c r="M397" s="398">
        <f>'Products x speed'!O28</f>
        <v>0</v>
      </c>
      <c r="T397" s="294"/>
    </row>
    <row r="398" spans="1:20" s="4" customFormat="1">
      <c r="A398" s="10"/>
      <c r="B398" s="298" t="s">
        <v>301</v>
      </c>
      <c r="C398" s="399">
        <f>'Products x speed'!E29</f>
        <v>275269</v>
      </c>
      <c r="D398" s="391">
        <f>'Products x speed'!F29</f>
        <v>466535</v>
      </c>
      <c r="E398" s="391">
        <f>'Products x speed'!G29</f>
        <v>0</v>
      </c>
      <c r="F398" s="391">
        <f>'Products x speed'!H29</f>
        <v>0</v>
      </c>
      <c r="G398" s="391">
        <f>'Products x speed'!I29</f>
        <v>0</v>
      </c>
      <c r="H398" s="391">
        <f>'Products x speed'!J29</f>
        <v>0</v>
      </c>
      <c r="I398" s="391">
        <f>'Products x speed'!K29</f>
        <v>0</v>
      </c>
      <c r="J398" s="391">
        <f>'Products x speed'!L29</f>
        <v>0</v>
      </c>
      <c r="K398" s="391">
        <f>'Products x speed'!M29</f>
        <v>0</v>
      </c>
      <c r="L398" s="391">
        <f>'Products x speed'!N29</f>
        <v>0</v>
      </c>
      <c r="M398" s="391">
        <f>'Products x speed'!O29</f>
        <v>0</v>
      </c>
      <c r="T398" s="294"/>
    </row>
    <row r="399" spans="1:20" s="4" customFormat="1">
      <c r="A399" s="10"/>
      <c r="C399" s="29"/>
      <c r="D399" s="29"/>
      <c r="E399" s="29"/>
      <c r="F399" s="29"/>
      <c r="G399" s="29"/>
      <c r="H399" s="29"/>
      <c r="I399" s="29"/>
      <c r="J399" s="29"/>
      <c r="K399" s="29"/>
      <c r="L399" s="29"/>
      <c r="M399" s="29"/>
      <c r="T399" s="294"/>
    </row>
    <row r="400" spans="1:20" s="4" customFormat="1">
      <c r="A400" s="10"/>
      <c r="B400" s="81" t="s">
        <v>21</v>
      </c>
      <c r="C400" s="393">
        <v>2016</v>
      </c>
      <c r="D400" s="394">
        <v>2017</v>
      </c>
      <c r="E400" s="394">
        <v>2018</v>
      </c>
      <c r="F400" s="394">
        <v>2019</v>
      </c>
      <c r="G400" s="394">
        <v>2020</v>
      </c>
      <c r="H400" s="394">
        <v>2021</v>
      </c>
      <c r="I400" s="394">
        <v>2022</v>
      </c>
      <c r="J400" s="394">
        <v>2023</v>
      </c>
      <c r="K400" s="394">
        <v>2024</v>
      </c>
      <c r="L400" s="394">
        <v>2025</v>
      </c>
      <c r="M400" s="394">
        <v>2026</v>
      </c>
      <c r="T400" s="294"/>
    </row>
    <row r="401" spans="1:20" s="4" customFormat="1">
      <c r="A401" s="10"/>
      <c r="B401" s="277" t="str">
        <f>B406</f>
        <v>100 m  40G QSFP+</v>
      </c>
      <c r="C401" s="400">
        <f t="shared" ref="C401:H403" si="87">IF(C396=0,"",C406*10^6/C396)</f>
        <v>96.595063887564976</v>
      </c>
      <c r="D401" s="401">
        <f t="shared" si="87"/>
        <v>80.379797575925679</v>
      </c>
      <c r="E401" s="401" t="str">
        <f t="shared" si="87"/>
        <v/>
      </c>
      <c r="F401" s="401" t="str">
        <f t="shared" si="87"/>
        <v/>
      </c>
      <c r="G401" s="401" t="str">
        <f t="shared" si="87"/>
        <v/>
      </c>
      <c r="H401" s="401" t="str">
        <f t="shared" si="87"/>
        <v/>
      </c>
      <c r="I401" s="401" t="str">
        <f t="shared" ref="I401:J403" si="88">IF(I396=0,"",I406*10^6/I396)</f>
        <v/>
      </c>
      <c r="J401" s="401" t="str">
        <f t="shared" si="88"/>
        <v/>
      </c>
      <c r="K401" s="401" t="str">
        <f t="shared" ref="K401:L403" si="89">IF(K396=0,"",K406*10^6/K396)</f>
        <v/>
      </c>
      <c r="L401" s="401" t="str">
        <f t="shared" si="89"/>
        <v/>
      </c>
      <c r="M401" s="401" t="str">
        <f t="shared" ref="M401" si="90">IF(M396=0,"",M406*10^6/M396)</f>
        <v/>
      </c>
      <c r="T401" s="294"/>
    </row>
    <row r="402" spans="1:20" s="4" customFormat="1">
      <c r="A402" s="10"/>
      <c r="B402" s="279" t="str">
        <f>B407</f>
        <v>100 m  40G MM duplex</v>
      </c>
      <c r="C402" s="402">
        <f t="shared" si="87"/>
        <v>250</v>
      </c>
      <c r="D402" s="283">
        <f t="shared" si="87"/>
        <v>240</v>
      </c>
      <c r="E402" s="283" t="str">
        <f t="shared" si="87"/>
        <v/>
      </c>
      <c r="F402" s="283" t="str">
        <f t="shared" si="87"/>
        <v/>
      </c>
      <c r="G402" s="283" t="str">
        <f t="shared" si="87"/>
        <v/>
      </c>
      <c r="H402" s="283" t="str">
        <f t="shared" si="87"/>
        <v/>
      </c>
      <c r="I402" s="283" t="str">
        <f t="shared" si="88"/>
        <v/>
      </c>
      <c r="J402" s="283" t="str">
        <f t="shared" si="88"/>
        <v/>
      </c>
      <c r="K402" s="283" t="str">
        <f t="shared" si="89"/>
        <v/>
      </c>
      <c r="L402" s="283" t="str">
        <f t="shared" si="89"/>
        <v/>
      </c>
      <c r="M402" s="283" t="str">
        <f t="shared" ref="M402" si="91">IF(M397=0,"",M407*10^6/M397)</f>
        <v/>
      </c>
      <c r="T402" s="294"/>
    </row>
    <row r="403" spans="1:20" s="4" customFormat="1">
      <c r="A403" s="10"/>
      <c r="B403" s="298" t="str">
        <f>B408</f>
        <v>300 m  40 G eSR QSFP+</v>
      </c>
      <c r="C403" s="403">
        <f t="shared" si="87"/>
        <v>106.66614587912188</v>
      </c>
      <c r="D403" s="404">
        <f t="shared" si="87"/>
        <v>80.99928194026171</v>
      </c>
      <c r="E403" s="404" t="str">
        <f t="shared" si="87"/>
        <v/>
      </c>
      <c r="F403" s="404" t="str">
        <f t="shared" si="87"/>
        <v/>
      </c>
      <c r="G403" s="404" t="str">
        <f t="shared" si="87"/>
        <v/>
      </c>
      <c r="H403" s="404" t="str">
        <f t="shared" si="87"/>
        <v/>
      </c>
      <c r="I403" s="404" t="str">
        <f t="shared" si="88"/>
        <v/>
      </c>
      <c r="J403" s="404" t="str">
        <f t="shared" si="88"/>
        <v/>
      </c>
      <c r="K403" s="404" t="str">
        <f t="shared" si="89"/>
        <v/>
      </c>
      <c r="L403" s="404" t="str">
        <f t="shared" si="89"/>
        <v/>
      </c>
      <c r="M403" s="404" t="str">
        <f t="shared" ref="M403" si="92">IF(M398=0,"",M408*10^6/M398)</f>
        <v/>
      </c>
      <c r="T403" s="294"/>
    </row>
    <row r="404" spans="1:20" s="4" customFormat="1">
      <c r="A404" s="10"/>
      <c r="T404" s="294"/>
    </row>
    <row r="405" spans="1:20" s="4" customFormat="1">
      <c r="A405" s="10"/>
      <c r="B405" s="81" t="s">
        <v>15</v>
      </c>
      <c r="C405" s="393">
        <v>2016</v>
      </c>
      <c r="D405" s="394">
        <v>2017</v>
      </c>
      <c r="E405" s="394">
        <v>2018</v>
      </c>
      <c r="F405" s="394">
        <v>2019</v>
      </c>
      <c r="G405" s="394">
        <v>2020</v>
      </c>
      <c r="H405" s="394">
        <v>2021</v>
      </c>
      <c r="I405" s="394">
        <v>2022</v>
      </c>
      <c r="J405" s="394">
        <v>2023</v>
      </c>
      <c r="K405" s="394">
        <v>2024</v>
      </c>
      <c r="L405" s="394">
        <v>2025</v>
      </c>
      <c r="M405" s="394">
        <v>2026</v>
      </c>
      <c r="T405" s="294"/>
    </row>
    <row r="406" spans="1:20" s="4" customFormat="1">
      <c r="B406" s="277" t="str">
        <f>B396</f>
        <v>100 m  40G QSFP+</v>
      </c>
      <c r="C406" s="419">
        <f>'Products x speed'!E177</f>
        <v>61.814562208888887</v>
      </c>
      <c r="D406" s="420">
        <f>'Products x speed'!F177</f>
        <v>63.806447873340716</v>
      </c>
      <c r="E406" s="420">
        <f>'Products x speed'!G177</f>
        <v>0</v>
      </c>
      <c r="F406" s="420">
        <f>'Products x speed'!H177</f>
        <v>0</v>
      </c>
      <c r="G406" s="420">
        <f>'Products x speed'!I177</f>
        <v>0</v>
      </c>
      <c r="H406" s="420">
        <f>'Products x speed'!J177</f>
        <v>0</v>
      </c>
      <c r="I406" s="420">
        <f>'Products x speed'!K177</f>
        <v>0</v>
      </c>
      <c r="J406" s="420">
        <f>'Products x speed'!L177</f>
        <v>0</v>
      </c>
      <c r="K406" s="420">
        <f>'Products x speed'!M177</f>
        <v>0</v>
      </c>
      <c r="L406" s="420">
        <f>'Products x speed'!N177</f>
        <v>0</v>
      </c>
      <c r="M406" s="420">
        <f>'Products x speed'!O177</f>
        <v>0</v>
      </c>
      <c r="T406" s="294"/>
    </row>
    <row r="407" spans="1:20" s="4" customFormat="1">
      <c r="A407" s="10"/>
      <c r="B407" s="279" t="str">
        <f>B397</f>
        <v>100 m  40G MM duplex</v>
      </c>
      <c r="C407" s="285">
        <f>'Products x speed'!E178</f>
        <v>153.5735</v>
      </c>
      <c r="D407" s="286">
        <f>'Products x speed'!F178</f>
        <v>180.12456</v>
      </c>
      <c r="E407" s="286">
        <f>'Products x speed'!G178</f>
        <v>0</v>
      </c>
      <c r="F407" s="286">
        <f>'Products x speed'!H178</f>
        <v>0</v>
      </c>
      <c r="G407" s="286">
        <f>'Products x speed'!I178</f>
        <v>0</v>
      </c>
      <c r="H407" s="286">
        <f>'Products x speed'!J178</f>
        <v>0</v>
      </c>
      <c r="I407" s="286">
        <f>'Products x speed'!K178</f>
        <v>0</v>
      </c>
      <c r="J407" s="286">
        <f>'Products x speed'!L178</f>
        <v>0</v>
      </c>
      <c r="K407" s="286">
        <f>'Products x speed'!M178</f>
        <v>0</v>
      </c>
      <c r="L407" s="286">
        <f>'Products x speed'!N178</f>
        <v>0</v>
      </c>
      <c r="M407" s="286">
        <f>'Products x speed'!O178</f>
        <v>0</v>
      </c>
      <c r="T407" s="294"/>
    </row>
    <row r="408" spans="1:20" s="4" customFormat="1">
      <c r="A408" s="10"/>
      <c r="B408" s="298" t="str">
        <f>B398</f>
        <v>300 m  40 G eSR QSFP+</v>
      </c>
      <c r="C408" s="421">
        <f>'Products x speed'!E179</f>
        <v>29.361883310000003</v>
      </c>
      <c r="D408" s="422">
        <f>'Products x speed'!F179</f>
        <v>37.789000000000001</v>
      </c>
      <c r="E408" s="422">
        <f>'Products x speed'!G179</f>
        <v>0</v>
      </c>
      <c r="F408" s="422">
        <f>'Products x speed'!H179</f>
        <v>0</v>
      </c>
      <c r="G408" s="422">
        <f>'Products x speed'!I179</f>
        <v>0</v>
      </c>
      <c r="H408" s="422">
        <f>'Products x speed'!J179</f>
        <v>0</v>
      </c>
      <c r="I408" s="422">
        <f>'Products x speed'!K179</f>
        <v>0</v>
      </c>
      <c r="J408" s="422">
        <f>'Products x speed'!L179</f>
        <v>0</v>
      </c>
      <c r="K408" s="422">
        <f>'Products x speed'!M179</f>
        <v>0</v>
      </c>
      <c r="L408" s="422">
        <f>'Products x speed'!N179</f>
        <v>0</v>
      </c>
      <c r="M408" s="422">
        <f>'Products x speed'!O179</f>
        <v>0</v>
      </c>
      <c r="T408" s="294"/>
    </row>
    <row r="409" spans="1:20" s="4" customFormat="1">
      <c r="A409" s="10"/>
      <c r="B409" s="275" t="s">
        <v>189</v>
      </c>
      <c r="C409" s="403">
        <f t="shared" ref="C409:L409" si="93">SUM(C406:C408)</f>
        <v>244.74994551888886</v>
      </c>
      <c r="D409" s="404">
        <f t="shared" si="93"/>
        <v>281.72000787334071</v>
      </c>
      <c r="E409" s="404">
        <f t="shared" si="93"/>
        <v>0</v>
      </c>
      <c r="F409" s="404">
        <f t="shared" si="93"/>
        <v>0</v>
      </c>
      <c r="G409" s="404">
        <f t="shared" si="93"/>
        <v>0</v>
      </c>
      <c r="H409" s="404">
        <f t="shared" si="93"/>
        <v>0</v>
      </c>
      <c r="I409" s="404">
        <f t="shared" si="93"/>
        <v>0</v>
      </c>
      <c r="J409" s="404">
        <f t="shared" si="93"/>
        <v>0</v>
      </c>
      <c r="K409" s="404">
        <f t="shared" si="93"/>
        <v>0</v>
      </c>
      <c r="L409" s="404">
        <f t="shared" si="93"/>
        <v>0</v>
      </c>
      <c r="M409" s="404">
        <f t="shared" ref="M409" si="94">SUM(M406:M408)</f>
        <v>0</v>
      </c>
      <c r="T409" s="294"/>
    </row>
    <row r="410" spans="1:20" s="4" customFormat="1">
      <c r="A410" s="10"/>
      <c r="C410" s="66"/>
      <c r="D410" s="66"/>
      <c r="E410" s="66"/>
      <c r="F410" s="66"/>
      <c r="G410" s="66"/>
      <c r="H410" s="66"/>
      <c r="I410" s="66"/>
      <c r="J410" s="66"/>
      <c r="K410" s="66"/>
      <c r="L410" s="66"/>
      <c r="M410" s="66"/>
      <c r="N410" s="66"/>
      <c r="O410" s="66"/>
      <c r="P410" s="66"/>
      <c r="R410" s="66"/>
      <c r="S410" s="66"/>
      <c r="T410" s="294"/>
    </row>
    <row r="411" spans="1:20" s="4" customFormat="1" ht="21">
      <c r="A411" s="10"/>
      <c r="B411" s="17" t="s">
        <v>190</v>
      </c>
      <c r="C411" s="66"/>
      <c r="D411" s="66"/>
      <c r="E411" s="66"/>
      <c r="F411" s="66"/>
      <c r="G411" s="66"/>
      <c r="H411" s="66"/>
      <c r="I411" s="66"/>
      <c r="J411" s="66"/>
      <c r="K411" s="66"/>
      <c r="L411" s="66"/>
      <c r="M411" s="66"/>
      <c r="N411" s="66"/>
      <c r="O411" s="66"/>
      <c r="P411" s="66"/>
      <c r="R411" s="66"/>
      <c r="S411" s="66"/>
      <c r="T411" s="294"/>
    </row>
    <row r="412" spans="1:20" ht="21">
      <c r="B412" s="302" t="s">
        <v>22</v>
      </c>
      <c r="H412" s="302" t="s">
        <v>21</v>
      </c>
      <c r="P412" s="302" t="s">
        <v>15</v>
      </c>
    </row>
    <row r="413" spans="1:20" s="4" customFormat="1">
      <c r="A413" s="10"/>
      <c r="C413" s="66"/>
      <c r="D413" s="66"/>
      <c r="E413" s="66"/>
      <c r="F413" s="66"/>
      <c r="G413" s="66"/>
      <c r="H413" s="66"/>
      <c r="I413" s="66"/>
      <c r="J413" s="66"/>
      <c r="K413" s="66"/>
      <c r="L413" s="66"/>
      <c r="M413" s="66"/>
      <c r="N413" s="66"/>
      <c r="O413" s="66"/>
      <c r="P413" s="66"/>
      <c r="R413" s="66"/>
      <c r="S413" s="66"/>
      <c r="T413" s="294"/>
    </row>
    <row r="414" spans="1:20" s="4" customFormat="1">
      <c r="A414" s="10"/>
      <c r="T414" s="294"/>
    </row>
    <row r="415" spans="1:20" s="4" customFormat="1">
      <c r="A415" s="10"/>
      <c r="T415" s="294"/>
    </row>
    <row r="416" spans="1:20" s="4" customFormat="1">
      <c r="A416" s="10"/>
      <c r="T416" s="294"/>
    </row>
    <row r="417" spans="1:20" s="4" customFormat="1">
      <c r="A417" s="10"/>
      <c r="T417" s="294"/>
    </row>
    <row r="418" spans="1:20" s="4" customFormat="1">
      <c r="A418" s="10"/>
      <c r="T418" s="294"/>
    </row>
    <row r="419" spans="1:20" s="4" customFormat="1">
      <c r="A419" s="10"/>
      <c r="T419" s="294"/>
    </row>
    <row r="420" spans="1:20" s="4" customFormat="1">
      <c r="A420" s="10"/>
      <c r="T420" s="294"/>
    </row>
    <row r="421" spans="1:20" s="4" customFormat="1">
      <c r="A421" s="10"/>
      <c r="T421" s="294"/>
    </row>
    <row r="422" spans="1:20" s="4" customFormat="1">
      <c r="A422" s="10"/>
      <c r="T422" s="294"/>
    </row>
    <row r="423" spans="1:20" s="4" customFormat="1">
      <c r="A423" s="10"/>
      <c r="T423" s="294"/>
    </row>
    <row r="424" spans="1:20" s="4" customFormat="1">
      <c r="A424" s="10"/>
      <c r="T424" s="294"/>
    </row>
    <row r="425" spans="1:20" s="4" customFormat="1">
      <c r="A425" s="10"/>
      <c r="T425" s="294"/>
    </row>
    <row r="426" spans="1:20" s="4" customFormat="1">
      <c r="A426" s="10"/>
      <c r="T426" s="294"/>
    </row>
    <row r="427" spans="1:20" s="4" customFormat="1">
      <c r="A427" s="10"/>
      <c r="T427" s="294"/>
    </row>
    <row r="428" spans="1:20" s="4" customFormat="1">
      <c r="A428" s="10"/>
      <c r="T428" s="294"/>
    </row>
    <row r="429" spans="1:20" s="4" customFormat="1">
      <c r="A429" s="10"/>
      <c r="T429" s="294"/>
    </row>
    <row r="430" spans="1:20" s="4" customFormat="1">
      <c r="A430" s="10"/>
      <c r="T430" s="294"/>
    </row>
    <row r="431" spans="1:20" s="4" customFormat="1">
      <c r="A431" s="10"/>
      <c r="T431" s="294"/>
    </row>
    <row r="432" spans="1:20" s="4" customFormat="1">
      <c r="A432" s="10"/>
      <c r="T432" s="294"/>
    </row>
    <row r="433" spans="1:20" s="4" customFormat="1">
      <c r="A433" s="10"/>
      <c r="B433" s="81" t="s">
        <v>22</v>
      </c>
      <c r="C433" s="393">
        <v>2016</v>
      </c>
      <c r="D433" s="394">
        <v>2017</v>
      </c>
      <c r="E433" s="394">
        <v>2018</v>
      </c>
      <c r="F433" s="394">
        <v>2019</v>
      </c>
      <c r="G433" s="394">
        <v>2020</v>
      </c>
      <c r="H433" s="394">
        <v>2021</v>
      </c>
      <c r="I433" s="394">
        <v>2022</v>
      </c>
      <c r="J433" s="394">
        <v>2023</v>
      </c>
      <c r="K433" s="394">
        <v>2024</v>
      </c>
      <c r="L433" s="394">
        <v>2025</v>
      </c>
      <c r="M433" s="394">
        <v>2026</v>
      </c>
      <c r="T433" s="294"/>
    </row>
    <row r="434" spans="1:20" s="4" customFormat="1">
      <c r="A434" s="10"/>
      <c r="B434" s="277" t="s">
        <v>122</v>
      </c>
      <c r="C434" s="163">
        <f>'Products x speed'!E30</f>
        <v>813790</v>
      </c>
      <c r="D434" s="164">
        <f>'Products x speed'!F30</f>
        <v>613640</v>
      </c>
      <c r="E434" s="164">
        <f>'Products x speed'!G30</f>
        <v>0</v>
      </c>
      <c r="F434" s="164">
        <f>'Products x speed'!H30</f>
        <v>0</v>
      </c>
      <c r="G434" s="164">
        <f>'Products x speed'!I30</f>
        <v>0</v>
      </c>
      <c r="H434" s="164">
        <f>'Products x speed'!J30</f>
        <v>0</v>
      </c>
      <c r="I434" s="164">
        <f>'Products x speed'!K30</f>
        <v>0</v>
      </c>
      <c r="J434" s="164">
        <f>'Products x speed'!L30</f>
        <v>0</v>
      </c>
      <c r="K434" s="164">
        <f>'Products x speed'!M30</f>
        <v>0</v>
      </c>
      <c r="L434" s="164">
        <f>'Products x speed'!N30</f>
        <v>0</v>
      </c>
      <c r="M434" s="164">
        <f>'Products x speed'!O30</f>
        <v>0</v>
      </c>
      <c r="T434" s="294"/>
    </row>
    <row r="435" spans="1:20" s="4" customFormat="1">
      <c r="A435" s="10"/>
      <c r="B435" s="279" t="s">
        <v>88</v>
      </c>
      <c r="C435" s="165">
        <f>'Products x speed'!E31</f>
        <v>791</v>
      </c>
      <c r="D435" s="166">
        <f>'Products x speed'!F31</f>
        <v>402</v>
      </c>
      <c r="E435" s="166"/>
      <c r="F435" s="166"/>
      <c r="G435" s="166"/>
      <c r="H435" s="166"/>
      <c r="I435" s="166"/>
      <c r="J435" s="166"/>
      <c r="K435" s="166"/>
      <c r="L435" s="166"/>
      <c r="M435" s="166"/>
      <c r="T435" s="294"/>
    </row>
    <row r="436" spans="1:20" s="4" customFormat="1">
      <c r="A436" s="10"/>
      <c r="B436" s="279" t="s">
        <v>123</v>
      </c>
      <c r="C436" s="165">
        <f>'Products x speed'!E32</f>
        <v>470209</v>
      </c>
      <c r="D436" s="166">
        <f>'Products x speed'!F32</f>
        <v>806616</v>
      </c>
      <c r="E436" s="166">
        <f>'Products x speed'!G32</f>
        <v>0</v>
      </c>
      <c r="F436" s="166">
        <f>'Products x speed'!H32</f>
        <v>0</v>
      </c>
      <c r="G436" s="166">
        <f>'Products x speed'!I32</f>
        <v>0</v>
      </c>
      <c r="H436" s="166">
        <f>'Products x speed'!J32</f>
        <v>0</v>
      </c>
      <c r="I436" s="166">
        <f>'Products x speed'!K32</f>
        <v>0</v>
      </c>
      <c r="J436" s="166">
        <f>'Products x speed'!L32</f>
        <v>0</v>
      </c>
      <c r="K436" s="166">
        <f>'Products x speed'!M32</f>
        <v>0</v>
      </c>
      <c r="L436" s="166">
        <f>'Products x speed'!N32</f>
        <v>0</v>
      </c>
      <c r="M436" s="166">
        <f>'Products x speed'!O32</f>
        <v>0</v>
      </c>
      <c r="T436" s="294"/>
    </row>
    <row r="437" spans="1:20" s="4" customFormat="1">
      <c r="A437" s="10"/>
      <c r="B437" s="279" t="s">
        <v>89</v>
      </c>
      <c r="C437" s="165">
        <f>'Products x speed'!E33</f>
        <v>6655</v>
      </c>
      <c r="D437" s="166">
        <f>'Products x speed'!F33</f>
        <v>2846</v>
      </c>
      <c r="E437" s="166">
        <f>'Products x speed'!G33</f>
        <v>0</v>
      </c>
      <c r="F437" s="166">
        <f>'Products x speed'!H33</f>
        <v>0</v>
      </c>
      <c r="G437" s="166">
        <f>'Products x speed'!I33</f>
        <v>0</v>
      </c>
      <c r="H437" s="166">
        <f>'Products x speed'!J33</f>
        <v>0</v>
      </c>
      <c r="I437" s="166">
        <f>'Products x speed'!K33</f>
        <v>0</v>
      </c>
      <c r="J437" s="166">
        <f>'Products x speed'!L33</f>
        <v>0</v>
      </c>
      <c r="K437" s="166">
        <f>'Products x speed'!M33</f>
        <v>0</v>
      </c>
      <c r="L437" s="166">
        <f>'Products x speed'!N33</f>
        <v>0</v>
      </c>
      <c r="M437" s="166">
        <f>'Products x speed'!O33</f>
        <v>0</v>
      </c>
      <c r="T437" s="294"/>
    </row>
    <row r="438" spans="1:20" s="4" customFormat="1">
      <c r="A438" s="10"/>
      <c r="B438" s="279" t="s">
        <v>124</v>
      </c>
      <c r="C438" s="165">
        <f>'Products x speed'!E34</f>
        <v>327231</v>
      </c>
      <c r="D438" s="166">
        <f>'Products x speed'!F34</f>
        <v>424358</v>
      </c>
      <c r="E438" s="166">
        <f>'Products x speed'!G34</f>
        <v>0</v>
      </c>
      <c r="F438" s="166">
        <f>'Products x speed'!H34</f>
        <v>0</v>
      </c>
      <c r="G438" s="166">
        <f>'Products x speed'!I34</f>
        <v>0</v>
      </c>
      <c r="H438" s="166">
        <f>'Products x speed'!J34</f>
        <v>0</v>
      </c>
      <c r="I438" s="166">
        <f>'Products x speed'!K34</f>
        <v>0</v>
      </c>
      <c r="J438" s="166">
        <f>'Products x speed'!L34</f>
        <v>0</v>
      </c>
      <c r="K438" s="166">
        <f>'Products x speed'!M34</f>
        <v>0</v>
      </c>
      <c r="L438" s="166">
        <f>'Products x speed'!N34</f>
        <v>0</v>
      </c>
      <c r="M438" s="166">
        <f>'Products x speed'!O34</f>
        <v>0</v>
      </c>
      <c r="T438" s="294"/>
    </row>
    <row r="439" spans="1:20" s="4" customFormat="1">
      <c r="A439" s="10"/>
      <c r="B439" s="298" t="s">
        <v>90</v>
      </c>
      <c r="C439" s="167">
        <f>'Products x speed'!E35</f>
        <v>4894</v>
      </c>
      <c r="D439" s="168">
        <f>'Products x speed'!F35</f>
        <v>5432</v>
      </c>
      <c r="E439" s="168">
        <f>'Products x speed'!G35</f>
        <v>0</v>
      </c>
      <c r="F439" s="168">
        <f>'Products x speed'!H35</f>
        <v>0</v>
      </c>
      <c r="G439" s="168">
        <f>'Products x speed'!I35</f>
        <v>0</v>
      </c>
      <c r="H439" s="168">
        <f>'Products x speed'!J35</f>
        <v>0</v>
      </c>
      <c r="I439" s="168">
        <f>'Products x speed'!K35</f>
        <v>0</v>
      </c>
      <c r="J439" s="168">
        <f>'Products x speed'!L35</f>
        <v>0</v>
      </c>
      <c r="K439" s="168">
        <f>'Products x speed'!M35</f>
        <v>0</v>
      </c>
      <c r="L439" s="168">
        <f>'Products x speed'!N35</f>
        <v>0</v>
      </c>
      <c r="M439" s="168">
        <f>'Products x speed'!O35</f>
        <v>0</v>
      </c>
      <c r="T439" s="294"/>
    </row>
    <row r="440" spans="1:20" s="4" customFormat="1">
      <c r="A440" s="10"/>
      <c r="B440" s="275" t="s">
        <v>87</v>
      </c>
      <c r="C440" s="399">
        <f t="shared" ref="C440:L440" si="95">SUM(C434:C439)</f>
        <v>1623570</v>
      </c>
      <c r="D440" s="391">
        <f t="shared" si="95"/>
        <v>1853294</v>
      </c>
      <c r="E440" s="391">
        <f t="shared" si="95"/>
        <v>0</v>
      </c>
      <c r="F440" s="391">
        <f t="shared" si="95"/>
        <v>0</v>
      </c>
      <c r="G440" s="391">
        <f t="shared" si="95"/>
        <v>0</v>
      </c>
      <c r="H440" s="391">
        <f t="shared" si="95"/>
        <v>0</v>
      </c>
      <c r="I440" s="391">
        <f t="shared" si="95"/>
        <v>0</v>
      </c>
      <c r="J440" s="391">
        <f t="shared" si="95"/>
        <v>0</v>
      </c>
      <c r="K440" s="391">
        <f t="shared" si="95"/>
        <v>0</v>
      </c>
      <c r="L440" s="391">
        <f t="shared" si="95"/>
        <v>0</v>
      </c>
      <c r="M440" s="391">
        <f t="shared" ref="M440" si="96">SUM(M434:M439)</f>
        <v>0</v>
      </c>
      <c r="T440" s="294"/>
    </row>
    <row r="441" spans="1:20" s="4" customFormat="1">
      <c r="A441" s="10"/>
      <c r="B441" s="81"/>
      <c r="T441" s="294"/>
    </row>
    <row r="442" spans="1:20" s="4" customFormat="1">
      <c r="A442" s="10"/>
      <c r="B442" s="81" t="s">
        <v>21</v>
      </c>
      <c r="C442" s="388">
        <v>2016</v>
      </c>
      <c r="D442" s="389">
        <v>2017</v>
      </c>
      <c r="E442" s="389">
        <v>2018</v>
      </c>
      <c r="F442" s="389">
        <v>2019</v>
      </c>
      <c r="G442" s="389">
        <v>2020</v>
      </c>
      <c r="H442" s="389">
        <v>2021</v>
      </c>
      <c r="I442" s="389">
        <v>2022</v>
      </c>
      <c r="J442" s="389">
        <v>2023</v>
      </c>
      <c r="K442" s="389">
        <v>2024</v>
      </c>
      <c r="L442" s="389">
        <v>2025</v>
      </c>
      <c r="M442" s="389">
        <v>2026</v>
      </c>
      <c r="T442" s="294"/>
    </row>
    <row r="443" spans="1:20" s="4" customFormat="1">
      <c r="A443" s="10"/>
      <c r="B443" s="277" t="str">
        <f t="shared" ref="B443:B449" si="97">B434</f>
        <v>500m 40G PSM4 QSFP+</v>
      </c>
      <c r="C443" s="177">
        <f t="shared" ref="C443:L443" si="98">IF(C434=0,"",(C452*10^6)/C434)</f>
        <v>253.19068527507093</v>
      </c>
      <c r="D443" s="175">
        <f t="shared" si="98"/>
        <v>262.79055146339874</v>
      </c>
      <c r="E443" s="175" t="str">
        <f t="shared" si="98"/>
        <v/>
      </c>
      <c r="F443" s="175" t="str">
        <f t="shared" si="98"/>
        <v/>
      </c>
      <c r="G443" s="175" t="str">
        <f t="shared" si="98"/>
        <v/>
      </c>
      <c r="H443" s="175" t="str">
        <f t="shared" si="98"/>
        <v/>
      </c>
      <c r="I443" s="175" t="str">
        <f t="shared" si="98"/>
        <v/>
      </c>
      <c r="J443" s="175" t="str">
        <f t="shared" si="98"/>
        <v/>
      </c>
      <c r="K443" s="175" t="str">
        <f t="shared" si="98"/>
        <v/>
      </c>
      <c r="L443" s="175" t="str">
        <f t="shared" si="98"/>
        <v/>
      </c>
      <c r="M443" s="175" t="str">
        <f t="shared" ref="M443" si="99">IF(M434=0,"",(M452*10^6)/M434)</f>
        <v/>
      </c>
      <c r="T443" s="294"/>
    </row>
    <row r="444" spans="1:20" s="4" customFormat="1">
      <c r="A444" s="10"/>
      <c r="B444" s="279" t="str">
        <f t="shared" si="97"/>
        <v>2 km  40G (FR) CFP</v>
      </c>
      <c r="C444" s="177">
        <f t="shared" ref="C444:D448" si="100">IF(C435=0,"",(C453*10^6)/C435)</f>
        <v>4569.894941368153</v>
      </c>
      <c r="D444" s="175">
        <f t="shared" si="100"/>
        <v>5251.681208639473</v>
      </c>
      <c r="E444" s="175"/>
      <c r="F444" s="175"/>
      <c r="G444" s="175"/>
      <c r="H444" s="175"/>
      <c r="I444" s="175"/>
      <c r="J444" s="175"/>
      <c r="K444" s="175"/>
      <c r="L444" s="175"/>
      <c r="M444" s="175"/>
      <c r="T444" s="294"/>
    </row>
    <row r="445" spans="1:20" s="4" customFormat="1">
      <c r="A445" s="10"/>
      <c r="B445" s="279" t="str">
        <f t="shared" si="97"/>
        <v>2 km 40G LR4 subspec QSFP+</v>
      </c>
      <c r="C445" s="177">
        <f t="shared" si="100"/>
        <v>377.60055209491952</v>
      </c>
      <c r="D445" s="175">
        <f t="shared" si="100"/>
        <v>343.5254726908467</v>
      </c>
      <c r="E445" s="175" t="str">
        <f t="shared" ref="E445:H448" si="101">IF(E436=0,"",(E454*10^6)/E436)</f>
        <v/>
      </c>
      <c r="F445" s="175" t="str">
        <f t="shared" si="101"/>
        <v/>
      </c>
      <c r="G445" s="175" t="str">
        <f t="shared" si="101"/>
        <v/>
      </c>
      <c r="H445" s="175" t="str">
        <f t="shared" si="101"/>
        <v/>
      </c>
      <c r="I445" s="175" t="str">
        <f t="shared" ref="I445:J447" si="102">IF(I436=0,"",(I454*10^6)/I436)</f>
        <v/>
      </c>
      <c r="J445" s="175" t="str">
        <f t="shared" si="102"/>
        <v/>
      </c>
      <c r="K445" s="175" t="str">
        <f t="shared" ref="K445:L447" si="103">IF(K436=0,"",(K454*10^6)/K436)</f>
        <v/>
      </c>
      <c r="L445" s="175" t="str">
        <f t="shared" si="103"/>
        <v/>
      </c>
      <c r="M445" s="175" t="str">
        <f t="shared" ref="M445" si="104">IF(M436=0,"",(M454*10^6)/M436)</f>
        <v/>
      </c>
      <c r="T445" s="294"/>
    </row>
    <row r="446" spans="1:20" s="4" customFormat="1">
      <c r="A446" s="10"/>
      <c r="B446" s="279" t="str">
        <f t="shared" si="97"/>
        <v>10 km 40G CFP</v>
      </c>
      <c r="C446" s="177">
        <f t="shared" si="100"/>
        <v>1174.9655306999969</v>
      </c>
      <c r="D446" s="175">
        <f t="shared" si="100"/>
        <v>1350.8997571323105</v>
      </c>
      <c r="E446" s="175"/>
      <c r="F446" s="175"/>
      <c r="G446" s="175"/>
      <c r="H446" s="175"/>
      <c r="I446" s="175"/>
      <c r="J446" s="175"/>
      <c r="K446" s="175"/>
      <c r="L446" s="175"/>
      <c r="M446" s="175"/>
      <c r="T446" s="294"/>
    </row>
    <row r="447" spans="1:20" s="4" customFormat="1">
      <c r="A447" s="10"/>
      <c r="B447" s="279" t="str">
        <f t="shared" si="97"/>
        <v>10 km  40G QSFP+</v>
      </c>
      <c r="C447" s="177">
        <f t="shared" si="100"/>
        <v>427.72742888770347</v>
      </c>
      <c r="D447" s="175">
        <f t="shared" si="100"/>
        <v>401.36672508917627</v>
      </c>
      <c r="E447" s="175" t="str">
        <f t="shared" si="101"/>
        <v/>
      </c>
      <c r="F447" s="175" t="str">
        <f t="shared" si="101"/>
        <v/>
      </c>
      <c r="G447" s="175" t="str">
        <f t="shared" si="101"/>
        <v/>
      </c>
      <c r="H447" s="175" t="str">
        <f t="shared" si="101"/>
        <v/>
      </c>
      <c r="I447" s="175" t="str">
        <f t="shared" si="102"/>
        <v/>
      </c>
      <c r="J447" s="175" t="str">
        <f t="shared" si="102"/>
        <v/>
      </c>
      <c r="K447" s="175" t="str">
        <f t="shared" si="103"/>
        <v/>
      </c>
      <c r="L447" s="175" t="str">
        <f t="shared" si="103"/>
        <v/>
      </c>
      <c r="M447" s="175" t="str">
        <f t="shared" ref="M447" si="105">IF(M438=0,"",(M456*10^6)/M438)</f>
        <v/>
      </c>
      <c r="T447" s="294"/>
    </row>
    <row r="448" spans="1:20" s="4" customFormat="1">
      <c r="A448" s="10"/>
      <c r="B448" s="298" t="str">
        <f t="shared" si="97"/>
        <v>40 km 40G all</v>
      </c>
      <c r="C448" s="183">
        <f t="shared" si="100"/>
        <v>1673.0572324239708</v>
      </c>
      <c r="D448" s="171">
        <f t="shared" si="100"/>
        <v>1459.2330281290015</v>
      </c>
      <c r="E448" s="171" t="str">
        <f t="shared" si="101"/>
        <v/>
      </c>
      <c r="F448" s="171" t="str">
        <f t="shared" si="101"/>
        <v/>
      </c>
      <c r="G448" s="171" t="str">
        <f t="shared" si="101"/>
        <v/>
      </c>
      <c r="H448" s="171" t="str">
        <f t="shared" si="101"/>
        <v/>
      </c>
      <c r="I448" s="171" t="str">
        <f t="shared" ref="I448:K449" si="106">IF(I439=0,"",(I457*10^6)/I439)</f>
        <v/>
      </c>
      <c r="J448" s="171" t="str">
        <f t="shared" si="106"/>
        <v/>
      </c>
      <c r="K448" s="171" t="str">
        <f t="shared" si="106"/>
        <v/>
      </c>
      <c r="L448" s="171" t="str">
        <f>IF(L439=0,"",(L457*10^6)/L439)</f>
        <v/>
      </c>
      <c r="M448" s="171" t="str">
        <f>IF(M439=0,"",(M457*10^6)/M439)</f>
        <v/>
      </c>
      <c r="T448" s="294"/>
    </row>
    <row r="449" spans="1:20" s="4" customFormat="1">
      <c r="A449" s="10"/>
      <c r="B449" s="275" t="str">
        <f t="shared" si="97"/>
        <v>40G LR total</v>
      </c>
      <c r="C449" s="183">
        <f t="shared" ref="C449:H449" si="107">IF(C440=0,"",(C458*10^6)/C440)</f>
        <v>334.5608902931599</v>
      </c>
      <c r="D449" s="171">
        <f t="shared" si="107"/>
        <v>335.91945356152939</v>
      </c>
      <c r="E449" s="171" t="str">
        <f t="shared" si="107"/>
        <v/>
      </c>
      <c r="F449" s="171" t="str">
        <f t="shared" si="107"/>
        <v/>
      </c>
      <c r="G449" s="171" t="str">
        <f t="shared" si="107"/>
        <v/>
      </c>
      <c r="H449" s="171" t="str">
        <f t="shared" si="107"/>
        <v/>
      </c>
      <c r="I449" s="171" t="str">
        <f t="shared" si="106"/>
        <v/>
      </c>
      <c r="J449" s="171" t="str">
        <f t="shared" si="106"/>
        <v/>
      </c>
      <c r="K449" s="171" t="str">
        <f t="shared" si="106"/>
        <v/>
      </c>
      <c r="L449" s="171" t="str">
        <f>IF(L440=0,"",(L458*10^6)/L440)</f>
        <v/>
      </c>
      <c r="M449" s="171" t="str">
        <f>IF(M440=0,"",(M458*10^6)/M440)</f>
        <v/>
      </c>
      <c r="T449" s="294"/>
    </row>
    <row r="450" spans="1:20" s="4" customFormat="1">
      <c r="A450" s="10"/>
      <c r="C450" s="29"/>
      <c r="D450" s="29"/>
      <c r="E450" s="29"/>
      <c r="F450" s="29"/>
      <c r="G450" s="29"/>
      <c r="H450" s="29"/>
      <c r="I450" s="29"/>
      <c r="J450" s="29"/>
      <c r="K450" s="29"/>
      <c r="L450" s="29"/>
      <c r="M450" s="29"/>
      <c r="T450" s="294"/>
    </row>
    <row r="451" spans="1:20">
      <c r="A451" s="10"/>
      <c r="B451" s="81" t="s">
        <v>15</v>
      </c>
      <c r="C451" s="393">
        <v>2016</v>
      </c>
      <c r="D451" s="394">
        <v>2017</v>
      </c>
      <c r="E451" s="394">
        <v>2018</v>
      </c>
      <c r="F451" s="394">
        <v>2019</v>
      </c>
      <c r="G451" s="394">
        <v>2020</v>
      </c>
      <c r="H451" s="394">
        <v>2021</v>
      </c>
      <c r="I451" s="394">
        <v>2022</v>
      </c>
      <c r="J451" s="394">
        <v>2023</v>
      </c>
      <c r="K451" s="394">
        <v>2024</v>
      </c>
      <c r="L451" s="394">
        <v>2025</v>
      </c>
      <c r="M451" s="394">
        <v>2026</v>
      </c>
    </row>
    <row r="452" spans="1:20" s="4" customFormat="1">
      <c r="A452" s="10"/>
      <c r="B452" s="277" t="str">
        <f t="shared" ref="B452:B457" si="108">B434</f>
        <v>500m 40G PSM4 QSFP+</v>
      </c>
      <c r="C452" s="176">
        <f>'Products x speed'!E180</f>
        <v>206.04404776999999</v>
      </c>
      <c r="D452" s="173">
        <f>'Products x speed'!F180</f>
        <v>161.25879399999999</v>
      </c>
      <c r="E452" s="173">
        <f>'Products x speed'!G180</f>
        <v>0</v>
      </c>
      <c r="F452" s="173">
        <f>'Products x speed'!H180</f>
        <v>0</v>
      </c>
      <c r="G452" s="173">
        <f>'Products x speed'!I180</f>
        <v>0</v>
      </c>
      <c r="H452" s="173">
        <f>'Products x speed'!J180</f>
        <v>0</v>
      </c>
      <c r="I452" s="305">
        <f>'Products x speed'!K180</f>
        <v>0</v>
      </c>
      <c r="J452" s="305">
        <f>'Products x speed'!L180</f>
        <v>0</v>
      </c>
      <c r="K452" s="305">
        <f>'Products x speed'!M180</f>
        <v>0</v>
      </c>
      <c r="L452" s="305">
        <f>'Products x speed'!N180</f>
        <v>0</v>
      </c>
      <c r="M452" s="305">
        <f>'Products x speed'!O180</f>
        <v>0</v>
      </c>
      <c r="T452" s="294"/>
    </row>
    <row r="453" spans="1:20" s="4" customFormat="1">
      <c r="A453" s="10"/>
      <c r="B453" s="279" t="str">
        <f t="shared" si="108"/>
        <v>2 km  40G (FR) CFP</v>
      </c>
      <c r="C453" s="177">
        <f>'Products x speed'!E181</f>
        <v>3.6147868986222087</v>
      </c>
      <c r="D453" s="175">
        <f>'Products x speed'!F181</f>
        <v>2.1111758458730683</v>
      </c>
      <c r="E453" s="175">
        <f>'Products x speed'!G181</f>
        <v>0</v>
      </c>
      <c r="F453" s="175">
        <f>'Products x speed'!H181</f>
        <v>0</v>
      </c>
      <c r="G453" s="175">
        <f>'Products x speed'!I181</f>
        <v>0</v>
      </c>
      <c r="H453" s="175">
        <f>'Products x speed'!J181</f>
        <v>0</v>
      </c>
      <c r="I453" s="175">
        <f>'Products x speed'!K181</f>
        <v>0</v>
      </c>
      <c r="J453" s="175">
        <f>'Products x speed'!L181</f>
        <v>0</v>
      </c>
      <c r="K453" s="175">
        <f>'Products x speed'!M181</f>
        <v>0</v>
      </c>
      <c r="L453" s="175">
        <f>'Products x speed'!N181</f>
        <v>0</v>
      </c>
      <c r="M453" s="175">
        <f>'Products x speed'!O181</f>
        <v>0</v>
      </c>
      <c r="T453" s="294"/>
    </row>
    <row r="454" spans="1:20" s="4" customFormat="1">
      <c r="A454" s="10"/>
      <c r="B454" s="279" t="str">
        <f t="shared" si="108"/>
        <v>2 km 40G LR4 subspec QSFP+</v>
      </c>
      <c r="C454" s="177">
        <f>'Products x speed'!E182</f>
        <v>177.55117799999999</v>
      </c>
      <c r="D454" s="175">
        <f>'Products x speed'!F182</f>
        <v>277.09314268000003</v>
      </c>
      <c r="E454" s="175">
        <f>'Products x speed'!G182</f>
        <v>0</v>
      </c>
      <c r="F454" s="175">
        <f>'Products x speed'!H182</f>
        <v>0</v>
      </c>
      <c r="G454" s="175">
        <f>'Products x speed'!I182</f>
        <v>0</v>
      </c>
      <c r="H454" s="175">
        <f>'Products x speed'!J182</f>
        <v>0</v>
      </c>
      <c r="I454" s="175">
        <f>'Products x speed'!K182</f>
        <v>0</v>
      </c>
      <c r="J454" s="303">
        <f>'Products x speed'!L182</f>
        <v>0</v>
      </c>
      <c r="K454" s="175">
        <f>'Products x speed'!M182</f>
        <v>0</v>
      </c>
      <c r="L454" s="175">
        <f>'Products x speed'!N182</f>
        <v>0</v>
      </c>
      <c r="M454" s="175">
        <f>'Products x speed'!O182</f>
        <v>0</v>
      </c>
      <c r="T454" s="294"/>
    </row>
    <row r="455" spans="1:20" s="4" customFormat="1">
      <c r="A455" s="10"/>
      <c r="B455" s="279" t="str">
        <f t="shared" si="108"/>
        <v>10 km 40G CFP</v>
      </c>
      <c r="C455" s="431">
        <f>'Products x speed'!E183</f>
        <v>7.8193956068084791</v>
      </c>
      <c r="D455" s="303">
        <f>'Products x speed'!F183</f>
        <v>3.8446607087985556</v>
      </c>
      <c r="E455" s="303">
        <f>'Products x speed'!G183</f>
        <v>0</v>
      </c>
      <c r="F455" s="303">
        <f>'Products x speed'!H183</f>
        <v>0</v>
      </c>
      <c r="G455" s="303">
        <f>'Products x speed'!I183</f>
        <v>0</v>
      </c>
      <c r="H455" s="303">
        <f>'Products x speed'!J183</f>
        <v>0</v>
      </c>
      <c r="I455" s="303">
        <f>'Products x speed'!K183</f>
        <v>0</v>
      </c>
      <c r="J455" s="303">
        <f>'Products x speed'!L183</f>
        <v>0</v>
      </c>
      <c r="K455" s="303">
        <f>'Products x speed'!M183</f>
        <v>0</v>
      </c>
      <c r="L455" s="303">
        <f>'Products x speed'!N183</f>
        <v>0</v>
      </c>
      <c r="M455" s="303">
        <f>'Products x speed'!O183</f>
        <v>0</v>
      </c>
      <c r="T455" s="294"/>
    </row>
    <row r="456" spans="1:20" s="4" customFormat="1">
      <c r="A456" s="10"/>
      <c r="B456" s="279" t="str">
        <f t="shared" si="108"/>
        <v>10 km  40G QSFP+</v>
      </c>
      <c r="C456" s="177">
        <f>'Products x speed'!E184</f>
        <v>139.9656742823521</v>
      </c>
      <c r="D456" s="175">
        <f>'Products x speed'!F184</f>
        <v>170.32318072539266</v>
      </c>
      <c r="E456" s="175">
        <f>'Products x speed'!G184</f>
        <v>0</v>
      </c>
      <c r="F456" s="175">
        <f>'Products x speed'!H184</f>
        <v>0</v>
      </c>
      <c r="G456" s="175">
        <f>'Products x speed'!I184</f>
        <v>0</v>
      </c>
      <c r="H456" s="175">
        <f>'Products x speed'!J184</f>
        <v>0</v>
      </c>
      <c r="I456" s="303">
        <f>'Products x speed'!K184</f>
        <v>0</v>
      </c>
      <c r="J456" s="303">
        <f>'Products x speed'!L184</f>
        <v>0</v>
      </c>
      <c r="K456" s="303">
        <f>'Products x speed'!M184</f>
        <v>0</v>
      </c>
      <c r="L456" s="303">
        <f>'Products x speed'!N184</f>
        <v>0</v>
      </c>
      <c r="M456" s="303">
        <f>'Products x speed'!O184</f>
        <v>0</v>
      </c>
      <c r="T456" s="294"/>
    </row>
    <row r="457" spans="1:20" s="4" customFormat="1">
      <c r="A457" s="10"/>
      <c r="B457" s="298" t="str">
        <f t="shared" si="108"/>
        <v>40 km 40G all</v>
      </c>
      <c r="C457" s="594">
        <f>'Products x speed'!E185</f>
        <v>8.1879420954829136</v>
      </c>
      <c r="D457" s="304">
        <f>'Products x speed'!F185</f>
        <v>7.9265538087967364</v>
      </c>
      <c r="E457" s="304">
        <f>'Products x speed'!G185</f>
        <v>0</v>
      </c>
      <c r="F457" s="304">
        <f>'Products x speed'!H185</f>
        <v>0</v>
      </c>
      <c r="G457" s="304">
        <f>'Products x speed'!I185</f>
        <v>0</v>
      </c>
      <c r="H457" s="304">
        <f>'Products x speed'!J185</f>
        <v>0</v>
      </c>
      <c r="I457" s="304">
        <f>'Products x speed'!K185</f>
        <v>0</v>
      </c>
      <c r="J457" s="304">
        <f>'Products x speed'!L185</f>
        <v>0</v>
      </c>
      <c r="K457" s="304">
        <f>'Products x speed'!M185</f>
        <v>0</v>
      </c>
      <c r="L457" s="304">
        <f>'Products x speed'!N185</f>
        <v>0</v>
      </c>
      <c r="M457" s="304">
        <f>'Products x speed'!O185</f>
        <v>0</v>
      </c>
      <c r="T457" s="294"/>
    </row>
    <row r="458" spans="1:20" s="4" customFormat="1">
      <c r="A458" s="10"/>
      <c r="B458" s="297" t="s">
        <v>190</v>
      </c>
      <c r="C458" s="171">
        <f t="shared" ref="C458:L458" si="109">SUM(C452:C457)</f>
        <v>543.18302465326565</v>
      </c>
      <c r="D458" s="171">
        <f t="shared" si="109"/>
        <v>622.557507768861</v>
      </c>
      <c r="E458" s="171">
        <f t="shared" si="109"/>
        <v>0</v>
      </c>
      <c r="F458" s="171">
        <f t="shared" si="109"/>
        <v>0</v>
      </c>
      <c r="G458" s="171">
        <f t="shared" si="109"/>
        <v>0</v>
      </c>
      <c r="H458" s="171">
        <f t="shared" si="109"/>
        <v>0</v>
      </c>
      <c r="I458" s="171">
        <f t="shared" si="109"/>
        <v>0</v>
      </c>
      <c r="J458" s="171">
        <f t="shared" si="109"/>
        <v>0</v>
      </c>
      <c r="K458" s="171">
        <f t="shared" si="109"/>
        <v>0</v>
      </c>
      <c r="L458" s="171">
        <f t="shared" si="109"/>
        <v>0</v>
      </c>
      <c r="M458" s="171">
        <f t="shared" ref="M458" si="110">SUM(M452:M457)</f>
        <v>0</v>
      </c>
      <c r="T458" s="294"/>
    </row>
    <row r="459" spans="1:20" s="4" customFormat="1">
      <c r="A459" s="10"/>
      <c r="B459" s="280"/>
      <c r="C459" s="175"/>
      <c r="D459" s="175"/>
      <c r="E459" s="175"/>
      <c r="F459" s="175"/>
      <c r="G459" s="175"/>
      <c r="H459" s="175"/>
      <c r="I459" s="175"/>
      <c r="J459" s="175"/>
      <c r="K459" s="175"/>
      <c r="L459" s="175"/>
      <c r="M459" s="175"/>
      <c r="T459" s="294"/>
    </row>
    <row r="460" spans="1:20" s="4" customFormat="1">
      <c r="A460" s="10"/>
      <c r="T460" s="294"/>
    </row>
    <row r="461" spans="1:20" ht="21">
      <c r="B461" s="153" t="s">
        <v>296</v>
      </c>
    </row>
    <row r="462" spans="1:20" ht="14.5" customHeight="1">
      <c r="B462" s="153"/>
    </row>
    <row r="482" spans="1:20" ht="15.5">
      <c r="B482" s="118" t="s">
        <v>297</v>
      </c>
      <c r="C482" s="393">
        <v>2016</v>
      </c>
      <c r="D482" s="394">
        <v>2017</v>
      </c>
      <c r="E482" s="394">
        <v>2018</v>
      </c>
      <c r="F482" s="394">
        <v>2019</v>
      </c>
      <c r="G482" s="394">
        <v>2020</v>
      </c>
      <c r="H482" s="394">
        <v>2021</v>
      </c>
      <c r="I482" s="394">
        <v>2022</v>
      </c>
      <c r="J482" s="394">
        <v>2023</v>
      </c>
      <c r="K482" s="394">
        <v>2024</v>
      </c>
      <c r="L482" s="394">
        <v>2025</v>
      </c>
      <c r="M482" s="394">
        <v>2026</v>
      </c>
    </row>
    <row r="483" spans="1:20">
      <c r="B483" s="277" t="str">
        <f>'Products x speed'!C36</f>
        <v>100 m</v>
      </c>
      <c r="C483" s="163"/>
      <c r="D483" s="164"/>
      <c r="E483" s="164">
        <f>'Products x speed'!G36</f>
        <v>0</v>
      </c>
      <c r="F483" s="164">
        <f>'Products x speed'!H36</f>
        <v>0</v>
      </c>
      <c r="G483" s="164">
        <f>'Products x speed'!I36</f>
        <v>0</v>
      </c>
      <c r="H483" s="164">
        <f>'Products x speed'!J36</f>
        <v>0</v>
      </c>
      <c r="I483" s="164">
        <f>'Products x speed'!K36</f>
        <v>0</v>
      </c>
      <c r="J483" s="164">
        <f>'Products x speed'!L36</f>
        <v>0</v>
      </c>
      <c r="K483" s="164">
        <f>'Products x speed'!M36</f>
        <v>0</v>
      </c>
      <c r="L483" s="164">
        <f>'Products x speed'!N36</f>
        <v>0</v>
      </c>
      <c r="M483" s="164">
        <f>'Products x speed'!O36</f>
        <v>0</v>
      </c>
    </row>
    <row r="484" spans="1:20">
      <c r="B484" s="279" t="str">
        <f>'Products x speed'!C37</f>
        <v>2 km</v>
      </c>
      <c r="C484" s="165"/>
      <c r="D484" s="166"/>
      <c r="E484" s="166">
        <f>'Products x speed'!G37</f>
        <v>0</v>
      </c>
      <c r="F484" s="166">
        <f>'Products x speed'!H37</f>
        <v>0</v>
      </c>
      <c r="G484" s="166">
        <f>'Products x speed'!I37</f>
        <v>0</v>
      </c>
      <c r="H484" s="166">
        <f>'Products x speed'!J37</f>
        <v>0</v>
      </c>
      <c r="I484" s="166">
        <f>'Products x speed'!K37</f>
        <v>0</v>
      </c>
      <c r="J484" s="166">
        <f>'Products x speed'!L37</f>
        <v>0</v>
      </c>
      <c r="K484" s="166">
        <f>'Products x speed'!M37</f>
        <v>0</v>
      </c>
      <c r="L484" s="166">
        <f>'Products x speed'!N37</f>
        <v>0</v>
      </c>
      <c r="M484" s="166">
        <f>'Products x speed'!O37</f>
        <v>0</v>
      </c>
    </row>
    <row r="485" spans="1:20">
      <c r="B485" s="279" t="str">
        <f>'Products x speed'!C38</f>
        <v>10 km</v>
      </c>
      <c r="C485" s="165"/>
      <c r="D485" s="166"/>
      <c r="E485" s="166">
        <f>'Products x speed'!G38</f>
        <v>0</v>
      </c>
      <c r="F485" s="166">
        <f>'Products x speed'!H38</f>
        <v>0</v>
      </c>
      <c r="G485" s="166">
        <f>'Products x speed'!I38</f>
        <v>0</v>
      </c>
      <c r="H485" s="166">
        <f>'Products x speed'!J38</f>
        <v>0</v>
      </c>
      <c r="I485" s="166">
        <f>'Products x speed'!K38</f>
        <v>0</v>
      </c>
      <c r="J485" s="166">
        <f>'Products x speed'!L38</f>
        <v>0</v>
      </c>
      <c r="K485" s="166">
        <f>'Products x speed'!M38</f>
        <v>0</v>
      </c>
      <c r="L485" s="166">
        <f>'Products x speed'!N38</f>
        <v>0</v>
      </c>
      <c r="M485" s="166">
        <f>'Products x speed'!O38</f>
        <v>0</v>
      </c>
    </row>
    <row r="486" spans="1:20">
      <c r="B486" s="275" t="s">
        <v>85</v>
      </c>
      <c r="C486" s="399">
        <f t="shared" ref="C486:M486" si="111">SUM(C483:C485)</f>
        <v>0</v>
      </c>
      <c r="D486" s="391">
        <f t="shared" si="111"/>
        <v>0</v>
      </c>
      <c r="E486" s="391">
        <f t="shared" si="111"/>
        <v>0</v>
      </c>
      <c r="F486" s="391">
        <f t="shared" si="111"/>
        <v>0</v>
      </c>
      <c r="G486" s="391">
        <f t="shared" si="111"/>
        <v>0</v>
      </c>
      <c r="H486" s="391">
        <f t="shared" si="111"/>
        <v>0</v>
      </c>
      <c r="I486" s="391">
        <f t="shared" si="111"/>
        <v>0</v>
      </c>
      <c r="J486" s="391">
        <f t="shared" si="111"/>
        <v>0</v>
      </c>
      <c r="K486" s="391">
        <f t="shared" si="111"/>
        <v>0</v>
      </c>
      <c r="L486" s="391">
        <f t="shared" si="111"/>
        <v>0</v>
      </c>
      <c r="M486" s="391">
        <f t="shared" si="111"/>
        <v>0</v>
      </c>
    </row>
    <row r="487" spans="1:20" ht="14.5" customHeight="1">
      <c r="B487" s="331"/>
      <c r="D487" s="274"/>
      <c r="E487" s="274"/>
      <c r="F487" s="274"/>
      <c r="G487" s="274"/>
      <c r="H487" s="274"/>
      <c r="I487" s="274"/>
      <c r="J487" s="274"/>
      <c r="K487" s="274"/>
      <c r="L487" s="274"/>
      <c r="M487" s="274"/>
      <c r="N487" s="274"/>
      <c r="O487" s="274"/>
      <c r="P487" s="274"/>
      <c r="R487" s="274"/>
      <c r="S487" s="274"/>
    </row>
    <row r="488" spans="1:20" s="4" customFormat="1">
      <c r="A488" s="10"/>
      <c r="T488" s="294"/>
    </row>
    <row r="489" spans="1:20" ht="21">
      <c r="A489" s="10"/>
      <c r="B489" s="153" t="s">
        <v>364</v>
      </c>
    </row>
    <row r="491" spans="1:20" ht="17" customHeight="1">
      <c r="B491" s="558" t="s">
        <v>363</v>
      </c>
      <c r="I491" s="558" t="s">
        <v>365</v>
      </c>
    </row>
    <row r="512" spans="2:2" ht="15.5">
      <c r="B512" s="118" t="s">
        <v>302</v>
      </c>
    </row>
    <row r="513" spans="2:13">
      <c r="C513" s="393">
        <v>2016</v>
      </c>
      <c r="D513" s="394">
        <v>2017</v>
      </c>
      <c r="E513" s="394">
        <v>2018</v>
      </c>
      <c r="F513" s="394">
        <v>2019</v>
      </c>
      <c r="G513" s="394">
        <v>2020</v>
      </c>
      <c r="H513" s="394">
        <v>2021</v>
      </c>
      <c r="I513" s="394">
        <v>2022</v>
      </c>
      <c r="J513" s="394">
        <v>2023</v>
      </c>
      <c r="K513" s="394">
        <v>2024</v>
      </c>
      <c r="L513" s="394">
        <v>2025</v>
      </c>
      <c r="M513" s="394">
        <v>2026</v>
      </c>
    </row>
    <row r="514" spans="2:13">
      <c r="B514" s="277" t="s">
        <v>201</v>
      </c>
      <c r="C514" s="163">
        <f>'Products x speed'!E39+'Products x speed'!E40+'Products x speed'!E41+'Products x speed'!E42+'Products x speed'!E43+'Products x speed'!E44</f>
        <v>299241</v>
      </c>
      <c r="D514" s="164">
        <f>'Products x speed'!F39+'Products x speed'!F40+'Products x speed'!F41+'Products x speed'!F42+'Products x speed'!F43+'Products x speed'!F44</f>
        <v>631974</v>
      </c>
      <c r="E514" s="164">
        <f>'Products x speed'!G39+'Products x speed'!G40+'Products x speed'!G41+'Products x speed'!G42+'Products x speed'!G43+'Products x speed'!G44</f>
        <v>0</v>
      </c>
      <c r="F514" s="164">
        <f>'Products x speed'!H39+'Products x speed'!H40+'Products x speed'!H41+'Products x speed'!H42+'Products x speed'!H43+'Products x speed'!H44</f>
        <v>0</v>
      </c>
      <c r="G514" s="164">
        <f>'Products x speed'!I39+'Products x speed'!I40+'Products x speed'!I41+'Products x speed'!I42+'Products x speed'!I43+'Products x speed'!I44</f>
        <v>0</v>
      </c>
      <c r="H514" s="164">
        <f>'Products x speed'!J39+'Products x speed'!J40+'Products x speed'!J41+'Products x speed'!J42+'Products x speed'!J43+'Products x speed'!J44</f>
        <v>0</v>
      </c>
      <c r="I514" s="164">
        <f>'Products x speed'!K39+'Products x speed'!K40+'Products x speed'!K41+'Products x speed'!K42+'Products x speed'!K43+'Products x speed'!K44</f>
        <v>0</v>
      </c>
      <c r="J514" s="164">
        <f>'Products x speed'!L39+'Products x speed'!L40+'Products x speed'!L41+'Products x speed'!L42+'Products x speed'!L43+'Products x speed'!L44</f>
        <v>0</v>
      </c>
      <c r="K514" s="164">
        <f>'Products x speed'!M39+'Products x speed'!M40+'Products x speed'!M41+'Products x speed'!M42+'Products x speed'!M43+'Products x speed'!M44</f>
        <v>0</v>
      </c>
      <c r="L514" s="164">
        <f>'Products x speed'!N39+'Products x speed'!N40+'Products x speed'!N41+'Products x speed'!N42+'Products x speed'!N43+'Products x speed'!N44</f>
        <v>0</v>
      </c>
      <c r="M514" s="164">
        <f>'Products x speed'!O39+'Products x speed'!O40+'Products x speed'!O41+'Products x speed'!O42+'Products x speed'!O43+'Products x speed'!O44</f>
        <v>0</v>
      </c>
    </row>
    <row r="515" spans="2:13">
      <c r="B515" s="279" t="s">
        <v>45</v>
      </c>
      <c r="C515" s="165">
        <f>'Products x speed'!E45+'Products x speed'!E46+'Products x speed'!E47</f>
        <v>289061.59999999998</v>
      </c>
      <c r="D515" s="166">
        <f>'Products x speed'!F45+'Products x speed'!F46+'Products x speed'!F47</f>
        <v>1393450.1</v>
      </c>
      <c r="E515" s="166">
        <f>'Products x speed'!G45+'Products x speed'!G46+'Products x speed'!G47</f>
        <v>0</v>
      </c>
      <c r="F515" s="166">
        <f>'Products x speed'!H45+'Products x speed'!H46+'Products x speed'!H47</f>
        <v>0</v>
      </c>
      <c r="G515" s="166">
        <f>'Products x speed'!I45+'Products x speed'!I46+'Products x speed'!I47</f>
        <v>0</v>
      </c>
      <c r="H515" s="166">
        <f>'Products x speed'!J45+'Products x speed'!J46+'Products x speed'!J47</f>
        <v>0</v>
      </c>
      <c r="I515" s="166">
        <f>'Products x speed'!K45+'Products x speed'!K46+'Products x speed'!K47</f>
        <v>0</v>
      </c>
      <c r="J515" s="166">
        <f>'Products x speed'!L45+'Products x speed'!L46+'Products x speed'!L47</f>
        <v>0</v>
      </c>
      <c r="K515" s="166">
        <f>'Products x speed'!M45+'Products x speed'!M46+'Products x speed'!M47</f>
        <v>0</v>
      </c>
      <c r="L515" s="166">
        <f>'Products x speed'!N45+'Products x speed'!N46+'Products x speed'!N47</f>
        <v>0</v>
      </c>
      <c r="M515" s="166">
        <f>'Products x speed'!O45+'Products x speed'!O46+'Products x speed'!O47</f>
        <v>0</v>
      </c>
    </row>
    <row r="516" spans="2:13">
      <c r="B516" s="279" t="s">
        <v>48</v>
      </c>
      <c r="C516" s="165">
        <f>'Products x speed'!E48+'Products x speed'!E49</f>
        <v>30989.399999999994</v>
      </c>
      <c r="D516" s="166">
        <f>'Products x speed'!F48+'Products x speed'!F49</f>
        <v>292890.90000000002</v>
      </c>
      <c r="E516" s="166">
        <f>'Products x speed'!G48+'Products x speed'!G49</f>
        <v>0</v>
      </c>
      <c r="F516" s="166">
        <f>'Products x speed'!H48+'Products x speed'!H49</f>
        <v>0</v>
      </c>
      <c r="G516" s="166">
        <f>'Products x speed'!I48+'Products x speed'!I49</f>
        <v>0</v>
      </c>
      <c r="H516" s="166">
        <f>'Products x speed'!J48+'Products x speed'!J49</f>
        <v>0</v>
      </c>
      <c r="I516" s="166">
        <f>'Products x speed'!K48+'Products x speed'!K49</f>
        <v>0</v>
      </c>
      <c r="J516" s="166">
        <f>'Products x speed'!L48+'Products x speed'!L49</f>
        <v>0</v>
      </c>
      <c r="K516" s="166">
        <f>'Products x speed'!M48+'Products x speed'!M49</f>
        <v>0</v>
      </c>
      <c r="L516" s="166">
        <f>'Products x speed'!N48+'Products x speed'!N49</f>
        <v>0</v>
      </c>
      <c r="M516" s="166">
        <f>'Products x speed'!O48+'Products x speed'!O49</f>
        <v>0</v>
      </c>
    </row>
    <row r="517" spans="2:13">
      <c r="B517" s="279" t="s">
        <v>172</v>
      </c>
      <c r="C517" s="165">
        <f>'Products x speed'!E50+'Products x speed'!E51+'Products x speed'!E52+'Products x speed'!E53+'Products x speed'!E54</f>
        <v>292622</v>
      </c>
      <c r="D517" s="166">
        <f>'Products x speed'!F50+'Products x speed'!F51+'Products x speed'!F52+'Products x speed'!F53+'Products x speed'!F54</f>
        <v>552903</v>
      </c>
      <c r="E517" s="166">
        <f>'Products x speed'!G50+'Products x speed'!G51+'Products x speed'!G52+'Products x speed'!G53+'Products x speed'!G54</f>
        <v>0</v>
      </c>
      <c r="F517" s="166">
        <f>'Products x speed'!H50+'Products x speed'!H51+'Products x speed'!H52+'Products x speed'!H53+'Products x speed'!H54</f>
        <v>0</v>
      </c>
      <c r="G517" s="166">
        <f>'Products x speed'!I50+'Products x speed'!I51+'Products x speed'!I52+'Products x speed'!I53+'Products x speed'!I54</f>
        <v>0</v>
      </c>
      <c r="H517" s="166">
        <f>'Products x speed'!J50+'Products x speed'!J51+'Products x speed'!J52+'Products x speed'!J53+'Products x speed'!J54</f>
        <v>0</v>
      </c>
      <c r="I517" s="166">
        <f>'Products x speed'!K50+'Products x speed'!K51+'Products x speed'!K52+'Products x speed'!K53+'Products x speed'!K54</f>
        <v>0</v>
      </c>
      <c r="J517" s="166">
        <f>'Products x speed'!L50+'Products x speed'!L51+'Products x speed'!L52+'Products x speed'!L53+'Products x speed'!L54</f>
        <v>0</v>
      </c>
      <c r="K517" s="166">
        <f>'Products x speed'!M50+'Products x speed'!M51+'Products x speed'!M52+'Products x speed'!M53+'Products x speed'!M54</f>
        <v>0</v>
      </c>
      <c r="L517" s="166">
        <f>'Products x speed'!N50+'Products x speed'!N51+'Products x speed'!N52+'Products x speed'!N53+'Products x speed'!N54</f>
        <v>0</v>
      </c>
      <c r="M517" s="166">
        <f>'Products x speed'!O50+'Products x speed'!O51+'Products x speed'!O52+'Products x speed'!O53+'Products x speed'!O54</f>
        <v>0</v>
      </c>
    </row>
    <row r="518" spans="2:13">
      <c r="B518" s="279" t="s">
        <v>56</v>
      </c>
      <c r="C518" s="167">
        <f>'Products x speed'!E57</f>
        <v>0</v>
      </c>
      <c r="D518" s="168">
        <f>'Products x speed'!F57</f>
        <v>0</v>
      </c>
      <c r="E518" s="168">
        <f>'Products x speed'!G57</f>
        <v>0</v>
      </c>
      <c r="F518" s="168">
        <f>'Products x speed'!H57</f>
        <v>0</v>
      </c>
      <c r="G518" s="168">
        <f>'Products x speed'!I57</f>
        <v>0</v>
      </c>
      <c r="H518" s="168">
        <f>'Products x speed'!J57</f>
        <v>0</v>
      </c>
      <c r="I518" s="168">
        <f>'Products x speed'!K57</f>
        <v>0</v>
      </c>
      <c r="J518" s="168">
        <f>'Products x speed'!L57</f>
        <v>0</v>
      </c>
      <c r="K518" s="168">
        <f>'Products x speed'!M57</f>
        <v>0</v>
      </c>
      <c r="L518" s="168">
        <f>'Products x speed'!N57</f>
        <v>0</v>
      </c>
      <c r="M518" s="168">
        <f>'Products x speed'!O57</f>
        <v>0</v>
      </c>
    </row>
    <row r="519" spans="2:13">
      <c r="B519" s="275" t="s">
        <v>85</v>
      </c>
      <c r="C519" s="169">
        <f t="shared" ref="C519:I519" si="112">SUM(C514:C518)</f>
        <v>911914</v>
      </c>
      <c r="D519" s="170">
        <f t="shared" si="112"/>
        <v>2871218</v>
      </c>
      <c r="E519" s="170">
        <f t="shared" si="112"/>
        <v>0</v>
      </c>
      <c r="F519" s="170">
        <f t="shared" si="112"/>
        <v>0</v>
      </c>
      <c r="G519" s="170">
        <f t="shared" si="112"/>
        <v>0</v>
      </c>
      <c r="H519" s="170">
        <f t="shared" si="112"/>
        <v>0</v>
      </c>
      <c r="I519" s="170">
        <f t="shared" si="112"/>
        <v>0</v>
      </c>
      <c r="J519" s="170">
        <f t="shared" ref="J519:M519" si="113">SUM(J514:J518)</f>
        <v>0</v>
      </c>
      <c r="K519" s="170">
        <f t="shared" si="113"/>
        <v>0</v>
      </c>
      <c r="L519" s="170">
        <f t="shared" si="113"/>
        <v>0</v>
      </c>
      <c r="M519" s="170">
        <f t="shared" si="113"/>
        <v>0</v>
      </c>
    </row>
    <row r="520" spans="2:13">
      <c r="B520" s="331" t="s">
        <v>91</v>
      </c>
      <c r="C520" s="274"/>
      <c r="D520" s="274">
        <f t="shared" ref="D520:I520" si="114">D519/C519-1</f>
        <v>2.1485622547740246</v>
      </c>
      <c r="E520" s="274">
        <f t="shared" si="114"/>
        <v>-1</v>
      </c>
      <c r="F520" s="274" t="e">
        <f t="shared" si="114"/>
        <v>#DIV/0!</v>
      </c>
      <c r="G520" s="274" t="e">
        <f t="shared" si="114"/>
        <v>#DIV/0!</v>
      </c>
      <c r="H520" s="274" t="e">
        <f t="shared" si="114"/>
        <v>#DIV/0!</v>
      </c>
      <c r="I520" s="274" t="e">
        <f t="shared" si="114"/>
        <v>#DIV/0!</v>
      </c>
      <c r="J520" s="274" t="e">
        <f t="shared" ref="J520" si="115">J519/I519-1</f>
        <v>#DIV/0!</v>
      </c>
      <c r="K520" s="274" t="e">
        <f t="shared" ref="K520" si="116">K519/J519-1</f>
        <v>#DIV/0!</v>
      </c>
      <c r="L520" s="274" t="e">
        <f t="shared" ref="L520" si="117">L519/K519-1</f>
        <v>#DIV/0!</v>
      </c>
      <c r="M520" s="274" t="e">
        <f t="shared" ref="M520" si="118">M519/L519-1</f>
        <v>#DIV/0!</v>
      </c>
    </row>
    <row r="521" spans="2:13">
      <c r="B521" s="331"/>
      <c r="C521" s="274"/>
      <c r="D521" s="274"/>
      <c r="E521" s="274"/>
      <c r="F521" s="274"/>
      <c r="G521" s="274"/>
      <c r="H521" s="274"/>
      <c r="I521" s="274"/>
      <c r="J521" s="274"/>
      <c r="K521" s="274"/>
      <c r="L521" s="274"/>
      <c r="M521" s="274"/>
    </row>
    <row r="522" spans="2:13" ht="15.5">
      <c r="B522" s="118" t="s">
        <v>303</v>
      </c>
      <c r="C522" s="50"/>
      <c r="D522" s="50"/>
      <c r="E522" s="50"/>
      <c r="F522" s="50"/>
      <c r="G522" s="50"/>
      <c r="H522" s="50"/>
      <c r="I522" s="50"/>
      <c r="J522" s="50"/>
      <c r="K522" s="50"/>
      <c r="L522" s="50"/>
      <c r="M522" s="50"/>
    </row>
    <row r="523" spans="2:13">
      <c r="B523" s="273" t="s">
        <v>86</v>
      </c>
      <c r="C523" s="393">
        <v>2016</v>
      </c>
      <c r="D523" s="394">
        <v>2017</v>
      </c>
      <c r="E523" s="394">
        <v>2018</v>
      </c>
      <c r="F523" s="394">
        <v>2019</v>
      </c>
      <c r="G523" s="394">
        <v>2020</v>
      </c>
      <c r="H523" s="394">
        <v>2021</v>
      </c>
      <c r="I523" s="394">
        <v>2022</v>
      </c>
      <c r="J523" s="394">
        <v>2023</v>
      </c>
      <c r="K523" s="394">
        <v>2024</v>
      </c>
      <c r="L523" s="394">
        <v>2025</v>
      </c>
      <c r="M523" s="394">
        <v>2026</v>
      </c>
    </row>
    <row r="524" spans="2:13">
      <c r="B524" s="277" t="s">
        <v>39</v>
      </c>
      <c r="C524" s="163">
        <f>'Products x speed'!E39+'Products x speed'!E50</f>
        <v>124752</v>
      </c>
      <c r="D524" s="164">
        <f>'Products x speed'!F39+'Products x speed'!F50</f>
        <v>74262</v>
      </c>
      <c r="E524" s="164">
        <f>'Products x speed'!G39+'Products x speed'!G50</f>
        <v>0</v>
      </c>
      <c r="F524" s="164">
        <f>'Products x speed'!H39+'Products x speed'!H50</f>
        <v>0</v>
      </c>
      <c r="G524" s="164">
        <f>'Products x speed'!I39+'Products x speed'!I50</f>
        <v>0</v>
      </c>
      <c r="H524" s="164">
        <f>'Products x speed'!J39+'Products x speed'!J50</f>
        <v>0</v>
      </c>
      <c r="I524" s="164">
        <f>'Products x speed'!K39+'Products x speed'!K50</f>
        <v>0</v>
      </c>
      <c r="J524" s="164">
        <f>'Products x speed'!L39+'Products x speed'!L50</f>
        <v>0</v>
      </c>
      <c r="K524" s="164">
        <f>'Products x speed'!M39+'Products x speed'!M50</f>
        <v>0</v>
      </c>
      <c r="L524" s="164">
        <f>'Products x speed'!N39+'Products x speed'!N50</f>
        <v>0</v>
      </c>
      <c r="M524" s="164">
        <f>'Products x speed'!O39+'Products x speed'!O50</f>
        <v>0</v>
      </c>
    </row>
    <row r="525" spans="2:13">
      <c r="B525" s="279" t="s">
        <v>144</v>
      </c>
      <c r="C525" s="165">
        <f>'Products x speed'!E40+'Products x speed'!E51</f>
        <v>96610</v>
      </c>
      <c r="D525" s="166">
        <f>'Products x speed'!F40+'Products x speed'!F51</f>
        <v>80471</v>
      </c>
      <c r="E525" s="166">
        <f>'Products x speed'!G40+'Products x speed'!G51</f>
        <v>0</v>
      </c>
      <c r="F525" s="166">
        <f>'Products x speed'!H40+'Products x speed'!H51</f>
        <v>0</v>
      </c>
      <c r="G525" s="166">
        <f>'Products x speed'!I40+'Products x speed'!I51</f>
        <v>0</v>
      </c>
      <c r="H525" s="166">
        <f>'Products x speed'!J40+'Products x speed'!J51</f>
        <v>0</v>
      </c>
      <c r="I525" s="166">
        <f>'Products x speed'!K40+'Products x speed'!K51</f>
        <v>0</v>
      </c>
      <c r="J525" s="166">
        <f>'Products x speed'!L40+'Products x speed'!L51</f>
        <v>0</v>
      </c>
      <c r="K525" s="166">
        <f>'Products x speed'!M40+'Products x speed'!M51</f>
        <v>0</v>
      </c>
      <c r="L525" s="166">
        <f>'Products x speed'!N40+'Products x speed'!N51</f>
        <v>0</v>
      </c>
      <c r="M525" s="166">
        <f>'Products x speed'!O40+'Products x speed'!O51</f>
        <v>0</v>
      </c>
    </row>
    <row r="526" spans="2:13">
      <c r="B526" s="279" t="s">
        <v>41</v>
      </c>
      <c r="C526" s="165">
        <f>SUM('Products x speed'!E41:E49)+'Products x speed'!E52+'Products x speed'!E54+'Products x speed'!E53+'Products x speed'!E57</f>
        <v>690552</v>
      </c>
      <c r="D526" s="166">
        <f>SUM('Products x speed'!F41:F49)+'Products x speed'!F52+'Products x speed'!F54+'Products x speed'!F53+'Products x speed'!F57</f>
        <v>2716485</v>
      </c>
      <c r="E526" s="166">
        <f>SUM('Products x speed'!G41:G49)+'Products x speed'!G52+'Products x speed'!G54+'Products x speed'!G53+'Products x speed'!G57</f>
        <v>0</v>
      </c>
      <c r="F526" s="166">
        <f>SUM('Products x speed'!H41:H49)+'Products x speed'!H52+'Products x speed'!H54+'Products x speed'!H53+'Products x speed'!H57</f>
        <v>0</v>
      </c>
      <c r="G526" s="166">
        <f>SUM('Products x speed'!I41:I49)+'Products x speed'!I52+'Products x speed'!I54+'Products x speed'!I53+'Products x speed'!I57</f>
        <v>0</v>
      </c>
      <c r="H526" s="166">
        <f>SUM('Products x speed'!J41:J49)+'Products x speed'!J52+'Products x speed'!J54+'Products x speed'!J53+'Products x speed'!J57</f>
        <v>0</v>
      </c>
      <c r="I526" s="166">
        <f>SUM('Products x speed'!K41:K49)+'Products x speed'!K52+'Products x speed'!K54+'Products x speed'!K53+'Products x speed'!K57</f>
        <v>0</v>
      </c>
      <c r="J526" s="166">
        <f>SUM('Products x speed'!L41:L49)+'Products x speed'!L52+'Products x speed'!L54+'Products x speed'!L53+'Products x speed'!L57</f>
        <v>0</v>
      </c>
      <c r="K526" s="166">
        <f>SUM('Products x speed'!M41:M49)+'Products x speed'!M52+'Products x speed'!M54+'Products x speed'!M53+'Products x speed'!M57</f>
        <v>0</v>
      </c>
      <c r="L526" s="166">
        <f>SUM('Products x speed'!N41:N49)+'Products x speed'!N52+'Products x speed'!N54+'Products x speed'!N53+'Products x speed'!N57</f>
        <v>0</v>
      </c>
      <c r="M526" s="166">
        <f>SUM('Products x speed'!O41:O49)+'Products x speed'!O52+'Products x speed'!O54+'Products x speed'!O53+'Products x speed'!O57</f>
        <v>0</v>
      </c>
    </row>
    <row r="527" spans="2:13">
      <c r="B527" s="275" t="s">
        <v>85</v>
      </c>
      <c r="C527" s="384">
        <f t="shared" ref="C527:I527" si="119">SUM(C524:C526)</f>
        <v>911914</v>
      </c>
      <c r="D527" s="385">
        <f t="shared" si="119"/>
        <v>2871218</v>
      </c>
      <c r="E527" s="385">
        <f t="shared" si="119"/>
        <v>0</v>
      </c>
      <c r="F527" s="385">
        <f t="shared" si="119"/>
        <v>0</v>
      </c>
      <c r="G527" s="385">
        <f t="shared" si="119"/>
        <v>0</v>
      </c>
      <c r="H527" s="385">
        <f t="shared" si="119"/>
        <v>0</v>
      </c>
      <c r="I527" s="385">
        <f t="shared" si="119"/>
        <v>0</v>
      </c>
      <c r="J527" s="385">
        <f t="shared" ref="J527:M527" si="120">SUM(J524:J526)</f>
        <v>0</v>
      </c>
      <c r="K527" s="385">
        <f t="shared" si="120"/>
        <v>0</v>
      </c>
      <c r="L527" s="385">
        <f t="shared" si="120"/>
        <v>0</v>
      </c>
      <c r="M527" s="385">
        <f t="shared" si="120"/>
        <v>0</v>
      </c>
    </row>
    <row r="528" spans="2:13">
      <c r="B528" s="331" t="s">
        <v>91</v>
      </c>
      <c r="C528" s="274"/>
      <c r="D528" s="274">
        <f t="shared" ref="D528:I528" si="121">D527/C527-1</f>
        <v>2.1485622547740246</v>
      </c>
      <c r="E528" s="274">
        <f t="shared" si="121"/>
        <v>-1</v>
      </c>
      <c r="F528" s="274" t="e">
        <f t="shared" si="121"/>
        <v>#DIV/0!</v>
      </c>
      <c r="G528" s="274" t="e">
        <f t="shared" si="121"/>
        <v>#DIV/0!</v>
      </c>
      <c r="H528" s="274" t="e">
        <f t="shared" si="121"/>
        <v>#DIV/0!</v>
      </c>
      <c r="I528" s="274" t="e">
        <f t="shared" si="121"/>
        <v>#DIV/0!</v>
      </c>
      <c r="J528" s="274" t="e">
        <f t="shared" ref="J528" si="122">J527/I527-1</f>
        <v>#DIV/0!</v>
      </c>
      <c r="K528" s="274" t="e">
        <f t="shared" ref="K528" si="123">K527/J527-1</f>
        <v>#DIV/0!</v>
      </c>
      <c r="L528" s="274" t="e">
        <f t="shared" ref="L528" si="124">L527/K527-1</f>
        <v>#DIV/0!</v>
      </c>
      <c r="M528" s="274" t="e">
        <f t="shared" ref="M528" si="125">M527/L527-1</f>
        <v>#DIV/0!</v>
      </c>
    </row>
    <row r="529" spans="1:20">
      <c r="B529" s="331"/>
      <c r="C529" s="331"/>
      <c r="D529" s="331"/>
      <c r="E529" s="331"/>
      <c r="F529" s="331"/>
      <c r="G529" s="331"/>
      <c r="H529" s="331"/>
      <c r="I529" s="331"/>
      <c r="J529" s="331"/>
      <c r="K529" s="331"/>
      <c r="L529" s="331"/>
      <c r="M529" s="331"/>
    </row>
    <row r="530" spans="1:20">
      <c r="B530" s="331"/>
      <c r="D530" s="274"/>
      <c r="E530" s="274"/>
      <c r="F530" s="274"/>
      <c r="G530" s="274"/>
      <c r="H530" s="274"/>
      <c r="I530" s="274"/>
      <c r="J530" s="274"/>
      <c r="K530" s="274"/>
      <c r="L530" s="274"/>
      <c r="M530" s="274"/>
      <c r="N530" s="274"/>
      <c r="O530" s="274"/>
    </row>
    <row r="531" spans="1:20" s="4" customFormat="1" ht="21">
      <c r="A531" s="10"/>
      <c r="B531" s="17" t="s">
        <v>202</v>
      </c>
      <c r="T531" s="294"/>
    </row>
    <row r="532" spans="1:20" ht="21">
      <c r="B532" s="302" t="s">
        <v>22</v>
      </c>
      <c r="G532" s="302" t="s">
        <v>21</v>
      </c>
      <c r="N532" s="302" t="s">
        <v>15</v>
      </c>
    </row>
    <row r="533" spans="1:20" s="4" customFormat="1">
      <c r="A533" s="10"/>
      <c r="T533" s="294"/>
    </row>
    <row r="534" spans="1:20" s="4" customFormat="1">
      <c r="A534" s="10"/>
      <c r="T534" s="294"/>
    </row>
    <row r="535" spans="1:20" s="4" customFormat="1">
      <c r="A535" s="10"/>
      <c r="T535" s="294"/>
    </row>
    <row r="536" spans="1:20" s="4" customFormat="1">
      <c r="A536" s="10"/>
      <c r="T536" s="294"/>
    </row>
    <row r="537" spans="1:20" s="4" customFormat="1">
      <c r="A537" s="10"/>
      <c r="T537" s="294"/>
    </row>
    <row r="538" spans="1:20" s="4" customFormat="1">
      <c r="A538" s="10"/>
      <c r="T538" s="294"/>
    </row>
    <row r="539" spans="1:20" s="4" customFormat="1">
      <c r="A539" s="10"/>
      <c r="T539" s="294"/>
    </row>
    <row r="540" spans="1:20" s="4" customFormat="1">
      <c r="A540" s="10"/>
      <c r="T540" s="294"/>
    </row>
    <row r="541" spans="1:20" s="4" customFormat="1">
      <c r="A541" s="10"/>
      <c r="T541" s="294"/>
    </row>
    <row r="542" spans="1:20" s="4" customFormat="1">
      <c r="A542" s="10"/>
      <c r="T542" s="294"/>
    </row>
    <row r="543" spans="1:20" s="4" customFormat="1">
      <c r="A543" s="10"/>
      <c r="T543" s="294"/>
    </row>
    <row r="544" spans="1:20" s="4" customFormat="1" ht="11.5" customHeight="1">
      <c r="A544" s="10"/>
      <c r="T544" s="294"/>
    </row>
    <row r="545" spans="1:20" s="4" customFormat="1">
      <c r="A545" s="10"/>
      <c r="T545" s="294"/>
    </row>
    <row r="546" spans="1:20" s="4" customFormat="1">
      <c r="A546" s="10"/>
      <c r="T546" s="294"/>
    </row>
    <row r="547" spans="1:20" s="4" customFormat="1">
      <c r="A547" s="10"/>
      <c r="T547" s="294"/>
    </row>
    <row r="548" spans="1:20" s="4" customFormat="1">
      <c r="A548" s="10"/>
      <c r="T548" s="294"/>
    </row>
    <row r="549" spans="1:20" s="4" customFormat="1">
      <c r="A549" s="10"/>
      <c r="T549" s="294"/>
    </row>
    <row r="550" spans="1:20" s="4" customFormat="1">
      <c r="A550" s="10"/>
      <c r="T550" s="294"/>
    </row>
    <row r="551" spans="1:20" s="4" customFormat="1">
      <c r="A551" s="10"/>
      <c r="T551" s="294"/>
    </row>
    <row r="552" spans="1:20" s="306" customFormat="1" ht="14.25" customHeight="1">
      <c r="B552" s="81" t="s">
        <v>22</v>
      </c>
      <c r="C552" s="388">
        <v>2016</v>
      </c>
      <c r="D552" s="394">
        <v>2017</v>
      </c>
      <c r="E552" s="394">
        <v>2018</v>
      </c>
      <c r="F552" s="394">
        <v>2019</v>
      </c>
      <c r="G552" s="394">
        <v>2020</v>
      </c>
      <c r="H552" s="394">
        <v>2021</v>
      </c>
      <c r="I552" s="394">
        <v>2022</v>
      </c>
      <c r="J552" s="394">
        <v>2023</v>
      </c>
      <c r="K552" s="394">
        <v>2024</v>
      </c>
      <c r="L552" s="394">
        <v>2025</v>
      </c>
      <c r="M552" s="394">
        <v>2026</v>
      </c>
      <c r="T552" s="294"/>
    </row>
    <row r="553" spans="1:20" s="4" customFormat="1">
      <c r="A553" s="10"/>
      <c r="B553" s="364" t="s">
        <v>82</v>
      </c>
      <c r="C553" s="396">
        <f>'Products x speed'!E39</f>
        <v>14816</v>
      </c>
      <c r="D553" s="396">
        <f>'Products x speed'!F39</f>
        <v>6913</v>
      </c>
      <c r="E553" s="396">
        <f>'Products x speed'!G39</f>
        <v>0</v>
      </c>
      <c r="F553" s="396">
        <f>'Products x speed'!H39</f>
        <v>0</v>
      </c>
      <c r="G553" s="396">
        <f>'Products x speed'!I39</f>
        <v>0</v>
      </c>
      <c r="H553" s="396">
        <f>'Products x speed'!J39</f>
        <v>0</v>
      </c>
      <c r="I553" s="396">
        <f>'Products x speed'!K39</f>
        <v>0</v>
      </c>
      <c r="J553" s="396">
        <f>'Products x speed'!L39</f>
        <v>0</v>
      </c>
      <c r="K553" s="396">
        <f>'Products x speed'!M39</f>
        <v>0</v>
      </c>
      <c r="L553" s="396">
        <f>'Products x speed'!N39</f>
        <v>0</v>
      </c>
      <c r="M553" s="396">
        <f>'Products x speed'!O39</f>
        <v>0</v>
      </c>
      <c r="T553" s="294"/>
    </row>
    <row r="554" spans="1:20" s="4" customFormat="1">
      <c r="A554" s="10"/>
      <c r="B554" s="290" t="s">
        <v>154</v>
      </c>
      <c r="C554" s="398">
        <f>'Products x speed'!E40</f>
        <v>4367</v>
      </c>
      <c r="D554" s="398">
        <f>'Products x speed'!F40</f>
        <v>2269</v>
      </c>
      <c r="E554" s="398">
        <f>'Products x speed'!G40</f>
        <v>0</v>
      </c>
      <c r="F554" s="398">
        <f>'Products x speed'!H40</f>
        <v>0</v>
      </c>
      <c r="G554" s="398">
        <f>'Products x speed'!I40</f>
        <v>0</v>
      </c>
      <c r="H554" s="398">
        <f>'Products x speed'!J40</f>
        <v>0</v>
      </c>
      <c r="I554" s="398">
        <f>'Products x speed'!K40</f>
        <v>0</v>
      </c>
      <c r="J554" s="398">
        <f>'Products x speed'!L40</f>
        <v>0</v>
      </c>
      <c r="K554" s="398">
        <f>'Products x speed'!M40</f>
        <v>0</v>
      </c>
      <c r="L554" s="398">
        <f>'Products x speed'!N40</f>
        <v>0</v>
      </c>
      <c r="M554" s="398">
        <f>'Products x speed'!O40</f>
        <v>0</v>
      </c>
      <c r="T554" s="294"/>
    </row>
    <row r="555" spans="1:20" s="4" customFormat="1">
      <c r="A555" s="10"/>
      <c r="B555" s="290" t="s">
        <v>205</v>
      </c>
      <c r="C555" s="398">
        <f>'Products x speed'!E41+'Products x speed'!E42</f>
        <v>280058</v>
      </c>
      <c r="D555" s="398">
        <f>'Products x speed'!F41+'Products x speed'!F42</f>
        <v>622792</v>
      </c>
      <c r="E555" s="398">
        <f>'Products x speed'!G41+'Products x speed'!G42</f>
        <v>0</v>
      </c>
      <c r="F555" s="398">
        <f>'Products x speed'!H41+'Products x speed'!H42</f>
        <v>0</v>
      </c>
      <c r="G555" s="398">
        <f>'Products x speed'!I41+'Products x speed'!I42</f>
        <v>0</v>
      </c>
      <c r="H555" s="398">
        <f>'Products x speed'!J41+'Products x speed'!J42</f>
        <v>0</v>
      </c>
      <c r="I555" s="398">
        <f>'Products x speed'!K41+'Products x speed'!K42</f>
        <v>0</v>
      </c>
      <c r="J555" s="398">
        <f>'Products x speed'!L41+'Products x speed'!L42</f>
        <v>0</v>
      </c>
      <c r="K555" s="398">
        <f>'Products x speed'!M41+'Products x speed'!M42</f>
        <v>0</v>
      </c>
      <c r="L555" s="398">
        <f>'Products x speed'!N41+'Products x speed'!N42</f>
        <v>0</v>
      </c>
      <c r="M555" s="398">
        <f>'Products x speed'!O41+'Products x speed'!O42</f>
        <v>0</v>
      </c>
      <c r="T555" s="294"/>
    </row>
    <row r="556" spans="1:20" s="4" customFormat="1">
      <c r="A556" s="10"/>
      <c r="B556" s="290" t="s">
        <v>204</v>
      </c>
      <c r="C556" s="398"/>
      <c r="D556" s="398"/>
      <c r="E556" s="398">
        <f>'Products x speed'!G43</f>
        <v>0</v>
      </c>
      <c r="F556" s="398">
        <f>'Products x speed'!H43</f>
        <v>0</v>
      </c>
      <c r="G556" s="398">
        <f>'Products x speed'!I43</f>
        <v>0</v>
      </c>
      <c r="H556" s="398">
        <f>'Products x speed'!J43</f>
        <v>0</v>
      </c>
      <c r="I556" s="398">
        <f>'Products x speed'!K43</f>
        <v>0</v>
      </c>
      <c r="J556" s="398">
        <f>'Products x speed'!L43</f>
        <v>0</v>
      </c>
      <c r="K556" s="398">
        <f>'Products x speed'!M43</f>
        <v>0</v>
      </c>
      <c r="L556" s="398">
        <f>'Products x speed'!N43</f>
        <v>0</v>
      </c>
      <c r="M556" s="398">
        <f>'Products x speed'!O43</f>
        <v>0</v>
      </c>
      <c r="T556" s="294"/>
    </row>
    <row r="557" spans="1:20" s="4" customFormat="1">
      <c r="A557" s="10"/>
      <c r="B557" s="290" t="s">
        <v>252</v>
      </c>
      <c r="C557" s="391"/>
      <c r="D557" s="391"/>
      <c r="E557" s="391">
        <f>'Products x speed'!G44</f>
        <v>0</v>
      </c>
      <c r="F557" s="391">
        <f>'Products x speed'!H44</f>
        <v>0</v>
      </c>
      <c r="G557" s="391">
        <f>'Products x speed'!I44</f>
        <v>0</v>
      </c>
      <c r="H557" s="391">
        <f>'Products x speed'!J44</f>
        <v>0</v>
      </c>
      <c r="I557" s="391">
        <f>'Products x speed'!K44</f>
        <v>0</v>
      </c>
      <c r="J557" s="391">
        <f>'Products x speed'!L44</f>
        <v>0</v>
      </c>
      <c r="K557" s="391">
        <f>'Products x speed'!M44</f>
        <v>0</v>
      </c>
      <c r="L557" s="391">
        <f>'Products x speed'!N44</f>
        <v>0</v>
      </c>
      <c r="M557" s="391">
        <f>'Products x speed'!O44</f>
        <v>0</v>
      </c>
      <c r="T557" s="294"/>
    </row>
    <row r="558" spans="1:20" s="4" customFormat="1">
      <c r="A558" s="10"/>
      <c r="B558" s="297" t="s">
        <v>191</v>
      </c>
      <c r="C558" s="391">
        <f t="shared" ref="C558:K558" si="126">SUM(C553:C557)</f>
        <v>299241</v>
      </c>
      <c r="D558" s="391">
        <f t="shared" si="126"/>
        <v>631974</v>
      </c>
      <c r="E558" s="391">
        <f t="shared" si="126"/>
        <v>0</v>
      </c>
      <c r="F558" s="391">
        <f t="shared" si="126"/>
        <v>0</v>
      </c>
      <c r="G558" s="391">
        <f t="shared" si="126"/>
        <v>0</v>
      </c>
      <c r="H558" s="391">
        <f t="shared" si="126"/>
        <v>0</v>
      </c>
      <c r="I558" s="391">
        <f t="shared" si="126"/>
        <v>0</v>
      </c>
      <c r="J558" s="391">
        <f t="shared" si="126"/>
        <v>0</v>
      </c>
      <c r="K558" s="391">
        <f t="shared" si="126"/>
        <v>0</v>
      </c>
      <c r="L558" s="391">
        <f>SUM(L553:L557)</f>
        <v>0</v>
      </c>
      <c r="M558" s="391">
        <f>SUM(M553:M557)</f>
        <v>0</v>
      </c>
      <c r="T558" s="294"/>
    </row>
    <row r="559" spans="1:20" s="4" customFormat="1">
      <c r="A559" s="10"/>
      <c r="C559" s="67"/>
      <c r="D559" s="67">
        <f t="shared" ref="D559:M559" si="127">D558/C558-1</f>
        <v>1.111923165608991</v>
      </c>
      <c r="E559" s="67">
        <f t="shared" si="127"/>
        <v>-1</v>
      </c>
      <c r="F559" s="67" t="e">
        <f t="shared" si="127"/>
        <v>#DIV/0!</v>
      </c>
      <c r="G559" s="67" t="e">
        <f t="shared" si="127"/>
        <v>#DIV/0!</v>
      </c>
      <c r="H559" s="67" t="e">
        <f t="shared" si="127"/>
        <v>#DIV/0!</v>
      </c>
      <c r="I559" s="67" t="e">
        <f t="shared" si="127"/>
        <v>#DIV/0!</v>
      </c>
      <c r="J559" s="67" t="e">
        <f t="shared" si="127"/>
        <v>#DIV/0!</v>
      </c>
      <c r="K559" s="67" t="e">
        <f t="shared" si="127"/>
        <v>#DIV/0!</v>
      </c>
      <c r="L559" s="67" t="e">
        <f t="shared" si="127"/>
        <v>#DIV/0!</v>
      </c>
      <c r="M559" s="67" t="e">
        <f t="shared" si="127"/>
        <v>#DIV/0!</v>
      </c>
      <c r="T559" s="294"/>
    </row>
    <row r="560" spans="1:20" s="4" customFormat="1">
      <c r="A560" s="10"/>
      <c r="B560" s="81" t="s">
        <v>21</v>
      </c>
      <c r="C560" s="388">
        <v>2016</v>
      </c>
      <c r="D560" s="394">
        <v>2017</v>
      </c>
      <c r="E560" s="394">
        <v>2018</v>
      </c>
      <c r="F560" s="394">
        <v>2019</v>
      </c>
      <c r="G560" s="394">
        <v>2020</v>
      </c>
      <c r="H560" s="394">
        <v>2021</v>
      </c>
      <c r="I560" s="394">
        <v>2022</v>
      </c>
      <c r="J560" s="394">
        <v>2023</v>
      </c>
      <c r="K560" s="394">
        <v>2024</v>
      </c>
      <c r="L560" s="394">
        <v>2025</v>
      </c>
      <c r="M560" s="394">
        <v>2026</v>
      </c>
      <c r="T560" s="294"/>
    </row>
    <row r="561" spans="1:20" s="4" customFormat="1">
      <c r="A561" s="10"/>
      <c r="B561" s="364" t="str">
        <f t="shared" ref="B561:B566" si="128">B553</f>
        <v>100 m  100G CFP</v>
      </c>
      <c r="C561" s="401">
        <f t="shared" ref="C561:F562" si="129">IF(C553=0,"",C569*10^6/C553)</f>
        <v>1422.7039686825053</v>
      </c>
      <c r="D561" s="401">
        <f t="shared" si="129"/>
        <v>1273.3986691740201</v>
      </c>
      <c r="E561" s="401" t="str">
        <f t="shared" si="129"/>
        <v/>
      </c>
      <c r="F561" s="401" t="str">
        <f t="shared" si="129"/>
        <v/>
      </c>
      <c r="G561" s="401" t="str">
        <f>IF(G553=0,"",G569*10^6/G553)</f>
        <v/>
      </c>
      <c r="H561" s="401" t="str">
        <f>IF(H553=0,"",H569*10^6/H553)</f>
        <v/>
      </c>
      <c r="I561" s="401" t="str">
        <f t="shared" ref="I561:K562" si="130">IF(I553=0,"",I569*10^6/I553)</f>
        <v/>
      </c>
      <c r="J561" s="401" t="str">
        <f t="shared" si="130"/>
        <v/>
      </c>
      <c r="K561" s="401" t="str">
        <f t="shared" si="130"/>
        <v/>
      </c>
      <c r="L561" s="401" t="str">
        <f>IF(L553=0,"",L569*10^6/L553)</f>
        <v/>
      </c>
      <c r="M561" s="401" t="str">
        <f>IF(M553=0,"",M569*10^6/M553)</f>
        <v/>
      </c>
      <c r="T561" s="294"/>
    </row>
    <row r="562" spans="1:20" s="4" customFormat="1">
      <c r="A562" s="10"/>
      <c r="B562" s="290" t="str">
        <f t="shared" si="128"/>
        <v>100 m  100G CFP2/CFP4</v>
      </c>
      <c r="C562" s="283">
        <f t="shared" si="129"/>
        <v>1204.7629951912068</v>
      </c>
      <c r="D562" s="283">
        <f t="shared" si="129"/>
        <v>1092.608197443808</v>
      </c>
      <c r="E562" s="283" t="str">
        <f t="shared" si="129"/>
        <v/>
      </c>
      <c r="F562" s="283" t="str">
        <f t="shared" si="129"/>
        <v/>
      </c>
      <c r="G562" s="283" t="str">
        <f>IF(G554=0,"",G570*10^6/G554)</f>
        <v/>
      </c>
      <c r="H562" s="283" t="str">
        <f>IF(H554=0,"",H570*10^6/H554)</f>
        <v/>
      </c>
      <c r="I562" s="283" t="str">
        <f t="shared" si="130"/>
        <v/>
      </c>
      <c r="J562" s="283" t="str">
        <f t="shared" si="130"/>
        <v/>
      </c>
      <c r="K562" s="283" t="str">
        <f t="shared" si="130"/>
        <v/>
      </c>
      <c r="L562" s="283" t="str">
        <f>IF(L554=0,"",L570*10^6/L554)</f>
        <v/>
      </c>
      <c r="M562" s="283" t="str">
        <f>IF(M554=0,"",M570*10^6/M554)</f>
        <v/>
      </c>
      <c r="T562" s="294"/>
    </row>
    <row r="563" spans="1:20" s="4" customFormat="1">
      <c r="A563" s="10"/>
      <c r="B563" s="290" t="str">
        <f t="shared" si="128"/>
        <v>100 m  100G SR2, SR4  QSFP28</v>
      </c>
      <c r="C563" s="283">
        <f>IF(C555=0,"",C571*10^6/C555)</f>
        <v>258.09426618771823</v>
      </c>
      <c r="D563" s="283">
        <f>IF(D555=0,"",D571*10^6/D555)</f>
        <v>182.02277386466108</v>
      </c>
      <c r="E563" s="283" t="str">
        <f>IF(E555=0,"",E571*10^6/E555)</f>
        <v/>
      </c>
      <c r="F563" s="283" t="str">
        <f t="shared" ref="F563:L563" si="131">IF(F555=0,"",F571*10^6/F555)</f>
        <v/>
      </c>
      <c r="G563" s="283" t="str">
        <f t="shared" si="131"/>
        <v/>
      </c>
      <c r="H563" s="283" t="str">
        <f t="shared" si="131"/>
        <v/>
      </c>
      <c r="I563" s="283" t="str">
        <f t="shared" si="131"/>
        <v/>
      </c>
      <c r="J563" s="283" t="str">
        <f t="shared" si="131"/>
        <v/>
      </c>
      <c r="K563" s="283" t="str">
        <f t="shared" si="131"/>
        <v/>
      </c>
      <c r="L563" s="283" t="str">
        <f t="shared" si="131"/>
        <v/>
      </c>
      <c r="M563" s="283" t="str">
        <f t="shared" ref="M563" si="132">IF(M555=0,"",M571*10^6/M555)</f>
        <v/>
      </c>
      <c r="T563" s="294"/>
    </row>
    <row r="564" spans="1:20" s="4" customFormat="1">
      <c r="A564" s="10"/>
      <c r="B564" s="290" t="str">
        <f t="shared" si="128"/>
        <v>100 m  100G QSFP28 MM Duplex</v>
      </c>
      <c r="C564" s="283"/>
      <c r="D564" s="283" t="str">
        <f>IF(D556=0,"",D572*10^6/D556)</f>
        <v/>
      </c>
      <c r="E564" s="283" t="str">
        <f>IF(E556=0,"",E572*10^6/E556)</f>
        <v/>
      </c>
      <c r="F564" s="283" t="str">
        <f t="shared" ref="F564:L564" si="133">IF(F556=0,"",F572*10^6/F556)</f>
        <v/>
      </c>
      <c r="G564" s="283" t="str">
        <f t="shared" si="133"/>
        <v/>
      </c>
      <c r="H564" s="283" t="str">
        <f t="shared" si="133"/>
        <v/>
      </c>
      <c r="I564" s="283" t="str">
        <f t="shared" si="133"/>
        <v/>
      </c>
      <c r="J564" s="283" t="str">
        <f t="shared" si="133"/>
        <v/>
      </c>
      <c r="K564" s="283" t="str">
        <f t="shared" si="133"/>
        <v/>
      </c>
      <c r="L564" s="283" t="str">
        <f t="shared" si="133"/>
        <v/>
      </c>
      <c r="M564" s="283" t="str">
        <f t="shared" ref="M564" si="134">IF(M556=0,"",M572*10^6/M556)</f>
        <v/>
      </c>
      <c r="T564" s="294"/>
    </row>
    <row r="565" spans="1:20" s="4" customFormat="1">
      <c r="A565" s="10"/>
      <c r="B565" s="290" t="str">
        <f t="shared" si="128"/>
        <v>300 m  100G QSFP28  eSR4</v>
      </c>
      <c r="C565" s="404"/>
      <c r="D565" s="404"/>
      <c r="E565" s="404" t="e">
        <f>E564-20</f>
        <v>#VALUE!</v>
      </c>
      <c r="F565" s="404" t="e">
        <f t="shared" ref="F565:L565" si="135">F564-20</f>
        <v>#VALUE!</v>
      </c>
      <c r="G565" s="404" t="e">
        <f t="shared" si="135"/>
        <v>#VALUE!</v>
      </c>
      <c r="H565" s="404" t="e">
        <f t="shared" si="135"/>
        <v>#VALUE!</v>
      </c>
      <c r="I565" s="404" t="e">
        <f t="shared" si="135"/>
        <v>#VALUE!</v>
      </c>
      <c r="J565" s="404" t="e">
        <f t="shared" si="135"/>
        <v>#VALUE!</v>
      </c>
      <c r="K565" s="404" t="e">
        <f t="shared" si="135"/>
        <v>#VALUE!</v>
      </c>
      <c r="L565" s="404" t="e">
        <f t="shared" si="135"/>
        <v>#VALUE!</v>
      </c>
      <c r="M565" s="404" t="e">
        <f t="shared" ref="M565" si="136">M564-20</f>
        <v>#VALUE!</v>
      </c>
      <c r="T565" s="294"/>
    </row>
    <row r="566" spans="1:20" s="4" customFormat="1">
      <c r="A566" s="10"/>
      <c r="B566" s="297" t="str">
        <f t="shared" si="128"/>
        <v>100G Short Reach</v>
      </c>
      <c r="C566" s="404">
        <f t="shared" ref="C566:H566" si="137">IF(C558=0,"",C574*10^6/C558)</f>
        <v>329.57163623968637</v>
      </c>
      <c r="D566" s="404">
        <f t="shared" si="137"/>
        <v>197.23036134511864</v>
      </c>
      <c r="E566" s="404" t="str">
        <f t="shared" si="137"/>
        <v/>
      </c>
      <c r="F566" s="404" t="str">
        <f t="shared" si="137"/>
        <v/>
      </c>
      <c r="G566" s="404" t="str">
        <f t="shared" si="137"/>
        <v/>
      </c>
      <c r="H566" s="404" t="str">
        <f t="shared" si="137"/>
        <v/>
      </c>
      <c r="I566" s="404" t="str">
        <f>IF(I558=0,"",I574*10^6/I558)</f>
        <v/>
      </c>
      <c r="J566" s="404" t="str">
        <f>IF(J558=0,"",J574*10^6/J558)</f>
        <v/>
      </c>
      <c r="K566" s="404" t="str">
        <f>IF(K558=0,"",K574*10^6/K558)</f>
        <v/>
      </c>
      <c r="L566" s="404" t="str">
        <f>IF(L558=0,"",L574*10^6/L558)</f>
        <v/>
      </c>
      <c r="M566" s="404" t="str">
        <f>IF(M558=0,"",M574*10^6/M558)</f>
        <v/>
      </c>
      <c r="T566" s="294"/>
    </row>
    <row r="567" spans="1:20" s="4" customFormat="1">
      <c r="A567" s="10"/>
      <c r="T567" s="294"/>
    </row>
    <row r="568" spans="1:20" s="4" customFormat="1">
      <c r="A568" s="10"/>
      <c r="B568" s="81" t="s">
        <v>15</v>
      </c>
      <c r="C568" s="388">
        <v>2016</v>
      </c>
      <c r="D568" s="394">
        <v>2017</v>
      </c>
      <c r="E568" s="394">
        <v>2018</v>
      </c>
      <c r="F568" s="394">
        <v>2019</v>
      </c>
      <c r="G568" s="394">
        <v>2020</v>
      </c>
      <c r="H568" s="394">
        <v>2021</v>
      </c>
      <c r="I568" s="394">
        <v>2022</v>
      </c>
      <c r="J568" s="394">
        <v>2023</v>
      </c>
      <c r="K568" s="394">
        <v>2024</v>
      </c>
      <c r="L568" s="394">
        <v>2025</v>
      </c>
      <c r="M568" s="394">
        <v>2026</v>
      </c>
      <c r="T568" s="294"/>
    </row>
    <row r="569" spans="1:20" s="4" customFormat="1">
      <c r="A569" s="10"/>
      <c r="B569" s="364" t="str">
        <f t="shared" ref="B569:B574" si="138">B553</f>
        <v>100 m  100G CFP</v>
      </c>
      <c r="C569" s="420">
        <f>'Products x speed'!E189</f>
        <v>21.078782</v>
      </c>
      <c r="D569" s="420">
        <f>'Products x speed'!F189</f>
        <v>8.8030050000000024</v>
      </c>
      <c r="E569" s="420">
        <f>'Products x speed'!G189</f>
        <v>0</v>
      </c>
      <c r="F569" s="420">
        <f>'Products x speed'!H189</f>
        <v>0</v>
      </c>
      <c r="G569" s="420">
        <f>'Products x speed'!I189</f>
        <v>0</v>
      </c>
      <c r="H569" s="420">
        <f>'Products x speed'!J189</f>
        <v>0</v>
      </c>
      <c r="I569" s="420">
        <f>'Products x speed'!K189</f>
        <v>0</v>
      </c>
      <c r="J569" s="420">
        <f>'Products x speed'!L189</f>
        <v>0</v>
      </c>
      <c r="K569" s="420">
        <f>'Products x speed'!M189</f>
        <v>0</v>
      </c>
      <c r="L569" s="420">
        <f>'Products x speed'!N189</f>
        <v>0</v>
      </c>
      <c r="M569" s="420">
        <f>'Products x speed'!O189</f>
        <v>0</v>
      </c>
      <c r="T569" s="294"/>
    </row>
    <row r="570" spans="1:20" s="4" customFormat="1">
      <c r="A570" s="10"/>
      <c r="B570" s="290" t="str">
        <f t="shared" si="138"/>
        <v>100 m  100G CFP2/CFP4</v>
      </c>
      <c r="C570" s="286">
        <f>'Products x speed'!E190</f>
        <v>5.2611999999999997</v>
      </c>
      <c r="D570" s="286">
        <f>'Products x speed'!F190</f>
        <v>2.4791280000000007</v>
      </c>
      <c r="E570" s="286">
        <f>'Products x speed'!G190</f>
        <v>0</v>
      </c>
      <c r="F570" s="286">
        <f>'Products x speed'!H190</f>
        <v>0</v>
      </c>
      <c r="G570" s="286">
        <f>'Products x speed'!I190</f>
        <v>0</v>
      </c>
      <c r="H570" s="286">
        <f>'Products x speed'!J190</f>
        <v>0</v>
      </c>
      <c r="I570" s="286">
        <f>'Products x speed'!K190</f>
        <v>0</v>
      </c>
      <c r="J570" s="286">
        <f>'Products x speed'!L190</f>
        <v>0</v>
      </c>
      <c r="K570" s="286">
        <f>'Products x speed'!M190</f>
        <v>0</v>
      </c>
      <c r="L570" s="286">
        <f>'Products x speed'!N190</f>
        <v>0</v>
      </c>
      <c r="M570" s="286">
        <f>'Products x speed'!O190</f>
        <v>0</v>
      </c>
      <c r="T570" s="294"/>
    </row>
    <row r="571" spans="1:20" s="4" customFormat="1">
      <c r="A571" s="10"/>
      <c r="B571" s="290" t="str">
        <f t="shared" si="138"/>
        <v>100 m  100G SR2, SR4  QSFP28</v>
      </c>
      <c r="C571" s="286">
        <f>'Products x speed'!E191+'Products x speed'!E192</f>
        <v>72.281363999999996</v>
      </c>
      <c r="D571" s="286">
        <f>'Products x speed'!F191+'Products x speed'!F192</f>
        <v>113.36232738072</v>
      </c>
      <c r="E571" s="286">
        <f>'Products x speed'!G191+'Products x speed'!G192</f>
        <v>0</v>
      </c>
      <c r="F571" s="286">
        <f>'Products x speed'!H191+'Products x speed'!H192</f>
        <v>0</v>
      </c>
      <c r="G571" s="286">
        <f>'Products x speed'!I191+'Products x speed'!I192</f>
        <v>0</v>
      </c>
      <c r="H571" s="286">
        <f>'Products x speed'!J191+'Products x speed'!J192</f>
        <v>0</v>
      </c>
      <c r="I571" s="286">
        <f>'Products x speed'!K191+'Products x speed'!K192</f>
        <v>0</v>
      </c>
      <c r="J571" s="286">
        <f>'Products x speed'!L191+'Products x speed'!L192</f>
        <v>0</v>
      </c>
      <c r="K571" s="286">
        <f>'Products x speed'!M191+'Products x speed'!M192</f>
        <v>0</v>
      </c>
      <c r="L571" s="286">
        <f>'Products x speed'!N191+'Products x speed'!N192</f>
        <v>0</v>
      </c>
      <c r="M571" s="286">
        <f>'Products x speed'!O191+'Products x speed'!O192</f>
        <v>0</v>
      </c>
      <c r="T571" s="294"/>
    </row>
    <row r="572" spans="1:20" s="4" customFormat="1">
      <c r="A572" s="10"/>
      <c r="B572" s="290" t="str">
        <f t="shared" si="138"/>
        <v>100 m  100G QSFP28 MM Duplex</v>
      </c>
      <c r="C572" s="286"/>
      <c r="D572" s="286"/>
      <c r="E572" s="286">
        <f>'Products x speed'!G193</f>
        <v>0</v>
      </c>
      <c r="F572" s="286">
        <f>'Products x speed'!H193</f>
        <v>0</v>
      </c>
      <c r="G572" s="286">
        <f>'Products x speed'!I193</f>
        <v>0</v>
      </c>
      <c r="H572" s="286">
        <f>'Products x speed'!J193</f>
        <v>0</v>
      </c>
      <c r="I572" s="286">
        <f>'Products x speed'!K193</f>
        <v>0</v>
      </c>
      <c r="J572" s="286">
        <f>'Products x speed'!L193</f>
        <v>0</v>
      </c>
      <c r="K572" s="286">
        <f>'Products x speed'!M193</f>
        <v>0</v>
      </c>
      <c r="L572" s="286">
        <f>'Products x speed'!N193</f>
        <v>0</v>
      </c>
      <c r="M572" s="286">
        <f>'Products x speed'!O193</f>
        <v>0</v>
      </c>
      <c r="T572" s="294"/>
    </row>
    <row r="573" spans="1:20" s="4" customFormat="1">
      <c r="A573" s="10"/>
      <c r="B573" s="290" t="str">
        <f t="shared" si="138"/>
        <v>300 m  100G QSFP28  eSR4</v>
      </c>
      <c r="C573" s="422"/>
      <c r="D573" s="422"/>
      <c r="E573" s="422">
        <f>'Products x speed'!G194</f>
        <v>0</v>
      </c>
      <c r="F573" s="422">
        <f>'Products x speed'!H194</f>
        <v>0</v>
      </c>
      <c r="G573" s="422">
        <f>'Products x speed'!I194</f>
        <v>0</v>
      </c>
      <c r="H573" s="422">
        <f>'Products x speed'!J194</f>
        <v>0</v>
      </c>
      <c r="I573" s="422">
        <f>'Products x speed'!K194</f>
        <v>0</v>
      </c>
      <c r="J573" s="422">
        <f>'Products x speed'!L194</f>
        <v>0</v>
      </c>
      <c r="K573" s="422">
        <f>'Products x speed'!M194</f>
        <v>0</v>
      </c>
      <c r="L573" s="422">
        <f>'Products x speed'!N194</f>
        <v>0</v>
      </c>
      <c r="M573" s="422">
        <f>'Products x speed'!O194</f>
        <v>0</v>
      </c>
      <c r="T573" s="294"/>
    </row>
    <row r="574" spans="1:20" s="4" customFormat="1">
      <c r="A574" s="10"/>
      <c r="B574" s="297" t="str">
        <f t="shared" si="138"/>
        <v>100G Short Reach</v>
      </c>
      <c r="C574" s="404">
        <f t="shared" ref="C574:L574" si="139">SUM(C569:C573)</f>
        <v>98.621345999999988</v>
      </c>
      <c r="D574" s="404">
        <f t="shared" si="139"/>
        <v>124.64446038072001</v>
      </c>
      <c r="E574" s="404">
        <f t="shared" si="139"/>
        <v>0</v>
      </c>
      <c r="F574" s="404">
        <f t="shared" si="139"/>
        <v>0</v>
      </c>
      <c r="G574" s="404">
        <f t="shared" si="139"/>
        <v>0</v>
      </c>
      <c r="H574" s="404">
        <f t="shared" si="139"/>
        <v>0</v>
      </c>
      <c r="I574" s="404">
        <f t="shared" si="139"/>
        <v>0</v>
      </c>
      <c r="J574" s="404">
        <f t="shared" si="139"/>
        <v>0</v>
      </c>
      <c r="K574" s="404">
        <f t="shared" si="139"/>
        <v>0</v>
      </c>
      <c r="L574" s="404">
        <f t="shared" si="139"/>
        <v>0</v>
      </c>
      <c r="M574" s="404">
        <f t="shared" ref="M574" si="140">SUM(M569:M573)</f>
        <v>0</v>
      </c>
      <c r="T574" s="294"/>
    </row>
    <row r="575" spans="1:20" ht="12" customHeight="1"/>
    <row r="576" spans="1:20" ht="21">
      <c r="B576" s="17" t="s">
        <v>203</v>
      </c>
      <c r="C576" s="398"/>
      <c r="D576" s="398"/>
      <c r="E576" s="398"/>
      <c r="F576" s="398"/>
      <c r="G576" s="398"/>
      <c r="H576" s="398"/>
      <c r="I576" s="398"/>
      <c r="J576" s="398"/>
      <c r="K576" s="398"/>
      <c r="L576" s="398"/>
      <c r="M576" s="398"/>
      <c r="N576" s="398"/>
      <c r="O576" s="398"/>
    </row>
    <row r="577" spans="1:20" ht="21">
      <c r="B577" s="302" t="s">
        <v>22</v>
      </c>
      <c r="G577" s="302" t="s">
        <v>21</v>
      </c>
      <c r="N577" s="302" t="s">
        <v>15</v>
      </c>
    </row>
    <row r="578" spans="1:20" s="4" customFormat="1">
      <c r="A578" s="273"/>
      <c r="T578" s="294"/>
    </row>
    <row r="579" spans="1:20" s="4" customFormat="1">
      <c r="A579" s="273"/>
      <c r="T579" s="294"/>
    </row>
    <row r="580" spans="1:20" s="4" customFormat="1">
      <c r="A580" s="273"/>
      <c r="T580" s="294"/>
    </row>
    <row r="581" spans="1:20" s="4" customFormat="1">
      <c r="A581" s="273"/>
      <c r="T581" s="294"/>
    </row>
    <row r="582" spans="1:20" s="4" customFormat="1">
      <c r="A582" s="273"/>
      <c r="T582" s="294"/>
    </row>
    <row r="583" spans="1:20" s="4" customFormat="1">
      <c r="A583" s="273"/>
      <c r="T583" s="294"/>
    </row>
    <row r="584" spans="1:20" s="4" customFormat="1">
      <c r="A584" s="273"/>
      <c r="T584" s="294"/>
    </row>
    <row r="585" spans="1:20" s="4" customFormat="1">
      <c r="A585" s="273"/>
      <c r="T585" s="294"/>
    </row>
    <row r="586" spans="1:20" s="4" customFormat="1">
      <c r="A586" s="273"/>
      <c r="T586" s="294"/>
    </row>
    <row r="587" spans="1:20" s="4" customFormat="1">
      <c r="A587" s="273"/>
      <c r="T587" s="294"/>
    </row>
    <row r="588" spans="1:20" s="4" customFormat="1">
      <c r="A588" s="273"/>
      <c r="T588" s="294"/>
    </row>
    <row r="589" spans="1:20" s="4" customFormat="1">
      <c r="A589" s="273"/>
      <c r="T589" s="294"/>
    </row>
    <row r="590" spans="1:20" s="4" customFormat="1">
      <c r="A590" s="273"/>
      <c r="T590" s="294"/>
    </row>
    <row r="591" spans="1:20" s="4" customFormat="1">
      <c r="A591" s="273"/>
      <c r="T591" s="294"/>
    </row>
    <row r="592" spans="1:20" s="4" customFormat="1">
      <c r="A592" s="273"/>
      <c r="T592" s="294"/>
    </row>
    <row r="593" spans="1:20" s="4" customFormat="1">
      <c r="A593" s="273"/>
      <c r="T593" s="294"/>
    </row>
    <row r="594" spans="1:20" s="4" customFormat="1">
      <c r="A594" s="273"/>
      <c r="T594" s="294"/>
    </row>
    <row r="595" spans="1:20" s="4" customFormat="1">
      <c r="A595" s="273"/>
      <c r="T595" s="294"/>
    </row>
    <row r="596" spans="1:20" s="4" customFormat="1">
      <c r="A596" s="273"/>
      <c r="T596" s="294"/>
    </row>
    <row r="597" spans="1:20" s="4" customFormat="1">
      <c r="A597" s="273"/>
      <c r="T597" s="294"/>
    </row>
    <row r="598" spans="1:20" s="4" customFormat="1">
      <c r="A598" s="273"/>
      <c r="T598" s="294"/>
    </row>
    <row r="599" spans="1:20" s="4" customFormat="1">
      <c r="A599" s="273"/>
      <c r="T599" s="294"/>
    </row>
    <row r="600" spans="1:20" s="4" customFormat="1">
      <c r="A600" s="273"/>
      <c r="T600" s="294"/>
    </row>
    <row r="601" spans="1:20" s="4" customFormat="1">
      <c r="A601" s="273"/>
      <c r="T601" s="294"/>
    </row>
    <row r="602" spans="1:20" s="4" customFormat="1">
      <c r="A602" s="273"/>
      <c r="T602" s="294"/>
    </row>
    <row r="603" spans="1:20" s="4" customFormat="1">
      <c r="A603" s="273"/>
      <c r="T603" s="294"/>
    </row>
    <row r="604" spans="1:20" s="4" customFormat="1">
      <c r="A604" s="273"/>
      <c r="T604" s="294"/>
    </row>
    <row r="605" spans="1:20" s="4" customFormat="1">
      <c r="A605" s="273"/>
      <c r="T605" s="294"/>
    </row>
    <row r="606" spans="1:20" s="4" customFormat="1">
      <c r="A606" s="273"/>
      <c r="T606" s="294"/>
    </row>
    <row r="607" spans="1:20" s="4" customFormat="1">
      <c r="A607" s="273"/>
      <c r="T607" s="294"/>
    </row>
    <row r="608" spans="1:20" s="4" customFormat="1">
      <c r="A608" s="273"/>
      <c r="T608" s="294"/>
    </row>
    <row r="609" spans="1:20" s="4" customFormat="1">
      <c r="A609" s="273"/>
      <c r="T609" s="294"/>
    </row>
    <row r="610" spans="1:20" s="4" customFormat="1">
      <c r="A610" s="273"/>
      <c r="T610" s="294"/>
    </row>
    <row r="611" spans="1:20" s="4" customFormat="1">
      <c r="A611" s="273"/>
      <c r="T611" s="294"/>
    </row>
    <row r="612" spans="1:20" s="4" customFormat="1">
      <c r="A612" s="273"/>
      <c r="T612" s="294"/>
    </row>
    <row r="613" spans="1:20" s="4" customFormat="1">
      <c r="A613" s="273"/>
      <c r="T613" s="294"/>
    </row>
    <row r="614" spans="1:20" s="4" customFormat="1">
      <c r="A614" s="273"/>
      <c r="T614" s="294"/>
    </row>
    <row r="615" spans="1:20" s="4" customFormat="1">
      <c r="A615" s="273"/>
      <c r="T615" s="294"/>
    </row>
    <row r="616" spans="1:20" s="4" customFormat="1">
      <c r="A616" s="273"/>
      <c r="T616" s="294"/>
    </row>
    <row r="617" spans="1:20" s="4" customFormat="1">
      <c r="A617" s="273"/>
      <c r="T617" s="294"/>
    </row>
    <row r="618" spans="1:20" s="4" customFormat="1">
      <c r="A618" s="273"/>
      <c r="T618" s="294"/>
    </row>
    <row r="619" spans="1:20" s="4" customFormat="1">
      <c r="A619" s="273"/>
      <c r="T619" s="294"/>
    </row>
    <row r="620" spans="1:20" s="4" customFormat="1">
      <c r="A620" s="273"/>
      <c r="T620" s="294"/>
    </row>
    <row r="621" spans="1:20" s="4" customFormat="1">
      <c r="A621" s="273"/>
      <c r="T621" s="294"/>
    </row>
    <row r="622" spans="1:20" s="4" customFormat="1">
      <c r="A622" s="273"/>
      <c r="T622" s="294"/>
    </row>
    <row r="623" spans="1:20" s="4" customFormat="1">
      <c r="A623" s="273"/>
      <c r="T623" s="294"/>
    </row>
    <row r="624" spans="1:20" s="4" customFormat="1">
      <c r="A624" s="273"/>
      <c r="T624" s="294"/>
    </row>
    <row r="625" spans="1:20" s="4" customFormat="1">
      <c r="A625" s="273"/>
      <c r="T625" s="294"/>
    </row>
    <row r="626" spans="1:20" s="4" customFormat="1">
      <c r="A626" s="273"/>
      <c r="T626" s="294"/>
    </row>
    <row r="627" spans="1:20" s="4" customFormat="1">
      <c r="A627" s="273"/>
      <c r="T627" s="294"/>
    </row>
    <row r="628" spans="1:20" s="4" customFormat="1">
      <c r="A628" s="273"/>
      <c r="T628" s="294"/>
    </row>
    <row r="629" spans="1:20" s="4" customFormat="1">
      <c r="A629" s="273"/>
      <c r="T629" s="294"/>
    </row>
    <row r="630" spans="1:20" s="4" customFormat="1">
      <c r="A630" s="273"/>
      <c r="T630" s="294"/>
    </row>
    <row r="631" spans="1:20" s="4" customFormat="1">
      <c r="A631" s="273"/>
      <c r="T631" s="294"/>
    </row>
    <row r="632" spans="1:20" s="4" customFormat="1">
      <c r="A632" s="273"/>
      <c r="B632" s="81" t="s">
        <v>22</v>
      </c>
      <c r="C632" s="388">
        <v>2016</v>
      </c>
      <c r="D632" s="394">
        <v>2017</v>
      </c>
      <c r="E632" s="394">
        <v>2018</v>
      </c>
      <c r="F632" s="394">
        <v>2019</v>
      </c>
      <c r="G632" s="394">
        <v>2020</v>
      </c>
      <c r="H632" s="394">
        <v>2021</v>
      </c>
      <c r="I632" s="394">
        <v>2022</v>
      </c>
      <c r="J632" s="394">
        <v>2023</v>
      </c>
      <c r="K632" s="394">
        <v>2024</v>
      </c>
      <c r="L632" s="394">
        <v>2025</v>
      </c>
      <c r="M632" s="394">
        <v>2026</v>
      </c>
      <c r="T632" s="294"/>
    </row>
    <row r="633" spans="1:20" s="4" customFormat="1">
      <c r="A633" s="273"/>
      <c r="B633" s="364" t="str">
        <f>Telecom!P45</f>
        <v>100G PSM4_500 m_QSFP28</v>
      </c>
      <c r="C633" s="164">
        <f>'Products x speed'!E45</f>
        <v>200861</v>
      </c>
      <c r="D633" s="164">
        <f>'Products x speed'!F45</f>
        <v>710038</v>
      </c>
      <c r="E633" s="164">
        <f>'Products x speed'!G45</f>
        <v>0</v>
      </c>
      <c r="F633" s="164">
        <f>'Products x speed'!H45</f>
        <v>0</v>
      </c>
      <c r="G633" s="164">
        <f>'Products x speed'!I45</f>
        <v>0</v>
      </c>
      <c r="H633" s="164">
        <f>'Products x speed'!J45</f>
        <v>0</v>
      </c>
      <c r="I633" s="164">
        <f>'Products x speed'!K45</f>
        <v>0</v>
      </c>
      <c r="J633" s="164">
        <f>'Products x speed'!L45</f>
        <v>0</v>
      </c>
      <c r="K633" s="164">
        <f>'Products x speed'!M45</f>
        <v>0</v>
      </c>
      <c r="L633" s="164">
        <f>'Products x speed'!N45</f>
        <v>0</v>
      </c>
      <c r="M633" s="164">
        <f>'Products x speed'!O45</f>
        <v>0</v>
      </c>
      <c r="T633" s="294"/>
    </row>
    <row r="634" spans="1:20" s="4" customFormat="1">
      <c r="A634" s="273"/>
      <c r="B634" s="290" t="str">
        <f>Telecom!P46</f>
        <v>100G DR/DR+_500m, 2km_QSFP28</v>
      </c>
      <c r="C634" s="166"/>
      <c r="D634" s="166"/>
      <c r="E634" s="166">
        <f>'Products x speed'!G46</f>
        <v>0</v>
      </c>
      <c r="F634" s="166">
        <f>'Products x speed'!H46</f>
        <v>0</v>
      </c>
      <c r="G634" s="166">
        <f>'Products x speed'!I46</f>
        <v>0</v>
      </c>
      <c r="H634" s="166">
        <f>'Products x speed'!J46</f>
        <v>0</v>
      </c>
      <c r="I634" s="166">
        <f>'Products x speed'!K46</f>
        <v>0</v>
      </c>
      <c r="J634" s="166">
        <f>'Products x speed'!L46</f>
        <v>0</v>
      </c>
      <c r="K634" s="166">
        <f>'Products x speed'!M46</f>
        <v>0</v>
      </c>
      <c r="L634" s="166">
        <f>'Products x speed'!N46</f>
        <v>0</v>
      </c>
      <c r="M634" s="166">
        <f>'Products x speed'!O46</f>
        <v>0</v>
      </c>
      <c r="T634" s="294"/>
    </row>
    <row r="635" spans="1:20" s="4" customFormat="1">
      <c r="A635" s="273"/>
      <c r="B635" s="290" t="str">
        <f>Telecom!P47</f>
        <v>100G CWDM4-subspec_500 m_QSFP28</v>
      </c>
      <c r="C635" s="166">
        <f>'Products x speed'!E47</f>
        <v>88200.6</v>
      </c>
      <c r="D635" s="166">
        <f>'Products x speed'!F47</f>
        <v>683412.1</v>
      </c>
      <c r="E635" s="166">
        <f>'Products x speed'!G47</f>
        <v>0</v>
      </c>
      <c r="F635" s="166">
        <f>'Products x speed'!H47</f>
        <v>0</v>
      </c>
      <c r="G635" s="166">
        <f>'Products x speed'!I47</f>
        <v>0</v>
      </c>
      <c r="H635" s="166">
        <f>'Products x speed'!J47</f>
        <v>0</v>
      </c>
      <c r="I635" s="166">
        <f>'Products x speed'!K47</f>
        <v>0</v>
      </c>
      <c r="J635" s="166">
        <f>'Products x speed'!L47</f>
        <v>0</v>
      </c>
      <c r="K635" s="166">
        <f>'Products x speed'!M47</f>
        <v>0</v>
      </c>
      <c r="L635" s="166">
        <f>'Products x speed'!N47</f>
        <v>0</v>
      </c>
      <c r="M635" s="166">
        <f>'Products x speed'!O47</f>
        <v>0</v>
      </c>
      <c r="T635" s="294"/>
    </row>
    <row r="636" spans="1:20" s="4" customFormat="1">
      <c r="A636" s="273"/>
      <c r="B636" s="290" t="str">
        <f>Telecom!P48</f>
        <v>100G CWDM4_2 km_QSFP28</v>
      </c>
      <c r="C636" s="166">
        <f>'Products x speed'!E48</f>
        <v>30989.399999999994</v>
      </c>
      <c r="D636" s="166">
        <f>'Products x speed'!F48</f>
        <v>292890.90000000002</v>
      </c>
      <c r="E636" s="166">
        <f>'Products x speed'!G48</f>
        <v>0</v>
      </c>
      <c r="F636" s="166">
        <f>'Products x speed'!H48</f>
        <v>0</v>
      </c>
      <c r="G636" s="166">
        <f>'Products x speed'!I48</f>
        <v>0</v>
      </c>
      <c r="H636" s="166">
        <f>'Products x speed'!J48</f>
        <v>0</v>
      </c>
      <c r="I636" s="166">
        <f>'Products x speed'!K48</f>
        <v>0</v>
      </c>
      <c r="J636" s="166">
        <f>'Products x speed'!L48</f>
        <v>0</v>
      </c>
      <c r="K636" s="166">
        <f>'Products x speed'!M48</f>
        <v>0</v>
      </c>
      <c r="L636" s="166">
        <f>'Products x speed'!N48</f>
        <v>0</v>
      </c>
      <c r="M636" s="166">
        <f>'Products x speed'!O48</f>
        <v>0</v>
      </c>
      <c r="T636" s="294"/>
    </row>
    <row r="637" spans="1:20" s="4" customFormat="1">
      <c r="A637" s="273"/>
      <c r="B637" s="290" t="str">
        <f>Telecom!P49</f>
        <v>100G FR1_2 km_QSFP28</v>
      </c>
      <c r="C637" s="166"/>
      <c r="D637" s="166"/>
      <c r="E637" s="166"/>
      <c r="F637" s="166">
        <f>'Products x speed'!H49</f>
        <v>0</v>
      </c>
      <c r="G637" s="166">
        <f>'Products x speed'!I49</f>
        <v>0</v>
      </c>
      <c r="H637" s="166">
        <f>'Products x speed'!J49</f>
        <v>0</v>
      </c>
      <c r="I637" s="166">
        <f>'Products x speed'!K49</f>
        <v>0</v>
      </c>
      <c r="J637" s="166">
        <f>'Products x speed'!L49</f>
        <v>0</v>
      </c>
      <c r="K637" s="166">
        <f>'Products x speed'!M49</f>
        <v>0</v>
      </c>
      <c r="L637" s="166">
        <f>'Products x speed'!N49</f>
        <v>0</v>
      </c>
      <c r="M637" s="166">
        <f>'Products x speed'!O49</f>
        <v>0</v>
      </c>
      <c r="T637" s="294"/>
    </row>
    <row r="638" spans="1:20" s="4" customFormat="1">
      <c r="A638" s="273"/>
      <c r="B638" s="290" t="str">
        <f>Telecom!P50</f>
        <v>100G LR4_10 km_CFP</v>
      </c>
      <c r="C638" s="166">
        <f>'Products x speed'!E50</f>
        <v>109936</v>
      </c>
      <c r="D638" s="166">
        <f>'Products x speed'!F50</f>
        <v>67349</v>
      </c>
      <c r="E638" s="166">
        <f>'Products x speed'!G50</f>
        <v>0</v>
      </c>
      <c r="F638" s="166">
        <f>'Products x speed'!H50</f>
        <v>0</v>
      </c>
      <c r="G638" s="166">
        <f>'Products x speed'!I50</f>
        <v>0</v>
      </c>
      <c r="H638" s="166">
        <f>'Products x speed'!J50</f>
        <v>0</v>
      </c>
      <c r="I638" s="166">
        <f>'Products x speed'!K50</f>
        <v>0</v>
      </c>
      <c r="J638" s="166">
        <f>'Products x speed'!L50</f>
        <v>0</v>
      </c>
      <c r="K638" s="166">
        <f>'Products x speed'!M50</f>
        <v>0</v>
      </c>
      <c r="L638" s="166">
        <f>'Products x speed'!N50</f>
        <v>0</v>
      </c>
      <c r="M638" s="166">
        <f>'Products x speed'!O50</f>
        <v>0</v>
      </c>
      <c r="T638" s="294"/>
    </row>
    <row r="639" spans="1:20" s="4" customFormat="1">
      <c r="A639" s="273"/>
      <c r="B639" s="290" t="str">
        <f>Telecom!P51</f>
        <v>100G LR4_10 km_CFP2/4</v>
      </c>
      <c r="C639" s="166">
        <f>'Products x speed'!E51</f>
        <v>92243</v>
      </c>
      <c r="D639" s="166">
        <f>'Products x speed'!F51</f>
        <v>78202</v>
      </c>
      <c r="E639" s="166">
        <f>'Products x speed'!G51</f>
        <v>0</v>
      </c>
      <c r="F639" s="166">
        <f>'Products x speed'!H51</f>
        <v>0</v>
      </c>
      <c r="G639" s="166">
        <f>'Products x speed'!I51</f>
        <v>0</v>
      </c>
      <c r="H639" s="166">
        <f>'Products x speed'!J51</f>
        <v>0</v>
      </c>
      <c r="I639" s="166">
        <f>'Products x speed'!K51</f>
        <v>0</v>
      </c>
      <c r="J639" s="166">
        <f>'Products x speed'!L51</f>
        <v>0</v>
      </c>
      <c r="K639" s="166">
        <f>'Products x speed'!M51</f>
        <v>0</v>
      </c>
      <c r="L639" s="166">
        <f>'Products x speed'!N51</f>
        <v>0</v>
      </c>
      <c r="M639" s="166">
        <f>'Products x speed'!O51</f>
        <v>0</v>
      </c>
      <c r="T639" s="294"/>
    </row>
    <row r="640" spans="1:20" s="4" customFormat="1">
      <c r="A640" s="273"/>
      <c r="B640" s="290" t="str">
        <f>Telecom!P52</f>
        <v>100G LR4 and LR1_10 km_QSFP28</v>
      </c>
      <c r="C640" s="166">
        <f>'Products x speed'!E52</f>
        <v>90443</v>
      </c>
      <c r="D640" s="166">
        <f>'Products x speed'!F52</f>
        <v>362352</v>
      </c>
      <c r="E640" s="166">
        <f>'Products x speed'!G52</f>
        <v>0</v>
      </c>
      <c r="F640" s="166">
        <f>'Products x speed'!H52</f>
        <v>0</v>
      </c>
      <c r="G640" s="166">
        <f>'Products x speed'!I52</f>
        <v>0</v>
      </c>
      <c r="H640" s="166">
        <f>'Products x speed'!J52</f>
        <v>0</v>
      </c>
      <c r="I640" s="166">
        <f>'Products x speed'!K52</f>
        <v>0</v>
      </c>
      <c r="J640" s="166">
        <f>'Products x speed'!L52</f>
        <v>0</v>
      </c>
      <c r="K640" s="166">
        <f>'Products x speed'!M52</f>
        <v>0</v>
      </c>
      <c r="L640" s="166">
        <f>'Products x speed'!N52</f>
        <v>0</v>
      </c>
      <c r="M640" s="166">
        <f>'Products x speed'!O52</f>
        <v>0</v>
      </c>
      <c r="T640" s="294"/>
    </row>
    <row r="641" spans="1:20" s="4" customFormat="1">
      <c r="A641" s="273"/>
      <c r="B641" s="290" t="str">
        <f>Telecom!P53</f>
        <v>100G 4WDM10_10 km_QSFP28</v>
      </c>
      <c r="C641" s="166"/>
      <c r="D641" s="166">
        <f>'Products x speed'!F53</f>
        <v>45000</v>
      </c>
      <c r="E641" s="166">
        <f>'Products x speed'!G53</f>
        <v>0</v>
      </c>
      <c r="F641" s="166">
        <f>'Products x speed'!H53</f>
        <v>0</v>
      </c>
      <c r="G641" s="166">
        <f>'Products x speed'!I53</f>
        <v>0</v>
      </c>
      <c r="H641" s="166">
        <f>'Products x speed'!J53</f>
        <v>0</v>
      </c>
      <c r="I641" s="166">
        <f>'Products x speed'!K53</f>
        <v>0</v>
      </c>
      <c r="J641" s="166">
        <f>'Products x speed'!L53</f>
        <v>0</v>
      </c>
      <c r="K641" s="166">
        <f>'Products x speed'!M53</f>
        <v>0</v>
      </c>
      <c r="L641" s="166">
        <f>'Products x speed'!N53</f>
        <v>0</v>
      </c>
      <c r="M641" s="166">
        <f>'Products x speed'!O53</f>
        <v>0</v>
      </c>
      <c r="T641" s="294"/>
    </row>
    <row r="642" spans="1:20" s="4" customFormat="1">
      <c r="A642" s="273"/>
      <c r="B642" s="290" t="str">
        <f>Telecom!P54</f>
        <v>100G 4WDM20_20 km_QSFP28</v>
      </c>
      <c r="C642" s="166">
        <f>'Products x speed'!E54</f>
        <v>0</v>
      </c>
      <c r="D642" s="166">
        <f>'Products x speed'!F54</f>
        <v>0</v>
      </c>
      <c r="E642" s="166">
        <f>'Products x speed'!G54</f>
        <v>0</v>
      </c>
      <c r="F642" s="166">
        <f>'Products x speed'!H54</f>
        <v>0</v>
      </c>
      <c r="G642" s="166">
        <f>'Products x speed'!I54</f>
        <v>0</v>
      </c>
      <c r="H642" s="166">
        <f>'Products x speed'!J54</f>
        <v>0</v>
      </c>
      <c r="I642" s="166">
        <f>'Products x speed'!K54</f>
        <v>0</v>
      </c>
      <c r="J642" s="166">
        <f>'Products x speed'!L54</f>
        <v>0</v>
      </c>
      <c r="K642" s="166">
        <f>'Products x speed'!M54</f>
        <v>0</v>
      </c>
      <c r="L642" s="166">
        <f>'Products x speed'!N54</f>
        <v>0</v>
      </c>
      <c r="M642" s="166">
        <f>'Products x speed'!O54</f>
        <v>0</v>
      </c>
      <c r="T642" s="294"/>
    </row>
    <row r="643" spans="1:20">
      <c r="B643" s="290" t="str">
        <f>Telecom!P55</f>
        <v>100G ER4-Lite_30 km_QSFP28</v>
      </c>
      <c r="C643" s="166">
        <f>'Products x speed'!E55</f>
        <v>0</v>
      </c>
      <c r="D643" s="166">
        <f>'Products x speed'!F55</f>
        <v>2000</v>
      </c>
      <c r="E643" s="166">
        <f>'Products x speed'!G55</f>
        <v>0</v>
      </c>
      <c r="F643" s="166">
        <f>'Products x speed'!H55</f>
        <v>0</v>
      </c>
      <c r="G643" s="166">
        <f>'Products x speed'!I55</f>
        <v>0</v>
      </c>
      <c r="H643" s="166">
        <f>'Products x speed'!J55</f>
        <v>0</v>
      </c>
      <c r="I643" s="166">
        <f>'Products x speed'!K55</f>
        <v>0</v>
      </c>
      <c r="J643" s="166">
        <f>'Products x speed'!L55</f>
        <v>0</v>
      </c>
      <c r="K643" s="166">
        <f>'Products x speed'!M55</f>
        <v>0</v>
      </c>
      <c r="L643" s="166">
        <f>'Products x speed'!N55</f>
        <v>0</v>
      </c>
      <c r="M643" s="166">
        <f>'Products x speed'!O55</f>
        <v>0</v>
      </c>
    </row>
    <row r="644" spans="1:20">
      <c r="B644" s="290" t="str">
        <f>Telecom!P56</f>
        <v>100G ER4_40 km_QSFP28</v>
      </c>
      <c r="C644" s="166">
        <f>'Products x speed'!E56</f>
        <v>7456</v>
      </c>
      <c r="D644" s="166">
        <f>'Products x speed'!F56</f>
        <v>8272</v>
      </c>
      <c r="E644" s="166">
        <f>'Products x speed'!G56</f>
        <v>0</v>
      </c>
      <c r="F644" s="166">
        <f>'Products x speed'!H56</f>
        <v>0</v>
      </c>
      <c r="G644" s="166">
        <f>'Products x speed'!I56</f>
        <v>0</v>
      </c>
      <c r="H644" s="166">
        <f>'Products x speed'!J56</f>
        <v>0</v>
      </c>
      <c r="I644" s="166">
        <f>'Products x speed'!K56</f>
        <v>0</v>
      </c>
      <c r="J644" s="166">
        <f>'Products x speed'!L56</f>
        <v>0</v>
      </c>
      <c r="K644" s="166">
        <f>'Products x speed'!M56</f>
        <v>0</v>
      </c>
      <c r="L644" s="166">
        <f>'Products x speed'!N56</f>
        <v>0</v>
      </c>
      <c r="M644" s="166">
        <f>'Products x speed'!O56</f>
        <v>0</v>
      </c>
    </row>
    <row r="645" spans="1:20" s="4" customFormat="1">
      <c r="A645" s="273"/>
      <c r="B645" s="381" t="str">
        <f>Telecom!P57</f>
        <v>100G ZR4_80 km_QSFP28</v>
      </c>
      <c r="C645" s="168">
        <f>'Products x speed'!E57</f>
        <v>0</v>
      </c>
      <c r="D645" s="168">
        <f>'Products x speed'!F57</f>
        <v>0</v>
      </c>
      <c r="E645" s="168">
        <f>'Products x speed'!G57</f>
        <v>0</v>
      </c>
      <c r="F645" s="168">
        <f>'Products x speed'!H57</f>
        <v>0</v>
      </c>
      <c r="G645" s="168">
        <f>'Products x speed'!I57</f>
        <v>0</v>
      </c>
      <c r="H645" s="168">
        <f>'Products x speed'!J57</f>
        <v>0</v>
      </c>
      <c r="I645" s="168">
        <f>'Products x speed'!K57</f>
        <v>0</v>
      </c>
      <c r="J645" s="168">
        <f>'Products x speed'!L57</f>
        <v>0</v>
      </c>
      <c r="K645" s="168">
        <f>'Products x speed'!M57</f>
        <v>0</v>
      </c>
      <c r="L645" s="168">
        <f>'Products x speed'!N57</f>
        <v>0</v>
      </c>
      <c r="M645" s="168">
        <f>'Products x speed'!O57</f>
        <v>0</v>
      </c>
      <c r="T645" s="294"/>
    </row>
    <row r="646" spans="1:20" s="4" customFormat="1">
      <c r="A646" s="273"/>
      <c r="B646" s="381" t="s">
        <v>192</v>
      </c>
      <c r="C646" s="391">
        <f t="shared" ref="C646:H646" si="141">SUM(C633:C645)</f>
        <v>620129</v>
      </c>
      <c r="D646" s="391">
        <f t="shared" si="141"/>
        <v>2249516</v>
      </c>
      <c r="E646" s="391">
        <f t="shared" si="141"/>
        <v>0</v>
      </c>
      <c r="F646" s="391">
        <f t="shared" si="141"/>
        <v>0</v>
      </c>
      <c r="G646" s="391">
        <f>SUM(G633:G645)</f>
        <v>0</v>
      </c>
      <c r="H646" s="391">
        <f t="shared" si="141"/>
        <v>0</v>
      </c>
      <c r="I646" s="391">
        <f t="shared" ref="I646:M646" si="142">SUM(I633:I645)</f>
        <v>0</v>
      </c>
      <c r="J646" s="391">
        <f t="shared" si="142"/>
        <v>0</v>
      </c>
      <c r="K646" s="391">
        <f t="shared" si="142"/>
        <v>0</v>
      </c>
      <c r="L646" s="391">
        <f t="shared" si="142"/>
        <v>0</v>
      </c>
      <c r="M646" s="391">
        <f t="shared" si="142"/>
        <v>0</v>
      </c>
      <c r="T646" s="294"/>
    </row>
    <row r="647" spans="1:20" s="4" customFormat="1">
      <c r="A647" s="273"/>
      <c r="C647" s="189">
        <f>C646-SUM('Products x speed'!E45:E57)</f>
        <v>0</v>
      </c>
      <c r="D647" s="189">
        <f>D646-SUM('Products x speed'!F45:F57)</f>
        <v>0</v>
      </c>
      <c r="E647" s="189">
        <f>E646-SUM('Products x speed'!G45:G57)</f>
        <v>0</v>
      </c>
      <c r="F647" s="189">
        <f>F646-SUM('Products x speed'!H45:H57)</f>
        <v>0</v>
      </c>
      <c r="G647" s="189">
        <f>G646-SUM('Products x speed'!I45:I57)</f>
        <v>0</v>
      </c>
      <c r="H647" s="189">
        <f>H646-SUM('Products x speed'!J45:J57)</f>
        <v>0</v>
      </c>
      <c r="I647" s="189">
        <f>I646-SUM('Products x speed'!K45:K57)</f>
        <v>0</v>
      </c>
      <c r="J647" s="189">
        <f>J646-SUM('Products x speed'!L45:L57)</f>
        <v>0</v>
      </c>
      <c r="K647" s="189">
        <f>K646-SUM('Products x speed'!M45:M57)</f>
        <v>0</v>
      </c>
      <c r="L647" s="189">
        <f>L646-SUM('Products x speed'!N45:N57)</f>
        <v>0</v>
      </c>
      <c r="M647" s="189">
        <f>M646-SUM('Products x speed'!O45:O57)</f>
        <v>0</v>
      </c>
      <c r="T647" s="294"/>
    </row>
    <row r="648" spans="1:20">
      <c r="B648" s="81" t="s">
        <v>21</v>
      </c>
      <c r="C648" s="388">
        <v>2016</v>
      </c>
      <c r="D648" s="394">
        <v>2017</v>
      </c>
      <c r="E648" s="394">
        <v>2018</v>
      </c>
      <c r="F648" s="394">
        <v>2019</v>
      </c>
      <c r="G648" s="394">
        <v>2020</v>
      </c>
      <c r="H648" s="394">
        <v>2021</v>
      </c>
      <c r="I648" s="394">
        <v>2022</v>
      </c>
      <c r="J648" s="394">
        <v>2023</v>
      </c>
      <c r="K648" s="394">
        <v>2024</v>
      </c>
      <c r="L648" s="394">
        <v>2025</v>
      </c>
      <c r="M648" s="394">
        <v>2026</v>
      </c>
    </row>
    <row r="649" spans="1:20">
      <c r="B649" s="364" t="str">
        <f t="shared" ref="B649:B658" si="143">B633</f>
        <v>100G PSM4_500 m_QSFP28</v>
      </c>
      <c r="C649" s="173">
        <f>IF(C633=0,"",(C665*10^6)/C633)</f>
        <v>337.41687156790022</v>
      </c>
      <c r="D649" s="173">
        <f t="shared" ref="D649:H649" si="144">IF(D633=0,"",(D665*10^6)/D633)</f>
        <v>222.65569307558187</v>
      </c>
      <c r="E649" s="173" t="str">
        <f t="shared" si="144"/>
        <v/>
      </c>
      <c r="F649" s="173" t="str">
        <f t="shared" si="144"/>
        <v/>
      </c>
      <c r="G649" s="173" t="str">
        <f t="shared" si="144"/>
        <v/>
      </c>
      <c r="H649" s="173" t="str">
        <f t="shared" si="144"/>
        <v/>
      </c>
      <c r="I649" s="173" t="str">
        <f t="shared" ref="I649:M649" si="145">IF(I633=0,"",(I665*10^6)/I633)</f>
        <v/>
      </c>
      <c r="J649" s="173" t="str">
        <f t="shared" si="145"/>
        <v/>
      </c>
      <c r="K649" s="173" t="str">
        <f t="shared" si="145"/>
        <v/>
      </c>
      <c r="L649" s="173" t="str">
        <f t="shared" si="145"/>
        <v/>
      </c>
      <c r="M649" s="173" t="str">
        <f t="shared" si="145"/>
        <v/>
      </c>
    </row>
    <row r="650" spans="1:20">
      <c r="B650" s="290" t="str">
        <f t="shared" si="143"/>
        <v>100G DR/DR+_500m, 2km_QSFP28</v>
      </c>
      <c r="C650" s="175" t="str">
        <f t="shared" ref="C650:H650" si="146">IF(C634=0,"",(C666*10^6)/C634)</f>
        <v/>
      </c>
      <c r="D650" s="175" t="str">
        <f t="shared" si="146"/>
        <v/>
      </c>
      <c r="E650" s="175" t="str">
        <f t="shared" si="146"/>
        <v/>
      </c>
      <c r="F650" s="175" t="str">
        <f t="shared" si="146"/>
        <v/>
      </c>
      <c r="G650" s="175" t="str">
        <f t="shared" si="146"/>
        <v/>
      </c>
      <c r="H650" s="175" t="str">
        <f t="shared" si="146"/>
        <v/>
      </c>
      <c r="I650" s="175" t="str">
        <f t="shared" ref="I650:M650" si="147">IF(I634=0,"",(I666*10^6)/I634)</f>
        <v/>
      </c>
      <c r="J650" s="175" t="str">
        <f t="shared" si="147"/>
        <v/>
      </c>
      <c r="K650" s="175" t="str">
        <f t="shared" si="147"/>
        <v/>
      </c>
      <c r="L650" s="175" t="str">
        <f t="shared" si="147"/>
        <v/>
      </c>
      <c r="M650" s="175" t="str">
        <f t="shared" si="147"/>
        <v/>
      </c>
    </row>
    <row r="651" spans="1:20">
      <c r="B651" s="290" t="str">
        <f t="shared" si="143"/>
        <v>100G CWDM4-subspec_500 m_QSFP28</v>
      </c>
      <c r="C651" s="175">
        <f t="shared" ref="C651:H651" si="148">IF(C635=0,"",(C667*10^6)/C635)</f>
        <v>625</v>
      </c>
      <c r="D651" s="175">
        <f t="shared" si="148"/>
        <v>450</v>
      </c>
      <c r="E651" s="175" t="str">
        <f t="shared" si="148"/>
        <v/>
      </c>
      <c r="F651" s="175" t="str">
        <f t="shared" si="148"/>
        <v/>
      </c>
      <c r="G651" s="175" t="str">
        <f t="shared" si="148"/>
        <v/>
      </c>
      <c r="H651" s="175" t="str">
        <f t="shared" si="148"/>
        <v/>
      </c>
      <c r="I651" s="175" t="str">
        <f t="shared" ref="I651:M651" si="149">IF(I635=0,"",(I667*10^6)/I635)</f>
        <v/>
      </c>
      <c r="J651" s="175" t="str">
        <f t="shared" si="149"/>
        <v/>
      </c>
      <c r="K651" s="175" t="str">
        <f t="shared" si="149"/>
        <v/>
      </c>
      <c r="L651" s="175" t="str">
        <f t="shared" si="149"/>
        <v/>
      </c>
      <c r="M651" s="175" t="str">
        <f t="shared" si="149"/>
        <v/>
      </c>
    </row>
    <row r="652" spans="1:20">
      <c r="B652" s="290" t="str">
        <f t="shared" si="143"/>
        <v>100G CWDM4_2 km_QSFP28</v>
      </c>
      <c r="C652" s="175">
        <f t="shared" ref="C652:H652" si="150">IF(C636=0,"",(C668*10^6)/C636)</f>
        <v>825</v>
      </c>
      <c r="D652" s="175">
        <f t="shared" si="150"/>
        <v>650</v>
      </c>
      <c r="E652" s="175" t="str">
        <f t="shared" si="150"/>
        <v/>
      </c>
      <c r="F652" s="175" t="str">
        <f t="shared" si="150"/>
        <v/>
      </c>
      <c r="G652" s="175" t="str">
        <f t="shared" si="150"/>
        <v/>
      </c>
      <c r="H652" s="175" t="str">
        <f t="shared" si="150"/>
        <v/>
      </c>
      <c r="I652" s="175" t="str">
        <f t="shared" ref="I652:M652" si="151">IF(I636=0,"",(I668*10^6)/I636)</f>
        <v/>
      </c>
      <c r="J652" s="175" t="str">
        <f t="shared" si="151"/>
        <v/>
      </c>
      <c r="K652" s="175" t="str">
        <f t="shared" si="151"/>
        <v/>
      </c>
      <c r="L652" s="175" t="str">
        <f t="shared" si="151"/>
        <v/>
      </c>
      <c r="M652" s="175" t="str">
        <f t="shared" si="151"/>
        <v/>
      </c>
    </row>
    <row r="653" spans="1:20">
      <c r="B653" s="290" t="str">
        <f t="shared" si="143"/>
        <v>100G FR1_2 km_QSFP28</v>
      </c>
      <c r="C653" s="175" t="str">
        <f t="shared" ref="C653:H653" si="152">IF(C637=0,"",(C669*10^6)/C637)</f>
        <v/>
      </c>
      <c r="D653" s="175" t="str">
        <f t="shared" si="152"/>
        <v/>
      </c>
      <c r="E653" s="175" t="str">
        <f t="shared" si="152"/>
        <v/>
      </c>
      <c r="F653" s="175" t="str">
        <f t="shared" si="152"/>
        <v/>
      </c>
      <c r="G653" s="175" t="str">
        <f t="shared" si="152"/>
        <v/>
      </c>
      <c r="H653" s="175" t="str">
        <f t="shared" si="152"/>
        <v/>
      </c>
      <c r="I653" s="175" t="str">
        <f t="shared" ref="I653:M653" si="153">IF(I637=0,"",(I669*10^6)/I637)</f>
        <v/>
      </c>
      <c r="J653" s="175" t="str">
        <f t="shared" si="153"/>
        <v/>
      </c>
      <c r="K653" s="175" t="str">
        <f t="shared" si="153"/>
        <v/>
      </c>
      <c r="L653" s="175" t="str">
        <f t="shared" si="153"/>
        <v/>
      </c>
      <c r="M653" s="175" t="str">
        <f t="shared" si="153"/>
        <v/>
      </c>
    </row>
    <row r="654" spans="1:20">
      <c r="B654" s="290" t="str">
        <f t="shared" si="143"/>
        <v>100G LR4_10 km_CFP</v>
      </c>
      <c r="C654" s="175">
        <f t="shared" ref="C654:H654" si="154">IF(C638=0,"",(C670*10^6)/C638)</f>
        <v>3527.8709620331333</v>
      </c>
      <c r="D654" s="175">
        <f t="shared" si="154"/>
        <v>2768.0701132780364</v>
      </c>
      <c r="E654" s="175" t="str">
        <f t="shared" si="154"/>
        <v/>
      </c>
      <c r="F654" s="175" t="str">
        <f t="shared" si="154"/>
        <v/>
      </c>
      <c r="G654" s="175" t="str">
        <f t="shared" si="154"/>
        <v/>
      </c>
      <c r="H654" s="175" t="str">
        <f t="shared" si="154"/>
        <v/>
      </c>
      <c r="I654" s="175" t="str">
        <f t="shared" ref="I654:M654" si="155">IF(I638=0,"",(I670*10^6)/I638)</f>
        <v/>
      </c>
      <c r="J654" s="175" t="str">
        <f t="shared" si="155"/>
        <v/>
      </c>
      <c r="K654" s="175" t="str">
        <f t="shared" si="155"/>
        <v/>
      </c>
      <c r="L654" s="175" t="str">
        <f t="shared" si="155"/>
        <v/>
      </c>
      <c r="M654" s="175" t="str">
        <f t="shared" si="155"/>
        <v/>
      </c>
    </row>
    <row r="655" spans="1:20">
      <c r="B655" s="290" t="str">
        <f t="shared" si="143"/>
        <v>100G LR4_10 km_CFP2/4</v>
      </c>
      <c r="C655" s="175">
        <f t="shared" ref="C655:H655" si="156">IF(C639=0,"",(C671*10^6)/C639)</f>
        <v>2882.5268681316725</v>
      </c>
      <c r="D655" s="175">
        <f t="shared" si="156"/>
        <v>2140.3307221126156</v>
      </c>
      <c r="E655" s="175" t="str">
        <f t="shared" si="156"/>
        <v/>
      </c>
      <c r="F655" s="175" t="str">
        <f t="shared" si="156"/>
        <v/>
      </c>
      <c r="G655" s="175" t="str">
        <f t="shared" si="156"/>
        <v/>
      </c>
      <c r="H655" s="175" t="str">
        <f t="shared" si="156"/>
        <v/>
      </c>
      <c r="I655" s="175" t="str">
        <f t="shared" ref="I655:M655" si="157">IF(I639=0,"",(I671*10^6)/I639)</f>
        <v/>
      </c>
      <c r="J655" s="175" t="str">
        <f t="shared" si="157"/>
        <v/>
      </c>
      <c r="K655" s="175" t="str">
        <f t="shared" si="157"/>
        <v/>
      </c>
      <c r="L655" s="175" t="str">
        <f t="shared" si="157"/>
        <v/>
      </c>
      <c r="M655" s="175" t="str">
        <f t="shared" si="157"/>
        <v/>
      </c>
    </row>
    <row r="656" spans="1:20">
      <c r="B656" s="290" t="str">
        <f t="shared" si="143"/>
        <v>100G LR4 and LR1_10 km_QSFP28</v>
      </c>
      <c r="C656" s="175">
        <f t="shared" ref="C656:H656" si="158">IF(C640=0,"",(C672*10^6)/C640)</f>
        <v>1938.1501024552811</v>
      </c>
      <c r="D656" s="175">
        <f t="shared" si="158"/>
        <v>1200</v>
      </c>
      <c r="E656" s="175" t="str">
        <f t="shared" si="158"/>
        <v/>
      </c>
      <c r="F656" s="175" t="str">
        <f t="shared" si="158"/>
        <v/>
      </c>
      <c r="G656" s="175" t="str">
        <f t="shared" si="158"/>
        <v/>
      </c>
      <c r="H656" s="175" t="str">
        <f t="shared" si="158"/>
        <v/>
      </c>
      <c r="I656" s="175" t="str">
        <f t="shared" ref="I656:M656" si="159">IF(I640=0,"",(I672*10^6)/I640)</f>
        <v/>
      </c>
      <c r="J656" s="175" t="str">
        <f t="shared" si="159"/>
        <v/>
      </c>
      <c r="K656" s="175" t="str">
        <f t="shared" si="159"/>
        <v/>
      </c>
      <c r="L656" s="175" t="str">
        <f t="shared" si="159"/>
        <v/>
      </c>
      <c r="M656" s="175" t="str">
        <f t="shared" si="159"/>
        <v/>
      </c>
    </row>
    <row r="657" spans="2:13">
      <c r="B657" s="290" t="str">
        <f t="shared" si="143"/>
        <v>100G 4WDM10_10 km_QSFP28</v>
      </c>
      <c r="C657" s="175" t="str">
        <f t="shared" ref="C657:H657" si="160">IF(C641=0,"",(C673*10^6)/C641)</f>
        <v/>
      </c>
      <c r="D657" s="175">
        <f t="shared" si="160"/>
        <v>500</v>
      </c>
      <c r="E657" s="175" t="str">
        <f t="shared" si="160"/>
        <v/>
      </c>
      <c r="F657" s="175" t="str">
        <f t="shared" si="160"/>
        <v/>
      </c>
      <c r="G657" s="175" t="str">
        <f t="shared" si="160"/>
        <v/>
      </c>
      <c r="H657" s="175" t="str">
        <f t="shared" si="160"/>
        <v/>
      </c>
      <c r="I657" s="175" t="str">
        <f t="shared" ref="I657:M657" si="161">IF(I641=0,"",(I673*10^6)/I641)</f>
        <v/>
      </c>
      <c r="J657" s="175" t="str">
        <f t="shared" si="161"/>
        <v/>
      </c>
      <c r="K657" s="175" t="str">
        <f t="shared" si="161"/>
        <v/>
      </c>
      <c r="L657" s="175" t="str">
        <f t="shared" si="161"/>
        <v/>
      </c>
      <c r="M657" s="175" t="str">
        <f t="shared" si="161"/>
        <v/>
      </c>
    </row>
    <row r="658" spans="2:13">
      <c r="B658" s="290" t="str">
        <f t="shared" si="143"/>
        <v>100G 4WDM20_20 km_QSFP28</v>
      </c>
      <c r="C658" s="175" t="str">
        <f t="shared" ref="C658:H658" si="162">IF(C642=0,"",(C674*10^6)/C642)</f>
        <v/>
      </c>
      <c r="D658" s="175" t="str">
        <f t="shared" si="162"/>
        <v/>
      </c>
      <c r="E658" s="175" t="str">
        <f t="shared" si="162"/>
        <v/>
      </c>
      <c r="F658" s="175" t="str">
        <f t="shared" si="162"/>
        <v/>
      </c>
      <c r="G658" s="175" t="str">
        <f t="shared" si="162"/>
        <v/>
      </c>
      <c r="H658" s="175" t="str">
        <f t="shared" si="162"/>
        <v/>
      </c>
      <c r="I658" s="175" t="str">
        <f t="shared" ref="I658:M658" si="163">IF(I642=0,"",(I674*10^6)/I642)</f>
        <v/>
      </c>
      <c r="J658" s="175" t="str">
        <f t="shared" si="163"/>
        <v/>
      </c>
      <c r="K658" s="175" t="str">
        <f t="shared" si="163"/>
        <v/>
      </c>
      <c r="L658" s="175" t="str">
        <f t="shared" si="163"/>
        <v/>
      </c>
      <c r="M658" s="175" t="str">
        <f t="shared" si="163"/>
        <v/>
      </c>
    </row>
    <row r="659" spans="2:13">
      <c r="B659" s="290" t="str">
        <f t="shared" ref="B659:B660" si="164">B643</f>
        <v>100G ER4-Lite_30 km_QSFP28</v>
      </c>
      <c r="C659" s="175" t="str">
        <f t="shared" ref="C659:H659" si="165">IF(C643=0,"",(C675*10^6)/C643)</f>
        <v/>
      </c>
      <c r="D659" s="175">
        <f t="shared" si="165"/>
        <v>3487.2423945044161</v>
      </c>
      <c r="E659" s="175" t="str">
        <f t="shared" si="165"/>
        <v/>
      </c>
      <c r="F659" s="175" t="str">
        <f t="shared" si="165"/>
        <v/>
      </c>
      <c r="G659" s="175" t="str">
        <f t="shared" si="165"/>
        <v/>
      </c>
      <c r="H659" s="175" t="str">
        <f t="shared" si="165"/>
        <v/>
      </c>
      <c r="I659" s="175" t="str">
        <f t="shared" ref="I659:M659" si="166">IF(I643=0,"",(I675*10^6)/I643)</f>
        <v/>
      </c>
      <c r="J659" s="175" t="str">
        <f t="shared" si="166"/>
        <v/>
      </c>
      <c r="K659" s="175" t="str">
        <f t="shared" si="166"/>
        <v/>
      </c>
      <c r="L659" s="175" t="str">
        <f t="shared" si="166"/>
        <v/>
      </c>
      <c r="M659" s="175" t="str">
        <f t="shared" si="166"/>
        <v/>
      </c>
    </row>
    <row r="660" spans="2:13">
      <c r="B660" s="290" t="str">
        <f t="shared" si="164"/>
        <v>100G ER4_40 km_QSFP28</v>
      </c>
      <c r="C660" s="175">
        <f t="shared" ref="C660:H660" si="167">IF(C644=0,"",(C676*10^6)/C644)</f>
        <v>8992.3604525403425</v>
      </c>
      <c r="D660" s="175">
        <f t="shared" si="167"/>
        <v>6675.4855675304152</v>
      </c>
      <c r="E660" s="175" t="str">
        <f t="shared" si="167"/>
        <v/>
      </c>
      <c r="F660" s="175" t="str">
        <f t="shared" si="167"/>
        <v/>
      </c>
      <c r="G660" s="175" t="str">
        <f t="shared" si="167"/>
        <v/>
      </c>
      <c r="H660" s="175" t="str">
        <f t="shared" si="167"/>
        <v/>
      </c>
      <c r="I660" s="175" t="str">
        <f t="shared" ref="I660:M660" si="168">IF(I644=0,"",(I676*10^6)/I644)</f>
        <v/>
      </c>
      <c r="J660" s="175" t="str">
        <f t="shared" si="168"/>
        <v/>
      </c>
      <c r="K660" s="175" t="str">
        <f t="shared" si="168"/>
        <v/>
      </c>
      <c r="L660" s="175" t="str">
        <f t="shared" si="168"/>
        <v/>
      </c>
      <c r="M660" s="175" t="str">
        <f t="shared" si="168"/>
        <v/>
      </c>
    </row>
    <row r="661" spans="2:13">
      <c r="B661" s="381" t="str">
        <f t="shared" ref="B661" si="169">B645</f>
        <v>100G ZR4_80 km_QSFP28</v>
      </c>
      <c r="C661" s="171" t="str">
        <f t="shared" ref="C661:H661" si="170">IF(C645=0,"",(C677*10^6)/C645)</f>
        <v/>
      </c>
      <c r="D661" s="171" t="str">
        <f t="shared" si="170"/>
        <v/>
      </c>
      <c r="E661" s="171" t="str">
        <f t="shared" si="170"/>
        <v/>
      </c>
      <c r="F661" s="171" t="str">
        <f t="shared" si="170"/>
        <v/>
      </c>
      <c r="G661" s="171" t="str">
        <f t="shared" si="170"/>
        <v/>
      </c>
      <c r="H661" s="171" t="str">
        <f t="shared" si="170"/>
        <v/>
      </c>
      <c r="I661" s="171" t="str">
        <f t="shared" ref="I661:M661" si="171">IF(I645=0,"",(I677*10^6)/I645)</f>
        <v/>
      </c>
      <c r="J661" s="171" t="str">
        <f t="shared" si="171"/>
        <v/>
      </c>
      <c r="K661" s="171" t="str">
        <f t="shared" si="171"/>
        <v/>
      </c>
      <c r="L661" s="171" t="str">
        <f t="shared" si="171"/>
        <v/>
      </c>
      <c r="M661" s="171" t="str">
        <f t="shared" si="171"/>
        <v/>
      </c>
    </row>
    <row r="662" spans="2:13">
      <c r="B662" s="381" t="str">
        <f>$B$646</f>
        <v>100G Long Reach</v>
      </c>
      <c r="C662" s="171">
        <f t="shared" ref="C662:H662" si="172">IF(C646=0,"",(C678*10^6)/C646)</f>
        <v>1684.3876313954811</v>
      </c>
      <c r="D662" s="171">
        <f t="shared" si="172"/>
        <v>679.84843477149457</v>
      </c>
      <c r="E662" s="171" t="str">
        <f t="shared" si="172"/>
        <v/>
      </c>
      <c r="F662" s="171" t="str">
        <f t="shared" si="172"/>
        <v/>
      </c>
      <c r="G662" s="171" t="str">
        <f t="shared" si="172"/>
        <v/>
      </c>
      <c r="H662" s="171" t="str">
        <f t="shared" si="172"/>
        <v/>
      </c>
      <c r="I662" s="171" t="str">
        <f t="shared" ref="I662:M662" si="173">IF(I646=0,"",(I678*10^6)/I646)</f>
        <v/>
      </c>
      <c r="J662" s="171" t="str">
        <f t="shared" si="173"/>
        <v/>
      </c>
      <c r="K662" s="171" t="str">
        <f t="shared" si="173"/>
        <v/>
      </c>
      <c r="L662" s="171" t="str">
        <f t="shared" si="173"/>
        <v/>
      </c>
      <c r="M662" s="171" t="str">
        <f t="shared" si="173"/>
        <v/>
      </c>
    </row>
    <row r="663" spans="2:13">
      <c r="B663" s="4"/>
      <c r="C663" s="29"/>
      <c r="D663" s="29"/>
      <c r="E663" s="29"/>
      <c r="F663" s="29"/>
      <c r="G663" s="29"/>
      <c r="H663" s="29"/>
      <c r="I663" s="29"/>
      <c r="J663" s="29"/>
      <c r="K663" s="29"/>
      <c r="L663" s="29"/>
      <c r="M663" s="29"/>
    </row>
    <row r="664" spans="2:13">
      <c r="B664" s="81" t="s">
        <v>15</v>
      </c>
      <c r="C664" s="388">
        <v>2016</v>
      </c>
      <c r="D664" s="394">
        <v>2017</v>
      </c>
      <c r="E664" s="394">
        <v>2018</v>
      </c>
      <c r="F664" s="394">
        <v>2019</v>
      </c>
      <c r="G664" s="394">
        <v>2020</v>
      </c>
      <c r="H664" s="394">
        <v>2021</v>
      </c>
      <c r="I664" s="394">
        <v>2022</v>
      </c>
      <c r="J664" s="394">
        <v>2023</v>
      </c>
      <c r="K664" s="394">
        <v>2024</v>
      </c>
      <c r="L664" s="394">
        <v>2025</v>
      </c>
      <c r="M664" s="394">
        <v>2026</v>
      </c>
    </row>
    <row r="665" spans="2:13">
      <c r="B665" s="364" t="str">
        <f t="shared" ref="B665:B674" si="174">B633</f>
        <v>100G PSM4_500 m_QSFP28</v>
      </c>
      <c r="C665" s="173">
        <f>'Products x speed'!E195</f>
        <v>67.773890240000014</v>
      </c>
      <c r="D665" s="173">
        <f>'Products x speed'!F195</f>
        <v>158.09400299999999</v>
      </c>
      <c r="E665" s="173">
        <f>'Products x speed'!G195</f>
        <v>0</v>
      </c>
      <c r="F665" s="173">
        <f>'Products x speed'!H195</f>
        <v>0</v>
      </c>
      <c r="G665" s="173">
        <f>'Products x speed'!I195</f>
        <v>0</v>
      </c>
      <c r="H665" s="173">
        <f>'Products x speed'!J195</f>
        <v>0</v>
      </c>
      <c r="I665" s="173">
        <f>'Products x speed'!K195</f>
        <v>0</v>
      </c>
      <c r="J665" s="173">
        <f>'Products x speed'!L195</f>
        <v>0</v>
      </c>
      <c r="K665" s="173">
        <f>'Products x speed'!M195</f>
        <v>0</v>
      </c>
      <c r="L665" s="173">
        <f>'Products x speed'!N195</f>
        <v>0</v>
      </c>
      <c r="M665" s="173">
        <f>'Products x speed'!O195</f>
        <v>0</v>
      </c>
    </row>
    <row r="666" spans="2:13">
      <c r="B666" s="290" t="str">
        <f t="shared" si="174"/>
        <v>100G DR/DR+_500m, 2km_QSFP28</v>
      </c>
      <c r="C666" s="175">
        <f>'Products x speed'!E196</f>
        <v>0</v>
      </c>
      <c r="D666" s="175">
        <f>'Products x speed'!F196</f>
        <v>0</v>
      </c>
      <c r="E666" s="175">
        <f>'Products x speed'!G196</f>
        <v>0</v>
      </c>
      <c r="F666" s="175">
        <f>'Products x speed'!H196</f>
        <v>0</v>
      </c>
      <c r="G666" s="175">
        <f>'Products x speed'!I196</f>
        <v>0</v>
      </c>
      <c r="H666" s="175">
        <f>'Products x speed'!J196</f>
        <v>0</v>
      </c>
      <c r="I666" s="175">
        <f>'Products x speed'!K196</f>
        <v>0</v>
      </c>
      <c r="J666" s="175">
        <f>'Products x speed'!L196</f>
        <v>0</v>
      </c>
      <c r="K666" s="175">
        <f>'Products x speed'!M196</f>
        <v>0</v>
      </c>
      <c r="L666" s="175">
        <f>'Products x speed'!N196</f>
        <v>0</v>
      </c>
      <c r="M666" s="175">
        <f>'Products x speed'!O196</f>
        <v>0</v>
      </c>
    </row>
    <row r="667" spans="2:13">
      <c r="B667" s="290" t="str">
        <f t="shared" si="174"/>
        <v>100G CWDM4-subspec_500 m_QSFP28</v>
      </c>
      <c r="C667" s="175">
        <f>'Products x speed'!E197</f>
        <v>55.125374999999998</v>
      </c>
      <c r="D667" s="175">
        <f>'Products x speed'!F197</f>
        <v>307.53544499999998</v>
      </c>
      <c r="E667" s="175">
        <f>'Products x speed'!G197</f>
        <v>0</v>
      </c>
      <c r="F667" s="175">
        <f>'Products x speed'!H197</f>
        <v>0</v>
      </c>
      <c r="G667" s="175">
        <f>'Products x speed'!I197</f>
        <v>0</v>
      </c>
      <c r="H667" s="175">
        <f>'Products x speed'!J197</f>
        <v>0</v>
      </c>
      <c r="I667" s="175">
        <f>'Products x speed'!K197</f>
        <v>0</v>
      </c>
      <c r="J667" s="175">
        <f>'Products x speed'!L197</f>
        <v>0</v>
      </c>
      <c r="K667" s="175">
        <f>'Products x speed'!M197</f>
        <v>0</v>
      </c>
      <c r="L667" s="175">
        <f>'Products x speed'!N197</f>
        <v>0</v>
      </c>
      <c r="M667" s="175">
        <f>'Products x speed'!O197</f>
        <v>0</v>
      </c>
    </row>
    <row r="668" spans="2:13">
      <c r="B668" s="290" t="str">
        <f t="shared" si="174"/>
        <v>100G CWDM4_2 km_QSFP28</v>
      </c>
      <c r="C668" s="175">
        <f>+'Products x speed'!E198</f>
        <v>25.566254999999995</v>
      </c>
      <c r="D668" s="175">
        <f>+'Products x speed'!F198</f>
        <v>190.37908500000003</v>
      </c>
      <c r="E668" s="175">
        <f>+'Products x speed'!G198</f>
        <v>0</v>
      </c>
      <c r="F668" s="175">
        <f>+'Products x speed'!H198</f>
        <v>0</v>
      </c>
      <c r="G668" s="175">
        <f>+'Products x speed'!I198</f>
        <v>0</v>
      </c>
      <c r="H668" s="175">
        <f>+'Products x speed'!J198</f>
        <v>0</v>
      </c>
      <c r="I668" s="175">
        <f>+'Products x speed'!K198</f>
        <v>0</v>
      </c>
      <c r="J668" s="175">
        <f>+'Products x speed'!L198</f>
        <v>0</v>
      </c>
      <c r="K668" s="175">
        <f>+'Products x speed'!M198</f>
        <v>0</v>
      </c>
      <c r="L668" s="175">
        <f>+'Products x speed'!N198</f>
        <v>0</v>
      </c>
      <c r="M668" s="175">
        <f>+'Products x speed'!O198</f>
        <v>0</v>
      </c>
    </row>
    <row r="669" spans="2:13">
      <c r="B669" s="290" t="str">
        <f t="shared" si="174"/>
        <v>100G FR1_2 km_QSFP28</v>
      </c>
      <c r="C669" s="175">
        <f>'Products x speed'!E199</f>
        <v>0</v>
      </c>
      <c r="D669" s="175">
        <f>'Products x speed'!F199</f>
        <v>0</v>
      </c>
      <c r="E669" s="175">
        <f>'Products x speed'!G199</f>
        <v>0</v>
      </c>
      <c r="F669" s="175">
        <f>'Products x speed'!H199</f>
        <v>0</v>
      </c>
      <c r="G669" s="175">
        <f>'Products x speed'!I199</f>
        <v>0</v>
      </c>
      <c r="H669" s="175">
        <f>'Products x speed'!J199</f>
        <v>0</v>
      </c>
      <c r="I669" s="175">
        <f>'Products x speed'!K199</f>
        <v>0</v>
      </c>
      <c r="J669" s="175">
        <f>'Products x speed'!L199</f>
        <v>0</v>
      </c>
      <c r="K669" s="175">
        <f>'Products x speed'!M199</f>
        <v>0</v>
      </c>
      <c r="L669" s="175">
        <f>'Products x speed'!N199</f>
        <v>0</v>
      </c>
      <c r="M669" s="175">
        <f>'Products x speed'!O199</f>
        <v>0</v>
      </c>
    </row>
    <row r="670" spans="2:13">
      <c r="B670" s="290" t="str">
        <f t="shared" si="174"/>
        <v>100G LR4_10 km_CFP</v>
      </c>
      <c r="C670" s="175">
        <f>'Products x speed'!E200</f>
        <v>387.84002208207454</v>
      </c>
      <c r="D670" s="175">
        <f>'Products x speed'!F200</f>
        <v>186.42675405916248</v>
      </c>
      <c r="E670" s="175">
        <f>'Products x speed'!G200</f>
        <v>0</v>
      </c>
      <c r="F670" s="175">
        <f>'Products x speed'!H200</f>
        <v>0</v>
      </c>
      <c r="G670" s="175">
        <f>'Products x speed'!I200</f>
        <v>0</v>
      </c>
      <c r="H670" s="175">
        <f>'Products x speed'!J200</f>
        <v>0</v>
      </c>
      <c r="I670" s="175">
        <f>'Products x speed'!K200</f>
        <v>0</v>
      </c>
      <c r="J670" s="175">
        <f>'Products x speed'!L200</f>
        <v>0</v>
      </c>
      <c r="K670" s="175">
        <f>'Products x speed'!M200</f>
        <v>0</v>
      </c>
      <c r="L670" s="175">
        <f>'Products x speed'!N200</f>
        <v>0</v>
      </c>
      <c r="M670" s="175">
        <f>'Products x speed'!O200</f>
        <v>0</v>
      </c>
    </row>
    <row r="671" spans="2:13">
      <c r="B671" s="290" t="str">
        <f t="shared" si="174"/>
        <v>100G LR4_10 km_CFP2/4</v>
      </c>
      <c r="C671" s="175">
        <f>'Products x speed'!E201</f>
        <v>265.89292589706986</v>
      </c>
      <c r="D671" s="175">
        <f>'Products x speed'!F201</f>
        <v>167.37814313065076</v>
      </c>
      <c r="E671" s="175">
        <f>'Products x speed'!G201</f>
        <v>0</v>
      </c>
      <c r="F671" s="175">
        <f>'Products x speed'!H201</f>
        <v>0</v>
      </c>
      <c r="G671" s="175">
        <f>'Products x speed'!I201</f>
        <v>0</v>
      </c>
      <c r="H671" s="175">
        <f>'Products x speed'!J201</f>
        <v>0</v>
      </c>
      <c r="I671" s="175">
        <f>'Products x speed'!K201</f>
        <v>0</v>
      </c>
      <c r="J671" s="175">
        <f>'Products x speed'!L201</f>
        <v>0</v>
      </c>
      <c r="K671" s="175">
        <f>'Products x speed'!M201</f>
        <v>0</v>
      </c>
      <c r="L671" s="175">
        <f>'Products x speed'!N201</f>
        <v>0</v>
      </c>
      <c r="M671" s="175">
        <f>'Products x speed'!O201</f>
        <v>0</v>
      </c>
    </row>
    <row r="672" spans="2:13">
      <c r="B672" s="290" t="str">
        <f t="shared" si="174"/>
        <v>100G LR4 and LR1_10 km_QSFP28</v>
      </c>
      <c r="C672" s="175">
        <f>'Products x speed'!E202</f>
        <v>175.29210971636297</v>
      </c>
      <c r="D672" s="175">
        <f>'Products x speed'!F202</f>
        <v>434.82240000000002</v>
      </c>
      <c r="E672" s="175">
        <f>'Products x speed'!G202</f>
        <v>0</v>
      </c>
      <c r="F672" s="175">
        <f>'Products x speed'!H202</f>
        <v>0</v>
      </c>
      <c r="G672" s="175">
        <f>'Products x speed'!I202</f>
        <v>0</v>
      </c>
      <c r="H672" s="175">
        <f>'Products x speed'!J202</f>
        <v>0</v>
      </c>
      <c r="I672" s="175">
        <f>'Products x speed'!K202</f>
        <v>0</v>
      </c>
      <c r="J672" s="175">
        <f>'Products x speed'!L202</f>
        <v>0</v>
      </c>
      <c r="K672" s="175">
        <f>'Products x speed'!M202</f>
        <v>0</v>
      </c>
      <c r="L672" s="175">
        <f>'Products x speed'!N202</f>
        <v>0</v>
      </c>
      <c r="M672" s="175">
        <f>'Products x speed'!O202</f>
        <v>0</v>
      </c>
    </row>
    <row r="673" spans="2:13">
      <c r="B673" s="290" t="str">
        <f t="shared" si="174"/>
        <v>100G 4WDM10_10 km_QSFP28</v>
      </c>
      <c r="C673" s="175">
        <f>'Products x speed'!E203</f>
        <v>0</v>
      </c>
      <c r="D673" s="175">
        <f>'Products x speed'!F203</f>
        <v>22.5</v>
      </c>
      <c r="E673" s="175">
        <f>'Products x speed'!G203</f>
        <v>0</v>
      </c>
      <c r="F673" s="175">
        <f>'Products x speed'!H203</f>
        <v>0</v>
      </c>
      <c r="G673" s="175">
        <f>'Products x speed'!I203</f>
        <v>0</v>
      </c>
      <c r="H673" s="175">
        <f>'Products x speed'!J203</f>
        <v>0</v>
      </c>
      <c r="I673" s="175">
        <f>'Products x speed'!K203</f>
        <v>0</v>
      </c>
      <c r="J673" s="175">
        <f>'Products x speed'!L203</f>
        <v>0</v>
      </c>
      <c r="K673" s="175">
        <f>'Products x speed'!M203</f>
        <v>0</v>
      </c>
      <c r="L673" s="175">
        <f>'Products x speed'!N203</f>
        <v>0</v>
      </c>
      <c r="M673" s="175">
        <f>'Products x speed'!O203</f>
        <v>0</v>
      </c>
    </row>
    <row r="674" spans="2:13">
      <c r="B674" s="290" t="str">
        <f t="shared" si="174"/>
        <v>100G 4WDM20_20 km_QSFP28</v>
      </c>
      <c r="C674" s="175">
        <f>'Products x speed'!E204</f>
        <v>0</v>
      </c>
      <c r="D674" s="175">
        <f>'Products x speed'!F204</f>
        <v>0</v>
      </c>
      <c r="E674" s="175">
        <f>'Products x speed'!G204</f>
        <v>0</v>
      </c>
      <c r="F674" s="175">
        <f>'Products x speed'!H204</f>
        <v>0</v>
      </c>
      <c r="G674" s="175">
        <f>'Products x speed'!I204</f>
        <v>0</v>
      </c>
      <c r="H674" s="175">
        <f>'Products x speed'!J204</f>
        <v>0</v>
      </c>
      <c r="I674" s="175">
        <f>'Products x speed'!K204</f>
        <v>0</v>
      </c>
      <c r="J674" s="175">
        <f>'Products x speed'!L204</f>
        <v>0</v>
      </c>
      <c r="K674" s="175">
        <f>'Products x speed'!M204</f>
        <v>0</v>
      </c>
      <c r="L674" s="175">
        <f>'Products x speed'!N204</f>
        <v>0</v>
      </c>
      <c r="M674" s="175">
        <f>'Products x speed'!O204</f>
        <v>0</v>
      </c>
    </row>
    <row r="675" spans="2:13">
      <c r="B675" s="290" t="str">
        <f t="shared" ref="B675:B676" si="175">B643</f>
        <v>100G ER4-Lite_30 km_QSFP28</v>
      </c>
      <c r="C675" s="175" t="str">
        <f>'Products x speed'!E205</f>
        <v/>
      </c>
      <c r="D675" s="175">
        <f>'Products x speed'!F205</f>
        <v>6.9744847890088328</v>
      </c>
      <c r="E675" s="175">
        <f>'Products x speed'!G205</f>
        <v>0</v>
      </c>
      <c r="F675" s="175">
        <f>'Products x speed'!H205</f>
        <v>0</v>
      </c>
      <c r="G675" s="175">
        <f>'Products x speed'!I205</f>
        <v>0</v>
      </c>
      <c r="H675" s="175">
        <f>'Products x speed'!J205</f>
        <v>0</v>
      </c>
      <c r="I675" s="175">
        <f>'Products x speed'!K205</f>
        <v>0</v>
      </c>
      <c r="J675" s="175">
        <f>'Products x speed'!L205</f>
        <v>0</v>
      </c>
      <c r="K675" s="175">
        <f>'Products x speed'!M205</f>
        <v>0</v>
      </c>
      <c r="L675" s="175">
        <f>'Products x speed'!N205</f>
        <v>0</v>
      </c>
      <c r="M675" s="175">
        <f>'Products x speed'!O205</f>
        <v>0</v>
      </c>
    </row>
    <row r="676" spans="2:13">
      <c r="B676" s="290" t="str">
        <f t="shared" si="175"/>
        <v>100G ER4_40 km_QSFP28</v>
      </c>
      <c r="C676" s="175">
        <f>'Products x speed'!E206</f>
        <v>67.047039534140794</v>
      </c>
      <c r="D676" s="175">
        <f>'Products x speed'!F206</f>
        <v>55.219616614611596</v>
      </c>
      <c r="E676" s="175">
        <f>'Products x speed'!G206</f>
        <v>0</v>
      </c>
      <c r="F676" s="175">
        <f>'Products x speed'!H206</f>
        <v>0</v>
      </c>
      <c r="G676" s="175">
        <f>'Products x speed'!I206</f>
        <v>0</v>
      </c>
      <c r="H676" s="175">
        <f>'Products x speed'!J206</f>
        <v>0</v>
      </c>
      <c r="I676" s="175">
        <f>'Products x speed'!K206</f>
        <v>0</v>
      </c>
      <c r="J676" s="175">
        <f>'Products x speed'!L206</f>
        <v>0</v>
      </c>
      <c r="K676" s="175">
        <f>'Products x speed'!M206</f>
        <v>0</v>
      </c>
      <c r="L676" s="175">
        <f>'Products x speed'!N206</f>
        <v>0</v>
      </c>
      <c r="M676" s="175">
        <f>'Products x speed'!O206</f>
        <v>0</v>
      </c>
    </row>
    <row r="677" spans="2:13">
      <c r="B677" s="381" t="str">
        <f>B645</f>
        <v>100G ZR4_80 km_QSFP28</v>
      </c>
      <c r="C677" s="171" t="str">
        <f>'Products x speed'!E207</f>
        <v/>
      </c>
      <c r="D677" s="171" t="str">
        <f>'Products x speed'!F207</f>
        <v/>
      </c>
      <c r="E677" s="171">
        <f>'Products x speed'!G207</f>
        <v>0</v>
      </c>
      <c r="F677" s="171">
        <f>'Products x speed'!H207</f>
        <v>0</v>
      </c>
      <c r="G677" s="171">
        <f>'Products x speed'!I207</f>
        <v>0</v>
      </c>
      <c r="H677" s="171">
        <f>'Products x speed'!J207</f>
        <v>0</v>
      </c>
      <c r="I677" s="171">
        <f>'Products x speed'!K207</f>
        <v>0</v>
      </c>
      <c r="J677" s="171">
        <f>'Products x speed'!L207</f>
        <v>0</v>
      </c>
      <c r="K677" s="171">
        <f>'Products x speed'!M207</f>
        <v>0</v>
      </c>
      <c r="L677" s="171">
        <f>'Products x speed'!N207</f>
        <v>0</v>
      </c>
      <c r="M677" s="171">
        <f>'Products x speed'!O207</f>
        <v>0</v>
      </c>
    </row>
    <row r="678" spans="2:13">
      <c r="B678" s="381" t="str">
        <f>$B$646</f>
        <v>100G Long Reach</v>
      </c>
      <c r="C678" s="171">
        <f>SUM(C665:C677)</f>
        <v>1044.5376174696482</v>
      </c>
      <c r="D678" s="171">
        <f t="shared" ref="D678:H678" si="176">SUM(D665:D677)</f>
        <v>1529.3299315934335</v>
      </c>
      <c r="E678" s="171">
        <f t="shared" si="176"/>
        <v>0</v>
      </c>
      <c r="F678" s="171">
        <f t="shared" si="176"/>
        <v>0</v>
      </c>
      <c r="G678" s="171">
        <f t="shared" si="176"/>
        <v>0</v>
      </c>
      <c r="H678" s="171">
        <f t="shared" si="176"/>
        <v>0</v>
      </c>
      <c r="I678" s="171">
        <f t="shared" ref="I678:M678" si="177">SUM(I665:I677)</f>
        <v>0</v>
      </c>
      <c r="J678" s="171">
        <f t="shared" si="177"/>
        <v>0</v>
      </c>
      <c r="K678" s="171">
        <f t="shared" si="177"/>
        <v>0</v>
      </c>
      <c r="L678" s="171">
        <f t="shared" si="177"/>
        <v>0</v>
      </c>
      <c r="M678" s="171">
        <f t="shared" si="177"/>
        <v>0</v>
      </c>
    </row>
    <row r="681" spans="2:13" s="463" customFormat="1" ht="21">
      <c r="B681" s="624" t="s">
        <v>462</v>
      </c>
    </row>
    <row r="682" spans="2:13" s="294" customFormat="1" ht="21">
      <c r="B682" s="625"/>
    </row>
    <row r="683" spans="2:13" s="294" customFormat="1" ht="21">
      <c r="B683" s="625"/>
    </row>
    <row r="684" spans="2:13" s="294" customFormat="1" ht="21">
      <c r="B684" s="625"/>
    </row>
    <row r="685" spans="2:13" s="294" customFormat="1" ht="21">
      <c r="B685" s="625"/>
    </row>
    <row r="686" spans="2:13" s="294" customFormat="1" ht="21">
      <c r="B686" s="625"/>
    </row>
    <row r="687" spans="2:13" s="294" customFormat="1" ht="21">
      <c r="B687" s="625"/>
    </row>
    <row r="688" spans="2:13" s="294" customFormat="1" ht="21">
      <c r="B688" s="625"/>
    </row>
    <row r="689" spans="2:13" s="294" customFormat="1" ht="21">
      <c r="B689" s="625"/>
    </row>
    <row r="690" spans="2:13" s="294" customFormat="1" ht="21">
      <c r="B690" s="625"/>
    </row>
    <row r="691" spans="2:13" s="294" customFormat="1" ht="21">
      <c r="B691" s="625"/>
    </row>
    <row r="692" spans="2:13" s="294" customFormat="1" ht="21">
      <c r="B692" s="625"/>
    </row>
    <row r="693" spans="2:13" s="294" customFormat="1" ht="21">
      <c r="B693" s="625"/>
    </row>
    <row r="694" spans="2:13" s="294" customFormat="1" ht="21">
      <c r="B694" s="625"/>
    </row>
    <row r="698" spans="2:13" ht="15.5">
      <c r="B698" s="632" t="s">
        <v>464</v>
      </c>
    </row>
    <row r="699" spans="2:13">
      <c r="B699" s="81" t="s">
        <v>22</v>
      </c>
      <c r="C699" s="556">
        <v>2016</v>
      </c>
      <c r="D699" s="556">
        <v>2017</v>
      </c>
      <c r="E699" s="556">
        <v>2018</v>
      </c>
      <c r="F699" s="556">
        <v>2019</v>
      </c>
      <c r="G699" s="556">
        <v>2020</v>
      </c>
      <c r="H699" s="556">
        <v>2021</v>
      </c>
      <c r="I699" s="556">
        <v>2022</v>
      </c>
      <c r="J699" s="556">
        <v>2023</v>
      </c>
      <c r="K699" s="556">
        <v>2024</v>
      </c>
      <c r="L699" s="556">
        <v>2025</v>
      </c>
      <c r="M699" s="556">
        <v>2026</v>
      </c>
    </row>
    <row r="700" spans="2:13">
      <c r="B700" s="297" t="s">
        <v>466</v>
      </c>
      <c r="C700" s="296">
        <f t="shared" ref="C700:M700" si="178">C555</f>
        <v>280058</v>
      </c>
      <c r="D700" s="296">
        <f t="shared" si="178"/>
        <v>622792</v>
      </c>
      <c r="E700" s="296">
        <f t="shared" si="178"/>
        <v>0</v>
      </c>
      <c r="F700" s="296">
        <f t="shared" si="178"/>
        <v>0</v>
      </c>
      <c r="G700" s="296">
        <f t="shared" si="178"/>
        <v>0</v>
      </c>
      <c r="H700" s="296">
        <f t="shared" si="178"/>
        <v>0</v>
      </c>
      <c r="I700" s="296">
        <f t="shared" si="178"/>
        <v>0</v>
      </c>
      <c r="J700" s="296">
        <f t="shared" si="178"/>
        <v>0</v>
      </c>
      <c r="K700" s="296">
        <f t="shared" si="178"/>
        <v>0</v>
      </c>
      <c r="L700" s="296">
        <f t="shared" si="178"/>
        <v>0</v>
      </c>
      <c r="M700" s="296">
        <f t="shared" si="178"/>
        <v>0</v>
      </c>
    </row>
    <row r="701" spans="2:13">
      <c r="B701" s="364" t="s">
        <v>399</v>
      </c>
      <c r="C701" s="544">
        <f t="shared" ref="C701:M701" si="179">C633</f>
        <v>200861</v>
      </c>
      <c r="D701" s="544">
        <f t="shared" si="179"/>
        <v>710038</v>
      </c>
      <c r="E701" s="544">
        <f t="shared" si="179"/>
        <v>0</v>
      </c>
      <c r="F701" s="544">
        <f t="shared" si="179"/>
        <v>0</v>
      </c>
      <c r="G701" s="544">
        <f t="shared" si="179"/>
        <v>0</v>
      </c>
      <c r="H701" s="544">
        <f t="shared" si="179"/>
        <v>0</v>
      </c>
      <c r="I701" s="544">
        <f t="shared" si="179"/>
        <v>0</v>
      </c>
      <c r="J701" s="544">
        <f t="shared" si="179"/>
        <v>0</v>
      </c>
      <c r="K701" s="544">
        <f t="shared" si="179"/>
        <v>0</v>
      </c>
      <c r="L701" s="544">
        <f t="shared" si="179"/>
        <v>0</v>
      </c>
      <c r="M701" s="544">
        <f t="shared" si="179"/>
        <v>0</v>
      </c>
    </row>
    <row r="702" spans="2:13">
      <c r="B702" s="364" t="s">
        <v>463</v>
      </c>
      <c r="C702" s="544">
        <f t="shared" ref="C702:M702" si="180">C634+C637</f>
        <v>0</v>
      </c>
      <c r="D702" s="544">
        <f t="shared" si="180"/>
        <v>0</v>
      </c>
      <c r="E702" s="544">
        <f t="shared" si="180"/>
        <v>0</v>
      </c>
      <c r="F702" s="544">
        <f t="shared" si="180"/>
        <v>0</v>
      </c>
      <c r="G702" s="544">
        <f t="shared" si="180"/>
        <v>0</v>
      </c>
      <c r="H702" s="544">
        <f t="shared" si="180"/>
        <v>0</v>
      </c>
      <c r="I702" s="544">
        <f t="shared" si="180"/>
        <v>0</v>
      </c>
      <c r="J702" s="544">
        <f t="shared" si="180"/>
        <v>0</v>
      </c>
      <c r="K702" s="544">
        <f t="shared" si="180"/>
        <v>0</v>
      </c>
      <c r="L702" s="544">
        <f t="shared" si="180"/>
        <v>0</v>
      </c>
      <c r="M702" s="544">
        <f t="shared" si="180"/>
        <v>0</v>
      </c>
    </row>
    <row r="703" spans="2:13">
      <c r="B703" s="364" t="s">
        <v>465</v>
      </c>
      <c r="C703" s="544">
        <f t="shared" ref="C703:M703" si="181">C635+C636</f>
        <v>119190</v>
      </c>
      <c r="D703" s="544">
        <f t="shared" si="181"/>
        <v>976303</v>
      </c>
      <c r="E703" s="544">
        <f t="shared" si="181"/>
        <v>0</v>
      </c>
      <c r="F703" s="544">
        <f t="shared" si="181"/>
        <v>0</v>
      </c>
      <c r="G703" s="544">
        <f t="shared" si="181"/>
        <v>0</v>
      </c>
      <c r="H703" s="544">
        <f t="shared" si="181"/>
        <v>0</v>
      </c>
      <c r="I703" s="544">
        <f t="shared" si="181"/>
        <v>0</v>
      </c>
      <c r="J703" s="544">
        <f t="shared" si="181"/>
        <v>0</v>
      </c>
      <c r="K703" s="544">
        <f t="shared" si="181"/>
        <v>0</v>
      </c>
      <c r="L703" s="544">
        <f t="shared" si="181"/>
        <v>0</v>
      </c>
      <c r="M703" s="544">
        <f t="shared" si="181"/>
        <v>0</v>
      </c>
    </row>
    <row r="704" spans="2:13">
      <c r="B704" s="297" t="s">
        <v>410</v>
      </c>
      <c r="C704" s="296">
        <f t="shared" ref="C704:M704" si="182">C640</f>
        <v>90443</v>
      </c>
      <c r="D704" s="296">
        <f t="shared" si="182"/>
        <v>362352</v>
      </c>
      <c r="E704" s="296">
        <f t="shared" si="182"/>
        <v>0</v>
      </c>
      <c r="F704" s="296">
        <f t="shared" si="182"/>
        <v>0</v>
      </c>
      <c r="G704" s="296">
        <f t="shared" si="182"/>
        <v>0</v>
      </c>
      <c r="H704" s="296">
        <f t="shared" si="182"/>
        <v>0</v>
      </c>
      <c r="I704" s="296">
        <f t="shared" si="182"/>
        <v>0</v>
      </c>
      <c r="J704" s="296">
        <f t="shared" si="182"/>
        <v>0</v>
      </c>
      <c r="K704" s="296">
        <f t="shared" si="182"/>
        <v>0</v>
      </c>
      <c r="L704" s="296">
        <f t="shared" si="182"/>
        <v>0</v>
      </c>
      <c r="M704" s="296">
        <f t="shared" si="182"/>
        <v>0</v>
      </c>
    </row>
    <row r="705" spans="2:13">
      <c r="B705" s="627" t="s">
        <v>467</v>
      </c>
      <c r="C705" s="628">
        <f>C706-SUM(C700:C704)</f>
        <v>228818</v>
      </c>
      <c r="D705" s="628">
        <f t="shared" ref="D705:L705" si="183">D706-SUM(D700:D704)</f>
        <v>210005</v>
      </c>
      <c r="E705" s="628">
        <f t="shared" si="183"/>
        <v>0</v>
      </c>
      <c r="F705" s="628">
        <f t="shared" si="183"/>
        <v>0</v>
      </c>
      <c r="G705" s="628">
        <f t="shared" si="183"/>
        <v>0</v>
      </c>
      <c r="H705" s="628">
        <f t="shared" si="183"/>
        <v>0</v>
      </c>
      <c r="I705" s="628">
        <f t="shared" si="183"/>
        <v>0</v>
      </c>
      <c r="J705" s="628">
        <f t="shared" si="183"/>
        <v>0</v>
      </c>
      <c r="K705" s="628">
        <f t="shared" si="183"/>
        <v>0</v>
      </c>
      <c r="L705" s="628">
        <f t="shared" si="183"/>
        <v>0</v>
      </c>
      <c r="M705" s="628">
        <f t="shared" ref="M705" si="184">M706-SUM(M700:M704)</f>
        <v>0</v>
      </c>
    </row>
    <row r="706" spans="2:13">
      <c r="B706" s="627" t="s">
        <v>468</v>
      </c>
      <c r="C706" s="629">
        <f>'Products x speed'!E75</f>
        <v>919370</v>
      </c>
      <c r="D706" s="629">
        <f>'Products x speed'!F75</f>
        <v>2881490</v>
      </c>
      <c r="E706" s="629">
        <f>'Products x speed'!G75</f>
        <v>0</v>
      </c>
      <c r="F706" s="629">
        <f>'Products x speed'!H75</f>
        <v>0</v>
      </c>
      <c r="G706" s="629">
        <f>'Products x speed'!I75</f>
        <v>0</v>
      </c>
      <c r="H706" s="629">
        <f>'Products x speed'!J75</f>
        <v>0</v>
      </c>
      <c r="I706" s="629">
        <f>'Products x speed'!K75</f>
        <v>0</v>
      </c>
      <c r="J706" s="629">
        <f>'Products x speed'!L75</f>
        <v>0</v>
      </c>
      <c r="K706" s="629">
        <f>'Products x speed'!M75</f>
        <v>0</v>
      </c>
      <c r="L706" s="629">
        <f>'Products x speed'!N75</f>
        <v>0</v>
      </c>
      <c r="M706" s="629">
        <f>'Products x speed'!O75</f>
        <v>0</v>
      </c>
    </row>
    <row r="708" spans="2:13">
      <c r="B708" s="81" t="s">
        <v>21</v>
      </c>
      <c r="C708" s="556">
        <v>2016</v>
      </c>
      <c r="D708" s="556">
        <v>2017</v>
      </c>
      <c r="E708" s="556">
        <v>2018</v>
      </c>
      <c r="F708" s="556">
        <v>2019</v>
      </c>
      <c r="G708" s="556">
        <v>2020</v>
      </c>
      <c r="H708" s="556">
        <v>2021</v>
      </c>
      <c r="I708" s="556">
        <v>2022</v>
      </c>
      <c r="J708" s="556">
        <v>2023</v>
      </c>
      <c r="K708" s="556">
        <v>2024</v>
      </c>
      <c r="L708" s="556">
        <v>2025</v>
      </c>
      <c r="M708" s="556">
        <v>2026</v>
      </c>
    </row>
    <row r="709" spans="2:13">
      <c r="B709" s="297" t="s">
        <v>466</v>
      </c>
      <c r="C709" s="626">
        <f>IF(C700=0,"",(C718*10^6)/C700)</f>
        <v>258.09426618771823</v>
      </c>
      <c r="D709" s="626">
        <f t="shared" ref="D709:L709" si="185">IF(D700=0,"",(D718*10^6)/D700)</f>
        <v>182.02277386466108</v>
      </c>
      <c r="E709" s="626" t="str">
        <f t="shared" si="185"/>
        <v/>
      </c>
      <c r="F709" s="626" t="str">
        <f t="shared" si="185"/>
        <v/>
      </c>
      <c r="G709" s="626" t="str">
        <f t="shared" si="185"/>
        <v/>
      </c>
      <c r="H709" s="626" t="str">
        <f t="shared" si="185"/>
        <v/>
      </c>
      <c r="I709" s="626" t="str">
        <f t="shared" si="185"/>
        <v/>
      </c>
      <c r="J709" s="626" t="str">
        <f t="shared" si="185"/>
        <v/>
      </c>
      <c r="K709" s="626" t="str">
        <f t="shared" si="185"/>
        <v/>
      </c>
      <c r="L709" s="626" t="str">
        <f t="shared" si="185"/>
        <v/>
      </c>
      <c r="M709" s="626" t="str">
        <f t="shared" ref="M709" si="186">IF(M700=0,"",(M718*10^6)/M700)</f>
        <v/>
      </c>
    </row>
    <row r="710" spans="2:13">
      <c r="B710" s="364" t="s">
        <v>399</v>
      </c>
      <c r="C710" s="626">
        <f t="shared" ref="C710:L715" si="187">IF(C701=0,"",(C719*10^6)/C701)</f>
        <v>337.41687156790022</v>
      </c>
      <c r="D710" s="626">
        <f t="shared" si="187"/>
        <v>222.65569307558187</v>
      </c>
      <c r="E710" s="626" t="str">
        <f t="shared" si="187"/>
        <v/>
      </c>
      <c r="F710" s="626" t="str">
        <f t="shared" si="187"/>
        <v/>
      </c>
      <c r="G710" s="626" t="str">
        <f t="shared" si="187"/>
        <v/>
      </c>
      <c r="H710" s="626" t="str">
        <f t="shared" si="187"/>
        <v/>
      </c>
      <c r="I710" s="626" t="str">
        <f t="shared" si="187"/>
        <v/>
      </c>
      <c r="J710" s="626" t="str">
        <f t="shared" si="187"/>
        <v/>
      </c>
      <c r="K710" s="626" t="str">
        <f t="shared" si="187"/>
        <v/>
      </c>
      <c r="L710" s="626" t="str">
        <f t="shared" si="187"/>
        <v/>
      </c>
      <c r="M710" s="626" t="str">
        <f t="shared" ref="M710" si="188">IF(M701=0,"",(M719*10^6)/M701)</f>
        <v/>
      </c>
    </row>
    <row r="711" spans="2:13">
      <c r="B711" s="364" t="s">
        <v>463</v>
      </c>
      <c r="C711" s="626"/>
      <c r="D711" s="626"/>
      <c r="E711" s="626" t="str">
        <f t="shared" si="187"/>
        <v/>
      </c>
      <c r="F711" s="626" t="str">
        <f t="shared" si="187"/>
        <v/>
      </c>
      <c r="G711" s="626" t="str">
        <f t="shared" si="187"/>
        <v/>
      </c>
      <c r="H711" s="626" t="str">
        <f t="shared" si="187"/>
        <v/>
      </c>
      <c r="I711" s="626" t="str">
        <f t="shared" si="187"/>
        <v/>
      </c>
      <c r="J711" s="626" t="str">
        <f t="shared" si="187"/>
        <v/>
      </c>
      <c r="K711" s="626" t="str">
        <f t="shared" si="187"/>
        <v/>
      </c>
      <c r="L711" s="626" t="str">
        <f t="shared" si="187"/>
        <v/>
      </c>
      <c r="M711" s="626" t="str">
        <f t="shared" ref="M711" si="189">IF(M702=0,"",(M720*10^6)/M702)</f>
        <v/>
      </c>
    </row>
    <row r="712" spans="2:13">
      <c r="B712" s="364" t="s">
        <v>465</v>
      </c>
      <c r="C712" s="626">
        <f t="shared" si="187"/>
        <v>676.99999999999989</v>
      </c>
      <c r="D712" s="626">
        <f t="shared" si="187"/>
        <v>510</v>
      </c>
      <c r="E712" s="626" t="str">
        <f t="shared" si="187"/>
        <v/>
      </c>
      <c r="F712" s="626" t="str">
        <f t="shared" si="187"/>
        <v/>
      </c>
      <c r="G712" s="626" t="str">
        <f t="shared" si="187"/>
        <v/>
      </c>
      <c r="H712" s="626" t="str">
        <f t="shared" si="187"/>
        <v/>
      </c>
      <c r="I712" s="626" t="str">
        <f t="shared" si="187"/>
        <v/>
      </c>
      <c r="J712" s="626" t="str">
        <f t="shared" si="187"/>
        <v/>
      </c>
      <c r="K712" s="626" t="str">
        <f t="shared" si="187"/>
        <v/>
      </c>
      <c r="L712" s="626" t="str">
        <f t="shared" si="187"/>
        <v/>
      </c>
      <c r="M712" s="626" t="str">
        <f t="shared" ref="M712" si="190">IF(M703=0,"",(M721*10^6)/M703)</f>
        <v/>
      </c>
    </row>
    <row r="713" spans="2:13">
      <c r="B713" s="297" t="s">
        <v>410</v>
      </c>
      <c r="C713" s="626">
        <f t="shared" si="187"/>
        <v>1938.1501024552811</v>
      </c>
      <c r="D713" s="626">
        <f t="shared" si="187"/>
        <v>1200</v>
      </c>
      <c r="E713" s="626" t="str">
        <f t="shared" si="187"/>
        <v/>
      </c>
      <c r="F713" s="626" t="str">
        <f t="shared" si="187"/>
        <v/>
      </c>
      <c r="G713" s="626" t="str">
        <f t="shared" si="187"/>
        <v/>
      </c>
      <c r="H713" s="626" t="str">
        <f t="shared" si="187"/>
        <v/>
      </c>
      <c r="I713" s="626" t="str">
        <f t="shared" si="187"/>
        <v/>
      </c>
      <c r="J713" s="626" t="str">
        <f t="shared" si="187"/>
        <v/>
      </c>
      <c r="K713" s="626" t="str">
        <f t="shared" si="187"/>
        <v/>
      </c>
      <c r="L713" s="626" t="str">
        <f t="shared" si="187"/>
        <v/>
      </c>
      <c r="M713" s="626" t="str">
        <f t="shared" ref="M713" si="191">IF(M704=0,"",(M722*10^6)/M704)</f>
        <v/>
      </c>
    </row>
    <row r="714" spans="2:13">
      <c r="B714" s="627" t="s">
        <v>467</v>
      </c>
      <c r="C714" s="630">
        <f t="shared" si="187"/>
        <v>3265.1276102111078</v>
      </c>
      <c r="D714" s="630">
        <f t="shared" si="187"/>
        <v>2141.7639179706848</v>
      </c>
      <c r="E714" s="630" t="str">
        <f t="shared" si="187"/>
        <v/>
      </c>
      <c r="F714" s="630" t="str">
        <f t="shared" si="187"/>
        <v/>
      </c>
      <c r="G714" s="630" t="str">
        <f t="shared" si="187"/>
        <v/>
      </c>
      <c r="H714" s="630" t="str">
        <f t="shared" si="187"/>
        <v/>
      </c>
      <c r="I714" s="630" t="str">
        <f t="shared" si="187"/>
        <v/>
      </c>
      <c r="J714" s="630" t="str">
        <f t="shared" si="187"/>
        <v/>
      </c>
      <c r="K714" s="630" t="str">
        <f t="shared" si="187"/>
        <v/>
      </c>
      <c r="L714" s="630" t="str">
        <f t="shared" si="187"/>
        <v/>
      </c>
      <c r="M714" s="630" t="str">
        <f t="shared" ref="M714" si="192">IF(M705=0,"",(M723*10^6)/M705)</f>
        <v/>
      </c>
    </row>
    <row r="715" spans="2:13">
      <c r="B715" s="627" t="s">
        <v>468</v>
      </c>
      <c r="C715" s="630">
        <f t="shared" si="187"/>
        <v>1243.4155600788019</v>
      </c>
      <c r="D715" s="630">
        <f t="shared" si="187"/>
        <v>573.99969875798752</v>
      </c>
      <c r="E715" s="630" t="str">
        <f t="shared" si="187"/>
        <v/>
      </c>
      <c r="F715" s="630" t="str">
        <f t="shared" si="187"/>
        <v/>
      </c>
      <c r="G715" s="630" t="str">
        <f t="shared" si="187"/>
        <v/>
      </c>
      <c r="H715" s="630" t="str">
        <f t="shared" si="187"/>
        <v/>
      </c>
      <c r="I715" s="630" t="str">
        <f t="shared" si="187"/>
        <v/>
      </c>
      <c r="J715" s="630" t="str">
        <f t="shared" si="187"/>
        <v/>
      </c>
      <c r="K715" s="630" t="str">
        <f t="shared" si="187"/>
        <v/>
      </c>
      <c r="L715" s="630" t="str">
        <f t="shared" si="187"/>
        <v/>
      </c>
      <c r="M715" s="630" t="str">
        <f t="shared" ref="M715" si="193">IF(M706=0,"",(M724*10^6)/M706)</f>
        <v/>
      </c>
    </row>
    <row r="717" spans="2:13">
      <c r="B717" s="81" t="s">
        <v>15</v>
      </c>
      <c r="C717" s="556">
        <v>2016</v>
      </c>
      <c r="D717" s="556">
        <v>2017</v>
      </c>
      <c r="E717" s="556">
        <v>2018</v>
      </c>
      <c r="F717" s="556">
        <v>2019</v>
      </c>
      <c r="G717" s="556">
        <v>2020</v>
      </c>
      <c r="H717" s="556">
        <v>2021</v>
      </c>
      <c r="I717" s="556">
        <v>2022</v>
      </c>
      <c r="J717" s="556">
        <v>2023</v>
      </c>
      <c r="K717" s="556">
        <v>2024</v>
      </c>
      <c r="L717" s="556">
        <v>2025</v>
      </c>
      <c r="M717" s="556">
        <v>2026</v>
      </c>
    </row>
    <row r="718" spans="2:13">
      <c r="B718" s="297" t="s">
        <v>466</v>
      </c>
      <c r="C718" s="626">
        <f t="shared" ref="C718:M718" si="194">C571</f>
        <v>72.281363999999996</v>
      </c>
      <c r="D718" s="626">
        <f t="shared" si="194"/>
        <v>113.36232738072</v>
      </c>
      <c r="E718" s="626">
        <f t="shared" si="194"/>
        <v>0</v>
      </c>
      <c r="F718" s="626">
        <f t="shared" si="194"/>
        <v>0</v>
      </c>
      <c r="G718" s="626">
        <f t="shared" si="194"/>
        <v>0</v>
      </c>
      <c r="H718" s="626">
        <f t="shared" si="194"/>
        <v>0</v>
      </c>
      <c r="I718" s="626">
        <f t="shared" si="194"/>
        <v>0</v>
      </c>
      <c r="J718" s="626">
        <f t="shared" si="194"/>
        <v>0</v>
      </c>
      <c r="K718" s="626">
        <f t="shared" si="194"/>
        <v>0</v>
      </c>
      <c r="L718" s="626">
        <f t="shared" si="194"/>
        <v>0</v>
      </c>
      <c r="M718" s="626">
        <f t="shared" si="194"/>
        <v>0</v>
      </c>
    </row>
    <row r="719" spans="2:13">
      <c r="B719" s="364" t="s">
        <v>399</v>
      </c>
      <c r="C719" s="604">
        <f t="shared" ref="C719:L719" si="195">C665</f>
        <v>67.773890240000014</v>
      </c>
      <c r="D719" s="604">
        <f t="shared" si="195"/>
        <v>158.09400299999999</v>
      </c>
      <c r="E719" s="604">
        <f t="shared" si="195"/>
        <v>0</v>
      </c>
      <c r="F719" s="604">
        <f t="shared" si="195"/>
        <v>0</v>
      </c>
      <c r="G719" s="604">
        <f t="shared" si="195"/>
        <v>0</v>
      </c>
      <c r="H719" s="604">
        <f t="shared" si="195"/>
        <v>0</v>
      </c>
      <c r="I719" s="604">
        <f t="shared" si="195"/>
        <v>0</v>
      </c>
      <c r="J719" s="604">
        <f t="shared" si="195"/>
        <v>0</v>
      </c>
      <c r="K719" s="604">
        <f t="shared" si="195"/>
        <v>0</v>
      </c>
      <c r="L719" s="604">
        <f t="shared" si="195"/>
        <v>0</v>
      </c>
      <c r="M719" s="604">
        <f t="shared" ref="M719" si="196">M665</f>
        <v>0</v>
      </c>
    </row>
    <row r="720" spans="2:13">
      <c r="B720" s="364" t="s">
        <v>463</v>
      </c>
      <c r="C720" s="604">
        <f>C666+C669</f>
        <v>0</v>
      </c>
      <c r="D720" s="604">
        <f t="shared" ref="D720:L720" si="197">D666+D669</f>
        <v>0</v>
      </c>
      <c r="E720" s="604">
        <f t="shared" si="197"/>
        <v>0</v>
      </c>
      <c r="F720" s="604">
        <f t="shared" si="197"/>
        <v>0</v>
      </c>
      <c r="G720" s="604">
        <f t="shared" si="197"/>
        <v>0</v>
      </c>
      <c r="H720" s="604">
        <f t="shared" si="197"/>
        <v>0</v>
      </c>
      <c r="I720" s="604">
        <f t="shared" si="197"/>
        <v>0</v>
      </c>
      <c r="J720" s="604">
        <f t="shared" si="197"/>
        <v>0</v>
      </c>
      <c r="K720" s="604">
        <f t="shared" si="197"/>
        <v>0</v>
      </c>
      <c r="L720" s="604">
        <f t="shared" si="197"/>
        <v>0</v>
      </c>
      <c r="M720" s="604">
        <f t="shared" ref="M720" si="198">M666+M669</f>
        <v>0</v>
      </c>
    </row>
    <row r="721" spans="2:19">
      <c r="B721" s="364" t="s">
        <v>465</v>
      </c>
      <c r="C721" s="604">
        <f>C667+C668</f>
        <v>80.691629999999989</v>
      </c>
      <c r="D721" s="604">
        <f t="shared" ref="D721:L721" si="199">D667+D668</f>
        <v>497.91453000000001</v>
      </c>
      <c r="E721" s="604">
        <f t="shared" si="199"/>
        <v>0</v>
      </c>
      <c r="F721" s="604">
        <f t="shared" si="199"/>
        <v>0</v>
      </c>
      <c r="G721" s="604">
        <f t="shared" si="199"/>
        <v>0</v>
      </c>
      <c r="H721" s="604">
        <f t="shared" si="199"/>
        <v>0</v>
      </c>
      <c r="I721" s="604">
        <f t="shared" si="199"/>
        <v>0</v>
      </c>
      <c r="J721" s="604">
        <f t="shared" si="199"/>
        <v>0</v>
      </c>
      <c r="K721" s="604">
        <f t="shared" si="199"/>
        <v>0</v>
      </c>
      <c r="L721" s="604">
        <f t="shared" si="199"/>
        <v>0</v>
      </c>
      <c r="M721" s="604">
        <f t="shared" ref="M721" si="200">M667+M668</f>
        <v>0</v>
      </c>
    </row>
    <row r="722" spans="2:19">
      <c r="B722" s="297" t="s">
        <v>410</v>
      </c>
      <c r="C722" s="626">
        <f>C672</f>
        <v>175.29210971636297</v>
      </c>
      <c r="D722" s="626">
        <f t="shared" ref="D722:L722" si="201">D672</f>
        <v>434.82240000000002</v>
      </c>
      <c r="E722" s="626">
        <f t="shared" si="201"/>
        <v>0</v>
      </c>
      <c r="F722" s="626">
        <f t="shared" si="201"/>
        <v>0</v>
      </c>
      <c r="G722" s="626">
        <f t="shared" si="201"/>
        <v>0</v>
      </c>
      <c r="H722" s="626">
        <f t="shared" si="201"/>
        <v>0</v>
      </c>
      <c r="I722" s="626">
        <f t="shared" si="201"/>
        <v>0</v>
      </c>
      <c r="J722" s="626">
        <f t="shared" si="201"/>
        <v>0</v>
      </c>
      <c r="K722" s="626">
        <f t="shared" si="201"/>
        <v>0</v>
      </c>
      <c r="L722" s="626">
        <f t="shared" si="201"/>
        <v>0</v>
      </c>
      <c r="M722" s="626">
        <f t="shared" ref="M722" si="202">M672</f>
        <v>0</v>
      </c>
    </row>
    <row r="723" spans="2:19">
      <c r="B723" s="627" t="s">
        <v>467</v>
      </c>
      <c r="C723" s="631">
        <f>C724-SUM(C718:C722)</f>
        <v>747.11996951328524</v>
      </c>
      <c r="D723" s="631">
        <f t="shared" ref="D723" si="203">D724-SUM(D718:D722)</f>
        <v>449.78113159343366</v>
      </c>
      <c r="E723" s="631">
        <f t="shared" ref="E723" si="204">E724-SUM(E718:E722)</f>
        <v>0</v>
      </c>
      <c r="F723" s="631">
        <f t="shared" ref="F723" si="205">F724-SUM(F718:F722)</f>
        <v>0</v>
      </c>
      <c r="G723" s="631">
        <f t="shared" ref="G723" si="206">G724-SUM(G718:G722)</f>
        <v>0</v>
      </c>
      <c r="H723" s="631">
        <f t="shared" ref="H723" si="207">H724-SUM(H718:H722)</f>
        <v>0</v>
      </c>
      <c r="I723" s="631">
        <f t="shared" ref="I723" si="208">I724-SUM(I718:I722)</f>
        <v>0</v>
      </c>
      <c r="J723" s="631">
        <f t="shared" ref="J723" si="209">J724-SUM(J718:J722)</f>
        <v>0</v>
      </c>
      <c r="K723" s="631">
        <f t="shared" ref="K723" si="210">K724-SUM(K718:K722)</f>
        <v>0</v>
      </c>
      <c r="L723" s="631">
        <f t="shared" ref="L723:M723" si="211">L724-SUM(L718:L722)</f>
        <v>0</v>
      </c>
      <c r="M723" s="631">
        <f t="shared" si="211"/>
        <v>0</v>
      </c>
    </row>
    <row r="724" spans="2:19">
      <c r="B724" s="627" t="s">
        <v>468</v>
      </c>
      <c r="C724" s="631">
        <f>'Products x speed'!E225</f>
        <v>1143.1589634696481</v>
      </c>
      <c r="D724" s="631">
        <f>'Products x speed'!F225</f>
        <v>1653.9743919741536</v>
      </c>
      <c r="E724" s="631">
        <f>'Products x speed'!G225</f>
        <v>0</v>
      </c>
      <c r="F724" s="631">
        <f>'Products x speed'!H225</f>
        <v>0</v>
      </c>
      <c r="G724" s="631">
        <f>'Products x speed'!I225</f>
        <v>0</v>
      </c>
      <c r="H724" s="631">
        <f>'Products x speed'!J225</f>
        <v>0</v>
      </c>
      <c r="I724" s="631">
        <f>'Products x speed'!K225</f>
        <v>0</v>
      </c>
      <c r="J724" s="631">
        <f>'Products x speed'!L225</f>
        <v>0</v>
      </c>
      <c r="K724" s="631">
        <f>'Products x speed'!M225</f>
        <v>0</v>
      </c>
      <c r="L724" s="631">
        <f>'Products x speed'!N225</f>
        <v>0</v>
      </c>
      <c r="M724" s="631">
        <f>'Products x speed'!O225</f>
        <v>0</v>
      </c>
    </row>
    <row r="726" spans="2:19" ht="21">
      <c r="B726" s="153" t="s">
        <v>304</v>
      </c>
    </row>
    <row r="727" spans="2:19" ht="9" customHeight="1"/>
    <row r="728" spans="2:19" ht="21">
      <c r="B728" s="302" t="s">
        <v>22</v>
      </c>
      <c r="G728" s="302" t="s">
        <v>21</v>
      </c>
      <c r="N728" s="302" t="s">
        <v>15</v>
      </c>
    </row>
    <row r="729" spans="2:19">
      <c r="B729" s="4"/>
      <c r="C729" s="4"/>
      <c r="D729" s="4"/>
      <c r="E729" s="4"/>
      <c r="F729" s="4"/>
      <c r="G729" s="4"/>
      <c r="H729" s="4"/>
      <c r="I729" s="4"/>
      <c r="J729" s="4"/>
      <c r="K729" s="4"/>
      <c r="L729" s="4"/>
      <c r="M729" s="4"/>
      <c r="N729" s="4"/>
      <c r="O729" s="4"/>
      <c r="P729" s="4"/>
      <c r="R729" s="4"/>
      <c r="S729" s="4"/>
    </row>
    <row r="730" spans="2:19">
      <c r="B730" s="4"/>
      <c r="C730" s="4"/>
      <c r="D730" s="4"/>
      <c r="E730" s="4"/>
      <c r="F730" s="4"/>
      <c r="G730" s="4"/>
      <c r="H730" s="4"/>
      <c r="I730" s="4"/>
      <c r="J730" s="4"/>
      <c r="K730" s="4"/>
      <c r="L730" s="4"/>
      <c r="M730" s="4"/>
      <c r="N730" s="4"/>
      <c r="O730" s="4"/>
      <c r="P730" s="4"/>
      <c r="R730" s="4"/>
      <c r="S730" s="4"/>
    </row>
    <row r="731" spans="2:19">
      <c r="B731" s="4"/>
      <c r="C731" s="4"/>
      <c r="D731" s="4"/>
      <c r="E731" s="4"/>
      <c r="F731" s="4"/>
      <c r="G731" s="4"/>
      <c r="H731" s="4"/>
      <c r="I731" s="4"/>
      <c r="J731" s="4"/>
      <c r="K731" s="4"/>
      <c r="L731" s="4"/>
      <c r="M731" s="4"/>
      <c r="N731" s="4"/>
      <c r="O731" s="4"/>
      <c r="P731" s="4"/>
      <c r="R731" s="4"/>
      <c r="S731" s="4"/>
    </row>
    <row r="732" spans="2:19">
      <c r="B732" s="4"/>
      <c r="C732" s="4"/>
      <c r="D732" s="4"/>
      <c r="E732" s="4"/>
      <c r="F732" s="4"/>
      <c r="G732" s="4"/>
      <c r="H732" s="4"/>
      <c r="I732" s="4"/>
      <c r="J732" s="4"/>
      <c r="K732" s="4"/>
      <c r="L732" s="4"/>
      <c r="M732" s="4"/>
      <c r="N732" s="4"/>
      <c r="O732" s="4"/>
      <c r="P732" s="4"/>
      <c r="R732" s="4"/>
      <c r="S732" s="4"/>
    </row>
    <row r="733" spans="2:19">
      <c r="B733" s="4"/>
      <c r="C733" s="4"/>
      <c r="D733" s="4"/>
      <c r="E733" s="4"/>
      <c r="F733" s="4"/>
      <c r="G733" s="4"/>
      <c r="H733" s="4"/>
      <c r="I733" s="4"/>
      <c r="J733" s="4"/>
      <c r="K733" s="4"/>
      <c r="L733" s="4"/>
      <c r="M733" s="4"/>
      <c r="N733" s="4"/>
      <c r="O733" s="4"/>
      <c r="P733" s="4"/>
      <c r="R733" s="4"/>
      <c r="S733" s="4"/>
    </row>
    <row r="734" spans="2:19">
      <c r="B734" s="4"/>
      <c r="C734" s="4"/>
      <c r="D734" s="4"/>
      <c r="E734" s="4"/>
      <c r="F734" s="4"/>
      <c r="G734" s="4"/>
      <c r="H734" s="4"/>
      <c r="I734" s="4"/>
      <c r="J734" s="4"/>
      <c r="K734" s="4"/>
      <c r="L734" s="4"/>
      <c r="M734" s="4"/>
      <c r="N734" s="4"/>
      <c r="O734" s="4"/>
      <c r="P734" s="4"/>
      <c r="R734" s="4"/>
      <c r="S734" s="4"/>
    </row>
    <row r="735" spans="2:19">
      <c r="B735" s="4"/>
      <c r="C735" s="4"/>
      <c r="D735" s="4"/>
      <c r="E735" s="4"/>
      <c r="F735" s="4"/>
      <c r="G735" s="4"/>
      <c r="H735" s="4"/>
      <c r="I735" s="4"/>
      <c r="J735" s="4"/>
      <c r="K735" s="4"/>
      <c r="L735" s="4"/>
      <c r="M735" s="4"/>
      <c r="N735" s="4"/>
      <c r="O735" s="4"/>
      <c r="P735" s="4"/>
      <c r="R735" s="4"/>
      <c r="S735" s="4"/>
    </row>
    <row r="736" spans="2:19">
      <c r="B736" s="4"/>
      <c r="C736" s="4"/>
      <c r="D736" s="4"/>
      <c r="E736" s="4"/>
      <c r="F736" s="4"/>
      <c r="G736" s="4"/>
      <c r="H736" s="4"/>
      <c r="I736" s="4"/>
      <c r="J736" s="4"/>
      <c r="K736" s="4"/>
      <c r="L736" s="4"/>
      <c r="M736" s="4"/>
      <c r="N736" s="4"/>
      <c r="O736" s="4"/>
      <c r="P736" s="4"/>
      <c r="R736" s="4"/>
      <c r="S736" s="4"/>
    </row>
    <row r="737" spans="2:19">
      <c r="B737" s="4"/>
      <c r="C737" s="4"/>
      <c r="D737" s="4"/>
      <c r="E737" s="4"/>
      <c r="F737" s="4"/>
      <c r="G737" s="4"/>
      <c r="H737" s="4"/>
      <c r="I737" s="4"/>
      <c r="J737" s="4"/>
      <c r="K737" s="4"/>
      <c r="L737" s="4"/>
      <c r="M737" s="4"/>
      <c r="N737" s="4"/>
      <c r="O737" s="4"/>
      <c r="P737" s="4"/>
      <c r="R737" s="4"/>
      <c r="S737" s="4"/>
    </row>
    <row r="738" spans="2:19">
      <c r="B738" s="4"/>
      <c r="C738" s="4"/>
      <c r="D738" s="4"/>
      <c r="E738" s="4"/>
      <c r="F738" s="4"/>
      <c r="G738" s="4"/>
      <c r="H738" s="4"/>
      <c r="I738" s="4"/>
      <c r="J738" s="4"/>
      <c r="K738" s="4"/>
      <c r="L738" s="4"/>
      <c r="M738" s="4"/>
      <c r="N738" s="4"/>
      <c r="O738" s="4"/>
      <c r="P738" s="4"/>
      <c r="R738" s="4"/>
      <c r="S738" s="4"/>
    </row>
    <row r="739" spans="2:19" ht="12" customHeight="1">
      <c r="B739" s="4"/>
      <c r="C739" s="4"/>
      <c r="D739" s="4"/>
      <c r="E739" s="4"/>
      <c r="F739" s="4"/>
      <c r="G739" s="4"/>
      <c r="H739" s="4"/>
      <c r="I739" s="4"/>
      <c r="J739" s="4"/>
      <c r="K739" s="4"/>
      <c r="L739" s="4"/>
      <c r="M739" s="4"/>
      <c r="N739" s="4"/>
      <c r="O739" s="4"/>
      <c r="P739" s="4"/>
      <c r="R739" s="4"/>
      <c r="S739" s="4"/>
    </row>
    <row r="740" spans="2:19">
      <c r="B740" s="4"/>
      <c r="C740" s="4"/>
      <c r="D740" s="4"/>
      <c r="E740" s="4"/>
      <c r="F740" s="4"/>
      <c r="G740" s="4"/>
      <c r="H740" s="4"/>
      <c r="I740" s="4"/>
      <c r="J740" s="4"/>
      <c r="K740" s="4"/>
      <c r="L740" s="4"/>
      <c r="M740" s="4"/>
      <c r="N740" s="4"/>
      <c r="O740" s="4"/>
      <c r="P740" s="4"/>
      <c r="R740" s="4"/>
      <c r="S740" s="4"/>
    </row>
    <row r="741" spans="2:19">
      <c r="B741" s="4"/>
      <c r="C741" s="4"/>
      <c r="D741" s="4"/>
      <c r="E741" s="4"/>
      <c r="F741" s="4"/>
      <c r="G741" s="4"/>
      <c r="H741" s="4"/>
      <c r="I741" s="4"/>
      <c r="J741" s="4"/>
      <c r="K741" s="4"/>
      <c r="L741" s="4"/>
      <c r="M741" s="4"/>
      <c r="N741" s="4"/>
      <c r="O741" s="4"/>
      <c r="P741" s="4"/>
      <c r="R741" s="4"/>
      <c r="S741" s="4"/>
    </row>
    <row r="742" spans="2:19">
      <c r="B742" s="4"/>
      <c r="C742" s="4"/>
      <c r="D742" s="4"/>
      <c r="E742" s="4"/>
      <c r="F742" s="4"/>
      <c r="G742" s="4"/>
      <c r="H742" s="4"/>
      <c r="I742" s="4"/>
      <c r="J742" s="4"/>
      <c r="K742" s="4"/>
      <c r="L742" s="4"/>
      <c r="M742" s="4"/>
      <c r="N742" s="4"/>
      <c r="O742" s="4"/>
      <c r="P742" s="4"/>
      <c r="R742" s="4"/>
      <c r="S742" s="4"/>
    </row>
    <row r="743" spans="2:19">
      <c r="B743" s="4"/>
      <c r="C743" s="4"/>
      <c r="D743" s="4"/>
      <c r="E743" s="4"/>
      <c r="F743" s="4"/>
      <c r="G743" s="4"/>
      <c r="H743" s="4"/>
      <c r="I743" s="4"/>
      <c r="J743" s="4"/>
      <c r="K743" s="4"/>
      <c r="L743" s="4"/>
      <c r="M743" s="4"/>
      <c r="N743" s="4"/>
      <c r="O743" s="4"/>
      <c r="P743" s="4"/>
      <c r="R743" s="4"/>
      <c r="S743" s="4"/>
    </row>
    <row r="744" spans="2:19">
      <c r="B744" s="4"/>
      <c r="C744" s="4"/>
      <c r="D744" s="4"/>
      <c r="E744" s="4"/>
      <c r="F744" s="4"/>
      <c r="G744" s="4"/>
      <c r="H744" s="4"/>
      <c r="I744" s="4"/>
      <c r="J744" s="4"/>
      <c r="K744" s="4"/>
      <c r="L744" s="4"/>
      <c r="M744" s="4"/>
      <c r="N744" s="4"/>
      <c r="O744" s="4"/>
      <c r="P744" s="4"/>
      <c r="R744" s="4"/>
      <c r="S744" s="4"/>
    </row>
    <row r="745" spans="2:19">
      <c r="B745" s="4"/>
      <c r="C745" s="4"/>
      <c r="D745" s="4"/>
      <c r="E745" s="4"/>
      <c r="F745" s="4"/>
      <c r="G745" s="4"/>
      <c r="H745" s="4"/>
      <c r="I745" s="4"/>
      <c r="J745" s="4"/>
      <c r="K745" s="4"/>
      <c r="L745" s="4"/>
      <c r="M745" s="4"/>
      <c r="N745" s="4"/>
      <c r="O745" s="4"/>
      <c r="P745" s="4"/>
      <c r="R745" s="4"/>
      <c r="S745" s="4"/>
    </row>
    <row r="746" spans="2:19">
      <c r="B746" s="4"/>
      <c r="C746" s="4"/>
      <c r="D746" s="4"/>
      <c r="E746" s="4"/>
      <c r="F746" s="4"/>
      <c r="G746" s="4"/>
      <c r="H746" s="4"/>
      <c r="I746" s="4"/>
      <c r="J746" s="4"/>
      <c r="K746" s="4"/>
      <c r="L746" s="4"/>
      <c r="M746" s="4"/>
      <c r="N746" s="4"/>
      <c r="O746" s="4"/>
      <c r="P746" s="4"/>
      <c r="R746" s="4"/>
      <c r="S746" s="4"/>
    </row>
    <row r="747" spans="2:19">
      <c r="B747" s="4"/>
      <c r="C747" s="4"/>
      <c r="D747" s="4"/>
      <c r="E747" s="4"/>
      <c r="F747" s="4"/>
      <c r="G747" s="4"/>
      <c r="H747" s="4"/>
      <c r="I747" s="4"/>
      <c r="J747" s="4"/>
      <c r="K747" s="4"/>
      <c r="L747" s="4"/>
      <c r="M747" s="4"/>
      <c r="N747" s="4"/>
      <c r="O747" s="4"/>
      <c r="P747" s="4"/>
      <c r="R747" s="4"/>
      <c r="S747" s="4"/>
    </row>
    <row r="748" spans="2:19">
      <c r="B748" s="4"/>
      <c r="C748" s="4"/>
      <c r="D748" s="4"/>
      <c r="E748" s="4"/>
      <c r="F748" s="4"/>
      <c r="G748" s="4"/>
      <c r="H748" s="4"/>
      <c r="I748" s="4"/>
      <c r="J748" s="4"/>
      <c r="K748" s="4"/>
      <c r="L748" s="4"/>
      <c r="M748" s="4"/>
      <c r="N748" s="4"/>
      <c r="O748" s="4"/>
      <c r="P748" s="4"/>
      <c r="R748" s="4"/>
      <c r="S748" s="4"/>
    </row>
    <row r="749" spans="2:19" ht="15.5">
      <c r="B749" s="118" t="s">
        <v>225</v>
      </c>
      <c r="C749" s="388">
        <v>2016</v>
      </c>
      <c r="D749" s="394">
        <v>2017</v>
      </c>
      <c r="E749" s="394">
        <v>2018</v>
      </c>
      <c r="F749" s="394">
        <v>2019</v>
      </c>
      <c r="G749" s="394">
        <v>2020</v>
      </c>
      <c r="H749" s="394">
        <v>2021</v>
      </c>
      <c r="I749" s="394">
        <v>2022</v>
      </c>
      <c r="J749" s="394">
        <v>2023</v>
      </c>
      <c r="K749" s="394">
        <v>2024</v>
      </c>
      <c r="L749" s="394">
        <v>2025</v>
      </c>
      <c r="M749" s="394">
        <v>2026</v>
      </c>
    </row>
    <row r="750" spans="2:19">
      <c r="B750" s="364" t="str">
        <f>'Products x speed'!B208</f>
        <v>200G SR4</v>
      </c>
      <c r="C750" s="164"/>
      <c r="D750" s="164"/>
      <c r="E750" s="164">
        <f>'Products x speed'!G58</f>
        <v>0</v>
      </c>
      <c r="F750" s="164">
        <f>'Products x speed'!H58</f>
        <v>0</v>
      </c>
      <c r="G750" s="164">
        <f>'Products x speed'!I58</f>
        <v>0</v>
      </c>
      <c r="H750" s="164">
        <f>'Products x speed'!J58</f>
        <v>0</v>
      </c>
      <c r="I750" s="164">
        <f>'Products x speed'!K58</f>
        <v>0</v>
      </c>
      <c r="J750" s="164">
        <f>'Products x speed'!L58</f>
        <v>0</v>
      </c>
      <c r="K750" s="164">
        <f>'Products x speed'!M58</f>
        <v>0</v>
      </c>
      <c r="L750" s="164">
        <f>'Products x speed'!N58</f>
        <v>0</v>
      </c>
      <c r="M750" s="164">
        <f>'Products x speed'!O58</f>
        <v>0</v>
      </c>
    </row>
    <row r="751" spans="2:19">
      <c r="B751" s="290" t="str">
        <f>'Products x speed'!B210</f>
        <v>200G FR4</v>
      </c>
      <c r="C751" s="166"/>
      <c r="D751" s="166"/>
      <c r="E751" s="166">
        <f>'Products x speed'!G60</f>
        <v>0</v>
      </c>
      <c r="F751" s="166">
        <f>'Products x speed'!H60</f>
        <v>0</v>
      </c>
      <c r="G751" s="166">
        <f>'Products x speed'!I60</f>
        <v>0</v>
      </c>
      <c r="H751" s="166">
        <f>'Products x speed'!J60</f>
        <v>0</v>
      </c>
      <c r="I751" s="166">
        <f>'Products x speed'!K60</f>
        <v>0</v>
      </c>
      <c r="J751" s="166">
        <f>'Products x speed'!L60</f>
        <v>0</v>
      </c>
      <c r="K751" s="166">
        <f>'Products x speed'!M60</f>
        <v>0</v>
      </c>
      <c r="L751" s="166">
        <f>'Products x speed'!N60</f>
        <v>0</v>
      </c>
      <c r="M751" s="166">
        <f>'Products x speed'!O60</f>
        <v>0</v>
      </c>
    </row>
    <row r="752" spans="2:19">
      <c r="B752" s="297" t="s">
        <v>13</v>
      </c>
      <c r="C752" s="170"/>
      <c r="D752" s="170"/>
      <c r="E752" s="170">
        <f t="shared" ref="E752:K752" si="212">SUM(E750:E751)</f>
        <v>0</v>
      </c>
      <c r="F752" s="170">
        <f t="shared" si="212"/>
        <v>0</v>
      </c>
      <c r="G752" s="170">
        <f t="shared" si="212"/>
        <v>0</v>
      </c>
      <c r="H752" s="170">
        <f t="shared" si="212"/>
        <v>0</v>
      </c>
      <c r="I752" s="170">
        <f t="shared" si="212"/>
        <v>0</v>
      </c>
      <c r="J752" s="170">
        <f t="shared" si="212"/>
        <v>0</v>
      </c>
      <c r="K752" s="170">
        <f t="shared" si="212"/>
        <v>0</v>
      </c>
      <c r="L752" s="170">
        <f>SUM(L750:L751)</f>
        <v>0</v>
      </c>
      <c r="M752" s="170">
        <f>SUM(M750:M751)</f>
        <v>0</v>
      </c>
    </row>
    <row r="753" spans="2:13">
      <c r="C753" s="274"/>
      <c r="D753" s="274"/>
      <c r="E753" s="274"/>
      <c r="F753" s="331" t="s">
        <v>91</v>
      </c>
      <c r="G753" s="274" t="e">
        <f t="shared" ref="G753:M753" si="213">G752/F752-1</f>
        <v>#DIV/0!</v>
      </c>
      <c r="H753" s="274" t="e">
        <f t="shared" si="213"/>
        <v>#DIV/0!</v>
      </c>
      <c r="I753" s="274" t="e">
        <f t="shared" si="213"/>
        <v>#DIV/0!</v>
      </c>
      <c r="J753" s="274" t="e">
        <f t="shared" si="213"/>
        <v>#DIV/0!</v>
      </c>
      <c r="K753" s="274" t="e">
        <f t="shared" si="213"/>
        <v>#DIV/0!</v>
      </c>
      <c r="L753" s="274" t="e">
        <f t="shared" si="213"/>
        <v>#DIV/0!</v>
      </c>
      <c r="M753" s="274" t="e">
        <f t="shared" si="213"/>
        <v>#DIV/0!</v>
      </c>
    </row>
    <row r="755" spans="2:13" ht="15.5">
      <c r="B755" s="118" t="s">
        <v>226</v>
      </c>
      <c r="C755" s="388">
        <v>2016</v>
      </c>
      <c r="D755" s="394">
        <v>2017</v>
      </c>
      <c r="E755" s="394">
        <v>2018</v>
      </c>
      <c r="F755" s="394">
        <v>2019</v>
      </c>
      <c r="G755" s="394">
        <v>2020</v>
      </c>
      <c r="H755" s="394">
        <v>2021</v>
      </c>
      <c r="I755" s="394">
        <v>2022</v>
      </c>
      <c r="J755" s="394">
        <v>2023</v>
      </c>
      <c r="K755" s="394">
        <v>2024</v>
      </c>
      <c r="L755" s="394">
        <v>2025</v>
      </c>
      <c r="M755" s="394">
        <v>2026</v>
      </c>
    </row>
    <row r="756" spans="2:13">
      <c r="B756" s="364" t="str">
        <f>B750</f>
        <v>200G SR4</v>
      </c>
      <c r="C756" s="164"/>
      <c r="D756" s="173"/>
      <c r="E756" s="173" t="str">
        <f t="shared" ref="E756:L758" si="214">IF(E750=0,"",(E762*10^6)/E750)</f>
        <v/>
      </c>
      <c r="F756" s="173" t="str">
        <f t="shared" si="214"/>
        <v/>
      </c>
      <c r="G756" s="173" t="str">
        <f t="shared" si="214"/>
        <v/>
      </c>
      <c r="H756" s="173" t="str">
        <f t="shared" si="214"/>
        <v/>
      </c>
      <c r="I756" s="173" t="str">
        <f t="shared" si="214"/>
        <v/>
      </c>
      <c r="J756" s="173" t="str">
        <f t="shared" si="214"/>
        <v/>
      </c>
      <c r="K756" s="173" t="str">
        <f t="shared" si="214"/>
        <v/>
      </c>
      <c r="L756" s="173" t="str">
        <f t="shared" si="214"/>
        <v/>
      </c>
      <c r="M756" s="173" t="str">
        <f t="shared" ref="M756" si="215">IF(M750=0,"",(M762*10^6)/M750)</f>
        <v/>
      </c>
    </row>
    <row r="757" spans="2:13">
      <c r="B757" s="290" t="str">
        <f>B751</f>
        <v>200G FR4</v>
      </c>
      <c r="C757" s="166"/>
      <c r="D757" s="175"/>
      <c r="E757" s="175" t="str">
        <f t="shared" si="214"/>
        <v/>
      </c>
      <c r="F757" s="175" t="str">
        <f t="shared" si="214"/>
        <v/>
      </c>
      <c r="G757" s="175" t="str">
        <f t="shared" si="214"/>
        <v/>
      </c>
      <c r="H757" s="175" t="str">
        <f t="shared" si="214"/>
        <v/>
      </c>
      <c r="I757" s="175" t="str">
        <f t="shared" si="214"/>
        <v/>
      </c>
      <c r="J757" s="175" t="str">
        <f t="shared" si="214"/>
        <v/>
      </c>
      <c r="K757" s="175" t="str">
        <f t="shared" si="214"/>
        <v/>
      </c>
      <c r="L757" s="175" t="str">
        <f t="shared" si="214"/>
        <v/>
      </c>
      <c r="M757" s="175" t="str">
        <f t="shared" ref="M757" si="216">IF(M751=0,"",(M763*10^6)/M751)</f>
        <v/>
      </c>
    </row>
    <row r="758" spans="2:13">
      <c r="B758" s="381" t="str">
        <f>B752</f>
        <v>Total</v>
      </c>
      <c r="C758" s="170"/>
      <c r="D758" s="113"/>
      <c r="E758" s="113" t="str">
        <f t="shared" si="214"/>
        <v/>
      </c>
      <c r="F758" s="113" t="str">
        <f t="shared" si="214"/>
        <v/>
      </c>
      <c r="G758" s="113" t="str">
        <f t="shared" si="214"/>
        <v/>
      </c>
      <c r="H758" s="113" t="str">
        <f t="shared" si="214"/>
        <v/>
      </c>
      <c r="I758" s="113" t="str">
        <f t="shared" si="214"/>
        <v/>
      </c>
      <c r="J758" s="113" t="str">
        <f t="shared" si="214"/>
        <v/>
      </c>
      <c r="K758" s="113" t="str">
        <f t="shared" si="214"/>
        <v/>
      </c>
      <c r="L758" s="113" t="str">
        <f t="shared" si="214"/>
        <v/>
      </c>
      <c r="M758" s="113" t="str">
        <f t="shared" ref="M758" si="217">IF(M752=0,"",(M764*10^6)/M752)</f>
        <v/>
      </c>
    </row>
    <row r="759" spans="2:13">
      <c r="B759" s="331"/>
      <c r="C759" s="274"/>
      <c r="D759" s="274"/>
      <c r="E759" s="274"/>
      <c r="F759" s="274"/>
      <c r="G759" s="274"/>
      <c r="H759" s="274"/>
    </row>
    <row r="761" spans="2:13" ht="15.5">
      <c r="B761" s="118" t="s">
        <v>227</v>
      </c>
      <c r="C761" s="388">
        <v>2016</v>
      </c>
      <c r="D761" s="394">
        <v>2017</v>
      </c>
      <c r="E761" s="394">
        <v>2018</v>
      </c>
      <c r="F761" s="394">
        <v>2019</v>
      </c>
      <c r="G761" s="394">
        <v>2020</v>
      </c>
      <c r="H761" s="394">
        <v>2021</v>
      </c>
      <c r="I761" s="394">
        <v>2022</v>
      </c>
      <c r="J761" s="394">
        <v>2023</v>
      </c>
      <c r="K761" s="394">
        <v>2024</v>
      </c>
      <c r="L761" s="394">
        <v>2025</v>
      </c>
      <c r="M761" s="394">
        <v>2026</v>
      </c>
    </row>
    <row r="762" spans="2:13">
      <c r="B762" s="364" t="str">
        <f>B750</f>
        <v>200G SR4</v>
      </c>
      <c r="C762" s="164"/>
      <c r="D762" s="173"/>
      <c r="E762" s="305">
        <f>'Products x speed'!G208</f>
        <v>0</v>
      </c>
      <c r="F762" s="173">
        <f>'Products x speed'!H208</f>
        <v>0</v>
      </c>
      <c r="G762" s="173">
        <f>'Products x speed'!I208</f>
        <v>0</v>
      </c>
      <c r="H762" s="173">
        <f>'Products x speed'!J208</f>
        <v>0</v>
      </c>
      <c r="I762" s="173">
        <f>'Products x speed'!K208</f>
        <v>0</v>
      </c>
      <c r="J762" s="173">
        <f>'Products x speed'!L208</f>
        <v>0</v>
      </c>
      <c r="K762" s="173">
        <f>'Products x speed'!M208</f>
        <v>0</v>
      </c>
      <c r="L762" s="173">
        <f>'Products x speed'!N208</f>
        <v>0</v>
      </c>
      <c r="M762" s="173">
        <f>'Products x speed'!O208</f>
        <v>0</v>
      </c>
    </row>
    <row r="763" spans="2:13">
      <c r="B763" s="290" t="str">
        <f>B751</f>
        <v>200G FR4</v>
      </c>
      <c r="C763" s="166"/>
      <c r="D763" s="175"/>
      <c r="E763" s="175">
        <f>'Products x speed'!G210</f>
        <v>0</v>
      </c>
      <c r="F763" s="175">
        <f>'Products x speed'!H210</f>
        <v>0</v>
      </c>
      <c r="G763" s="175">
        <f>'Products x speed'!I210</f>
        <v>0</v>
      </c>
      <c r="H763" s="175">
        <f>'Products x speed'!J210</f>
        <v>0</v>
      </c>
      <c r="I763" s="175">
        <f>'Products x speed'!K210</f>
        <v>0</v>
      </c>
      <c r="J763" s="175">
        <f>'Products x speed'!L210</f>
        <v>0</v>
      </c>
      <c r="K763" s="175">
        <f>'Products x speed'!M210</f>
        <v>0</v>
      </c>
      <c r="L763" s="175">
        <f>'Products x speed'!N210</f>
        <v>0</v>
      </c>
      <c r="M763" s="175">
        <f>'Products x speed'!O210</f>
        <v>0</v>
      </c>
    </row>
    <row r="764" spans="2:13">
      <c r="B764" s="297" t="str">
        <f>B758</f>
        <v>Total</v>
      </c>
      <c r="C764" s="170"/>
      <c r="D764" s="113"/>
      <c r="E764" s="113">
        <f t="shared" ref="E764" si="218">SUM(E762:E763)</f>
        <v>0</v>
      </c>
      <c r="F764" s="113">
        <f t="shared" ref="F764" si="219">SUM(F762:F763)</f>
        <v>0</v>
      </c>
      <c r="G764" s="113">
        <f t="shared" ref="G764" si="220">SUM(G762:G763)</f>
        <v>0</v>
      </c>
      <c r="H764" s="113">
        <f t="shared" ref="H764" si="221">SUM(H762:H763)</f>
        <v>0</v>
      </c>
      <c r="I764" s="113">
        <f t="shared" ref="I764" si="222">SUM(I762:I763)</f>
        <v>0</v>
      </c>
      <c r="J764" s="113">
        <f t="shared" ref="J764" si="223">SUM(J762:J763)</f>
        <v>0</v>
      </c>
      <c r="K764" s="113">
        <f t="shared" ref="K764" si="224">SUM(K762:K763)</f>
        <v>0</v>
      </c>
      <c r="L764" s="113">
        <f>SUM(L762:L763)</f>
        <v>0</v>
      </c>
      <c r="M764" s="113">
        <f>SUM(M762:M763)</f>
        <v>0</v>
      </c>
    </row>
    <row r="765" spans="2:13">
      <c r="C765" s="274"/>
      <c r="D765" s="274"/>
      <c r="E765" s="274"/>
      <c r="F765" s="331" t="s">
        <v>91</v>
      </c>
      <c r="G765" s="274" t="e">
        <f t="shared" ref="G765:M765" si="225">G764/F764-1</f>
        <v>#DIV/0!</v>
      </c>
      <c r="H765" s="274" t="e">
        <f t="shared" si="225"/>
        <v>#DIV/0!</v>
      </c>
      <c r="I765" s="274" t="e">
        <f t="shared" si="225"/>
        <v>#DIV/0!</v>
      </c>
      <c r="J765" s="274" t="e">
        <f t="shared" si="225"/>
        <v>#DIV/0!</v>
      </c>
      <c r="K765" s="274" t="e">
        <f t="shared" si="225"/>
        <v>#DIV/0!</v>
      </c>
      <c r="L765" s="274" t="e">
        <f t="shared" si="225"/>
        <v>#DIV/0!</v>
      </c>
      <c r="M765" s="274" t="e">
        <f t="shared" si="225"/>
        <v>#DIV/0!</v>
      </c>
    </row>
    <row r="768" spans="2:13" ht="21">
      <c r="B768" s="153" t="s">
        <v>305</v>
      </c>
    </row>
    <row r="769" spans="2:14" ht="21">
      <c r="B769" s="302" t="s">
        <v>22</v>
      </c>
      <c r="G769" s="302" t="s">
        <v>21</v>
      </c>
      <c r="N769" s="302" t="s">
        <v>15</v>
      </c>
    </row>
    <row r="773" spans="2:14" ht="16.5" customHeight="1"/>
    <row r="790" spans="2:13" ht="15.5">
      <c r="B790" s="118" t="s">
        <v>228</v>
      </c>
      <c r="C790" s="393">
        <v>2016</v>
      </c>
      <c r="D790" s="394">
        <v>2017</v>
      </c>
      <c r="E790" s="394">
        <v>2018</v>
      </c>
      <c r="F790" s="394">
        <v>2019</v>
      </c>
      <c r="G790" s="394">
        <v>2020</v>
      </c>
      <c r="H790" s="394">
        <v>2021</v>
      </c>
      <c r="I790" s="394">
        <v>2022</v>
      </c>
      <c r="J790" s="394">
        <v>2023</v>
      </c>
      <c r="K790" s="394">
        <v>2024</v>
      </c>
      <c r="L790" s="394">
        <v>2025</v>
      </c>
      <c r="M790" s="394">
        <v>2026</v>
      </c>
    </row>
    <row r="791" spans="2:13">
      <c r="B791" s="364" t="str">
        <f>'Products x speed'!B209</f>
        <v>2x200 (400G-SR8)</v>
      </c>
      <c r="C791" s="163"/>
      <c r="D791" s="164"/>
      <c r="E791" s="164">
        <f>'Products x speed'!G59</f>
        <v>0</v>
      </c>
      <c r="F791" s="164">
        <f>'Products x speed'!H59</f>
        <v>0</v>
      </c>
      <c r="G791" s="164">
        <f>'Products x speed'!I59</f>
        <v>0</v>
      </c>
      <c r="H791" s="164">
        <f>'Products x speed'!J59</f>
        <v>0</v>
      </c>
      <c r="I791" s="164">
        <f>'Products x speed'!K59</f>
        <v>0</v>
      </c>
      <c r="J791" s="164">
        <f>'Products x speed'!L59</f>
        <v>0</v>
      </c>
      <c r="K791" s="164">
        <f>'Products x speed'!M59</f>
        <v>0</v>
      </c>
      <c r="L791" s="164">
        <f>'Products x speed'!N59</f>
        <v>0</v>
      </c>
      <c r="M791" s="164">
        <f>'Products x speed'!O59</f>
        <v>0</v>
      </c>
    </row>
    <row r="792" spans="2:13">
      <c r="B792" s="290" t="str">
        <f>'Products x speed'!B212</f>
        <v>400G SR4.2, SR4</v>
      </c>
      <c r="C792" s="165"/>
      <c r="D792" s="166"/>
      <c r="E792" s="166">
        <f>'Products x speed'!G62</f>
        <v>0</v>
      </c>
      <c r="F792" s="166">
        <f>'Products x speed'!H62</f>
        <v>0</v>
      </c>
      <c r="G792" s="166">
        <f>'Products x speed'!I62</f>
        <v>0</v>
      </c>
      <c r="H792" s="166">
        <f>'Products x speed'!J62</f>
        <v>0</v>
      </c>
      <c r="I792" s="166">
        <f>'Products x speed'!K62</f>
        <v>0</v>
      </c>
      <c r="J792" s="166">
        <f>'Products x speed'!L62</f>
        <v>0</v>
      </c>
      <c r="K792" s="166">
        <f>'Products x speed'!M62</f>
        <v>0</v>
      </c>
      <c r="L792" s="166">
        <f>'Products x speed'!N62</f>
        <v>0</v>
      </c>
      <c r="M792" s="166">
        <f>'Products x speed'!O62</f>
        <v>0</v>
      </c>
    </row>
    <row r="793" spans="2:13">
      <c r="B793" s="290" t="str">
        <f>'Products x speed'!B213</f>
        <v>400G DR4</v>
      </c>
      <c r="C793" s="165"/>
      <c r="D793" s="166"/>
      <c r="E793" s="166">
        <f>'Products x speed'!G63</f>
        <v>0</v>
      </c>
      <c r="F793" s="166">
        <f>'Products x speed'!H63</f>
        <v>0</v>
      </c>
      <c r="G793" s="166">
        <f>'Products x speed'!I63</f>
        <v>0</v>
      </c>
      <c r="H793" s="166">
        <f>'Products x speed'!J63</f>
        <v>0</v>
      </c>
      <c r="I793" s="166">
        <f>'Products x speed'!K63</f>
        <v>0</v>
      </c>
      <c r="J793" s="166">
        <f>'Products x speed'!L63</f>
        <v>0</v>
      </c>
      <c r="K793" s="166">
        <f>'Products x speed'!M63</f>
        <v>0</v>
      </c>
      <c r="L793" s="166">
        <f>'Products x speed'!N63</f>
        <v>0</v>
      </c>
      <c r="M793" s="166">
        <f>'Products x speed'!O63</f>
        <v>0</v>
      </c>
    </row>
    <row r="794" spans="2:13">
      <c r="B794" s="290" t="str">
        <f>'Products x speed'!B211</f>
        <v>2x(200G FR4)</v>
      </c>
      <c r="C794" s="165"/>
      <c r="D794" s="166"/>
      <c r="E794" s="166">
        <f>'Products x speed'!G61</f>
        <v>0</v>
      </c>
      <c r="F794" s="166">
        <f>'Products x speed'!H61</f>
        <v>0</v>
      </c>
      <c r="G794" s="166">
        <f>'Products x speed'!I61</f>
        <v>0</v>
      </c>
      <c r="H794" s="166">
        <f>'Products x speed'!J61</f>
        <v>0</v>
      </c>
      <c r="I794" s="166">
        <f>'Products x speed'!K61</f>
        <v>0</v>
      </c>
      <c r="J794" s="166">
        <f>'Products x speed'!L61</f>
        <v>0</v>
      </c>
      <c r="K794" s="166">
        <f>'Products x speed'!M61</f>
        <v>0</v>
      </c>
      <c r="L794" s="166">
        <f>'Products x speed'!N61</f>
        <v>0</v>
      </c>
      <c r="M794" s="166">
        <f>'Products x speed'!O61</f>
        <v>0</v>
      </c>
    </row>
    <row r="795" spans="2:13">
      <c r="B795" s="290" t="str">
        <f>'Products x speed'!B214</f>
        <v>400G FR4</v>
      </c>
      <c r="C795" s="165"/>
      <c r="D795" s="166">
        <f>'Products x speed'!F64</f>
        <v>7</v>
      </c>
      <c r="E795" s="166">
        <f>'Products x speed'!G64</f>
        <v>0</v>
      </c>
      <c r="F795" s="166">
        <f>'Products x speed'!H64</f>
        <v>0</v>
      </c>
      <c r="G795" s="166">
        <f>'Products x speed'!I64</f>
        <v>0</v>
      </c>
      <c r="H795" s="166">
        <f>'Products x speed'!J64</f>
        <v>0</v>
      </c>
      <c r="I795" s="166">
        <f>'Products x speed'!K64</f>
        <v>0</v>
      </c>
      <c r="J795" s="166">
        <f>'Products x speed'!L64</f>
        <v>0</v>
      </c>
      <c r="K795" s="166">
        <f>'Products x speed'!M64</f>
        <v>0</v>
      </c>
      <c r="L795" s="166">
        <f>'Products x speed'!N64</f>
        <v>0</v>
      </c>
      <c r="M795" s="166">
        <f>'Products x speed'!O64</f>
        <v>0</v>
      </c>
    </row>
    <row r="796" spans="2:13">
      <c r="B796" s="290" t="str">
        <f>'Products x speed'!B215</f>
        <v>400G LR4, LR8</v>
      </c>
      <c r="C796" s="167"/>
      <c r="D796" s="168">
        <f>'Products x speed'!F65</f>
        <v>82</v>
      </c>
      <c r="E796" s="168">
        <f>'Products x speed'!G65</f>
        <v>0</v>
      </c>
      <c r="F796" s="168">
        <f>'Products x speed'!H65</f>
        <v>0</v>
      </c>
      <c r="G796" s="168">
        <f>'Products x speed'!I65</f>
        <v>0</v>
      </c>
      <c r="H796" s="168">
        <f>'Products x speed'!J65</f>
        <v>0</v>
      </c>
      <c r="I796" s="168">
        <f>'Products x speed'!K65</f>
        <v>0</v>
      </c>
      <c r="J796" s="168">
        <f>'Products x speed'!L65</f>
        <v>0</v>
      </c>
      <c r="K796" s="168">
        <f>'Products x speed'!M65</f>
        <v>0</v>
      </c>
      <c r="L796" s="168">
        <f>'Products x speed'!N65</f>
        <v>0</v>
      </c>
      <c r="M796" s="168">
        <f>'Products x speed'!O65</f>
        <v>0</v>
      </c>
    </row>
    <row r="797" spans="2:13">
      <c r="B797" s="275" t="s">
        <v>13</v>
      </c>
      <c r="C797" s="169"/>
      <c r="D797" s="170">
        <f>SUM(D791:D796)</f>
        <v>89</v>
      </c>
      <c r="E797" s="170">
        <f t="shared" ref="E797:L797" si="226">SUM(E791:E796)</f>
        <v>0</v>
      </c>
      <c r="F797" s="170">
        <f t="shared" si="226"/>
        <v>0</v>
      </c>
      <c r="G797" s="170">
        <f t="shared" si="226"/>
        <v>0</v>
      </c>
      <c r="H797" s="170">
        <f t="shared" si="226"/>
        <v>0</v>
      </c>
      <c r="I797" s="170">
        <f t="shared" si="226"/>
        <v>0</v>
      </c>
      <c r="J797" s="170">
        <f t="shared" si="226"/>
        <v>0</v>
      </c>
      <c r="K797" s="170">
        <f t="shared" si="226"/>
        <v>0</v>
      </c>
      <c r="L797" s="170">
        <f t="shared" si="226"/>
        <v>0</v>
      </c>
      <c r="M797" s="170">
        <f t="shared" ref="M797" si="227">SUM(M791:M796)</f>
        <v>0</v>
      </c>
    </row>
    <row r="798" spans="2:13">
      <c r="C798" s="274"/>
      <c r="D798" s="274"/>
      <c r="E798" s="274"/>
      <c r="F798" s="331" t="s">
        <v>91</v>
      </c>
      <c r="G798" s="274" t="e">
        <f t="shared" ref="G798:M798" si="228">G797/F797-1</f>
        <v>#DIV/0!</v>
      </c>
      <c r="H798" s="274" t="e">
        <f t="shared" si="228"/>
        <v>#DIV/0!</v>
      </c>
      <c r="I798" s="274" t="e">
        <f t="shared" si="228"/>
        <v>#DIV/0!</v>
      </c>
      <c r="J798" s="274" t="e">
        <f t="shared" si="228"/>
        <v>#DIV/0!</v>
      </c>
      <c r="K798" s="274" t="e">
        <f t="shared" si="228"/>
        <v>#DIV/0!</v>
      </c>
      <c r="L798" s="274" t="e">
        <f t="shared" si="228"/>
        <v>#DIV/0!</v>
      </c>
      <c r="M798" s="274" t="e">
        <f t="shared" si="228"/>
        <v>#DIV/0!</v>
      </c>
    </row>
    <row r="800" spans="2:13" ht="15.5">
      <c r="B800" s="118" t="s">
        <v>229</v>
      </c>
      <c r="C800" s="388">
        <v>2016</v>
      </c>
      <c r="D800" s="394">
        <v>2017</v>
      </c>
      <c r="E800" s="394">
        <v>2018</v>
      </c>
      <c r="F800" s="394">
        <v>2019</v>
      </c>
      <c r="G800" s="394">
        <v>2020</v>
      </c>
      <c r="H800" s="394">
        <v>2021</v>
      </c>
      <c r="I800" s="394">
        <v>2022</v>
      </c>
      <c r="J800" s="394">
        <v>2023</v>
      </c>
      <c r="K800" s="394">
        <v>2024</v>
      </c>
      <c r="L800" s="394">
        <v>2025</v>
      </c>
      <c r="M800" s="394">
        <v>2026</v>
      </c>
    </row>
    <row r="801" spans="2:13">
      <c r="B801" s="364" t="str">
        <f t="shared" ref="B801:B806" si="229">B791</f>
        <v>2x200 (400G-SR8)</v>
      </c>
      <c r="C801" s="163"/>
      <c r="D801" s="173"/>
      <c r="E801" s="173" t="str">
        <f t="shared" ref="E801:F801" si="230">IF(E791=0,"",(E811*10^6)/E791)</f>
        <v/>
      </c>
      <c r="F801" s="173" t="str">
        <f t="shared" si="230"/>
        <v/>
      </c>
      <c r="G801" s="173" t="str">
        <f t="shared" ref="G801:L807" si="231">IF(G791=0,"",(G811*10^6)/G791)</f>
        <v/>
      </c>
      <c r="H801" s="173" t="str">
        <f t="shared" si="231"/>
        <v/>
      </c>
      <c r="I801" s="173" t="str">
        <f t="shared" si="231"/>
        <v/>
      </c>
      <c r="J801" s="173" t="str">
        <f t="shared" si="231"/>
        <v/>
      </c>
      <c r="K801" s="173" t="str">
        <f t="shared" si="231"/>
        <v/>
      </c>
      <c r="L801" s="173" t="str">
        <f t="shared" si="231"/>
        <v/>
      </c>
      <c r="M801" s="173" t="str">
        <f t="shared" ref="M801" si="232">IF(M791=0,"",(M811*10^6)/M791)</f>
        <v/>
      </c>
    </row>
    <row r="802" spans="2:13">
      <c r="B802" s="290" t="str">
        <f t="shared" si="229"/>
        <v>400G SR4.2, SR4</v>
      </c>
      <c r="C802" s="165"/>
      <c r="D802" s="175"/>
      <c r="E802" s="175"/>
      <c r="F802" s="175"/>
      <c r="G802" s="175"/>
      <c r="H802" s="175" t="str">
        <f t="shared" si="231"/>
        <v/>
      </c>
      <c r="I802" s="175" t="str">
        <f t="shared" si="231"/>
        <v/>
      </c>
      <c r="J802" s="175" t="str">
        <f t="shared" si="231"/>
        <v/>
      </c>
      <c r="K802" s="175" t="str">
        <f t="shared" si="231"/>
        <v/>
      </c>
      <c r="L802" s="175" t="str">
        <f t="shared" si="231"/>
        <v/>
      </c>
      <c r="M802" s="175" t="str">
        <f t="shared" ref="M802" si="233">IF(M792=0,"",(M812*10^6)/M792)</f>
        <v/>
      </c>
    </row>
    <row r="803" spans="2:13">
      <c r="B803" s="290" t="str">
        <f t="shared" si="229"/>
        <v>400G DR4</v>
      </c>
      <c r="C803" s="165"/>
      <c r="D803" s="175"/>
      <c r="E803" s="175" t="str">
        <f t="shared" ref="E803:F803" si="234">IF(E793=0,"",(E813*10^6)/E793)</f>
        <v/>
      </c>
      <c r="F803" s="175" t="str">
        <f t="shared" si="234"/>
        <v/>
      </c>
      <c r="G803" s="175" t="str">
        <f t="shared" si="231"/>
        <v/>
      </c>
      <c r="H803" s="175" t="str">
        <f t="shared" si="231"/>
        <v/>
      </c>
      <c r="I803" s="175" t="str">
        <f t="shared" si="231"/>
        <v/>
      </c>
      <c r="J803" s="175" t="str">
        <f t="shared" si="231"/>
        <v/>
      </c>
      <c r="K803" s="175" t="str">
        <f t="shared" si="231"/>
        <v/>
      </c>
      <c r="L803" s="175" t="str">
        <f t="shared" si="231"/>
        <v/>
      </c>
      <c r="M803" s="175" t="str">
        <f t="shared" ref="M803" si="235">IF(M793=0,"",(M813*10^6)/M793)</f>
        <v/>
      </c>
    </row>
    <row r="804" spans="2:13">
      <c r="B804" s="290" t="str">
        <f t="shared" si="229"/>
        <v>2x(200G FR4)</v>
      </c>
      <c r="C804" s="165"/>
      <c r="D804" s="175"/>
      <c r="E804" s="175" t="str">
        <f t="shared" ref="E804:F804" si="236">IF(E794=0,"",(E814*10^6)/E794)</f>
        <v/>
      </c>
      <c r="F804" s="175" t="str">
        <f t="shared" si="236"/>
        <v/>
      </c>
      <c r="G804" s="175" t="str">
        <f t="shared" si="231"/>
        <v/>
      </c>
      <c r="H804" s="175" t="str">
        <f t="shared" si="231"/>
        <v/>
      </c>
      <c r="I804" s="175" t="str">
        <f t="shared" si="231"/>
        <v/>
      </c>
      <c r="J804" s="175" t="str">
        <f t="shared" si="231"/>
        <v/>
      </c>
      <c r="K804" s="175" t="str">
        <f t="shared" si="231"/>
        <v/>
      </c>
      <c r="L804" s="175" t="str">
        <f t="shared" si="231"/>
        <v/>
      </c>
      <c r="M804" s="175" t="str">
        <f t="shared" ref="M804" si="237">IF(M794=0,"",(M814*10^6)/M794)</f>
        <v/>
      </c>
    </row>
    <row r="805" spans="2:13">
      <c r="B805" s="290" t="str">
        <f t="shared" si="229"/>
        <v>400G FR4</v>
      </c>
      <c r="C805" s="165"/>
      <c r="D805" s="175"/>
      <c r="E805" s="175" t="str">
        <f t="shared" ref="E805:F807" si="238">IF(E795=0,"",(E815*10^6)/E795)</f>
        <v/>
      </c>
      <c r="F805" s="175" t="str">
        <f t="shared" si="238"/>
        <v/>
      </c>
      <c r="G805" s="175" t="str">
        <f t="shared" si="231"/>
        <v/>
      </c>
      <c r="H805" s="175" t="str">
        <f t="shared" si="231"/>
        <v/>
      </c>
      <c r="I805" s="175" t="str">
        <f t="shared" si="231"/>
        <v/>
      </c>
      <c r="J805" s="175" t="str">
        <f t="shared" si="231"/>
        <v/>
      </c>
      <c r="K805" s="175" t="str">
        <f t="shared" si="231"/>
        <v/>
      </c>
      <c r="L805" s="175" t="str">
        <f t="shared" si="231"/>
        <v/>
      </c>
      <c r="M805" s="175" t="str">
        <f t="shared" ref="M805" si="239">IF(M795=0,"",(M815*10^6)/M795)</f>
        <v/>
      </c>
    </row>
    <row r="806" spans="2:13">
      <c r="B806" s="381" t="str">
        <f t="shared" si="229"/>
        <v>400G LR4, LR8</v>
      </c>
      <c r="C806" s="167"/>
      <c r="D806" s="171"/>
      <c r="E806" s="171" t="str">
        <f t="shared" si="238"/>
        <v/>
      </c>
      <c r="F806" s="171" t="str">
        <f t="shared" si="238"/>
        <v/>
      </c>
      <c r="G806" s="171" t="str">
        <f t="shared" si="231"/>
        <v/>
      </c>
      <c r="H806" s="171" t="str">
        <f t="shared" si="231"/>
        <v/>
      </c>
      <c r="I806" s="171" t="str">
        <f t="shared" si="231"/>
        <v/>
      </c>
      <c r="J806" s="171" t="str">
        <f t="shared" si="231"/>
        <v/>
      </c>
      <c r="K806" s="171" t="str">
        <f t="shared" si="231"/>
        <v/>
      </c>
      <c r="L806" s="171" t="str">
        <f t="shared" si="231"/>
        <v/>
      </c>
      <c r="M806" s="171" t="str">
        <f t="shared" ref="M806" si="240">IF(M796=0,"",(M816*10^6)/M796)</f>
        <v/>
      </c>
    </row>
    <row r="807" spans="2:13">
      <c r="B807" s="275" t="str">
        <f>$B$797</f>
        <v>Total</v>
      </c>
      <c r="C807" s="169"/>
      <c r="D807" s="113">
        <f>IF(D797=0,"",(D817*10^6)/D797)</f>
        <v>15149.438202247189</v>
      </c>
      <c r="E807" s="113" t="str">
        <f t="shared" si="238"/>
        <v/>
      </c>
      <c r="F807" s="113" t="str">
        <f t="shared" si="238"/>
        <v/>
      </c>
      <c r="G807" s="113" t="str">
        <f t="shared" si="231"/>
        <v/>
      </c>
      <c r="H807" s="113" t="str">
        <f t="shared" si="231"/>
        <v/>
      </c>
      <c r="I807" s="113" t="str">
        <f t="shared" si="231"/>
        <v/>
      </c>
      <c r="J807" s="113" t="str">
        <f t="shared" si="231"/>
        <v/>
      </c>
      <c r="K807" s="113" t="str">
        <f t="shared" si="231"/>
        <v/>
      </c>
      <c r="L807" s="113" t="str">
        <f t="shared" si="231"/>
        <v/>
      </c>
      <c r="M807" s="113" t="str">
        <f t="shared" ref="M807" si="241">IF(M797=0,"",(M817*10^6)/M797)</f>
        <v/>
      </c>
    </row>
    <row r="808" spans="2:13">
      <c r="C808" s="274"/>
      <c r="D808" s="274"/>
      <c r="E808" s="274"/>
      <c r="F808" s="331" t="s">
        <v>91</v>
      </c>
      <c r="G808" s="274" t="e">
        <f t="shared" ref="G808:M808" si="242">G807/F807-1</f>
        <v>#VALUE!</v>
      </c>
      <c r="H808" s="274" t="e">
        <f t="shared" si="242"/>
        <v>#VALUE!</v>
      </c>
      <c r="I808" s="274" t="e">
        <f t="shared" si="242"/>
        <v>#VALUE!</v>
      </c>
      <c r="J808" s="274" t="e">
        <f t="shared" si="242"/>
        <v>#VALUE!</v>
      </c>
      <c r="K808" s="274" t="e">
        <f t="shared" si="242"/>
        <v>#VALUE!</v>
      </c>
      <c r="L808" s="274" t="e">
        <f t="shared" si="242"/>
        <v>#VALUE!</v>
      </c>
      <c r="M808" s="274" t="e">
        <f t="shared" si="242"/>
        <v>#VALUE!</v>
      </c>
    </row>
    <row r="810" spans="2:13" ht="15.5">
      <c r="B810" s="118" t="s">
        <v>230</v>
      </c>
      <c r="C810" s="388">
        <v>2016</v>
      </c>
      <c r="D810" s="394">
        <v>2017</v>
      </c>
      <c r="E810" s="394">
        <v>2018</v>
      </c>
      <c r="F810" s="394">
        <v>2019</v>
      </c>
      <c r="G810" s="394">
        <v>2020</v>
      </c>
      <c r="H810" s="394">
        <v>2021</v>
      </c>
      <c r="I810" s="394">
        <v>2022</v>
      </c>
      <c r="J810" s="394">
        <v>2023</v>
      </c>
      <c r="K810" s="394">
        <v>2024</v>
      </c>
      <c r="L810" s="394">
        <v>2025</v>
      </c>
      <c r="M810" s="394">
        <v>2026</v>
      </c>
    </row>
    <row r="811" spans="2:13">
      <c r="B811" s="364" t="str">
        <f t="shared" ref="B811:B816" si="243">B791</f>
        <v>2x200 (400G-SR8)</v>
      </c>
      <c r="C811" s="163"/>
      <c r="D811" s="173"/>
      <c r="E811" s="173">
        <f>'Products x speed'!G209</f>
        <v>0</v>
      </c>
      <c r="F811" s="173">
        <f>'Products x speed'!H209</f>
        <v>0</v>
      </c>
      <c r="G811" s="173">
        <f>'Products x speed'!I209</f>
        <v>0</v>
      </c>
      <c r="H811" s="173">
        <f>'Products x speed'!J209</f>
        <v>0</v>
      </c>
      <c r="I811" s="173">
        <f>'Products x speed'!K209</f>
        <v>0</v>
      </c>
      <c r="J811" s="173">
        <f>'Products x speed'!L209</f>
        <v>0</v>
      </c>
      <c r="K811" s="173">
        <f>'Products x speed'!M209</f>
        <v>0</v>
      </c>
      <c r="L811" s="173">
        <f>'Products x speed'!N209</f>
        <v>0</v>
      </c>
      <c r="M811" s="173">
        <f>'Products x speed'!O209</f>
        <v>0</v>
      </c>
    </row>
    <row r="812" spans="2:13">
      <c r="B812" s="290" t="str">
        <f t="shared" si="243"/>
        <v>400G SR4.2, SR4</v>
      </c>
      <c r="C812" s="165"/>
      <c r="D812" s="175"/>
      <c r="E812" s="175">
        <f>'Products x speed'!G212</f>
        <v>0</v>
      </c>
      <c r="F812" s="175">
        <f>'Products x speed'!H212</f>
        <v>0</v>
      </c>
      <c r="G812" s="175">
        <f>'Products x speed'!I212</f>
        <v>0</v>
      </c>
      <c r="H812" s="175">
        <f>'Products x speed'!J212</f>
        <v>0</v>
      </c>
      <c r="I812" s="175">
        <f>'Products x speed'!K212</f>
        <v>0</v>
      </c>
      <c r="J812" s="175">
        <f>'Products x speed'!L212</f>
        <v>0</v>
      </c>
      <c r="K812" s="175">
        <f>'Products x speed'!M212</f>
        <v>0</v>
      </c>
      <c r="L812" s="175">
        <f>'Products x speed'!N212</f>
        <v>0</v>
      </c>
      <c r="M812" s="175">
        <f>'Products x speed'!O212</f>
        <v>0</v>
      </c>
    </row>
    <row r="813" spans="2:13">
      <c r="B813" s="290" t="str">
        <f t="shared" si="243"/>
        <v>400G DR4</v>
      </c>
      <c r="C813" s="165"/>
      <c r="D813" s="175"/>
      <c r="E813" s="175">
        <f>'Products x speed'!G213</f>
        <v>0</v>
      </c>
      <c r="F813" s="175">
        <f>'Products x speed'!H213</f>
        <v>0</v>
      </c>
      <c r="G813" s="175">
        <f>'Products x speed'!I213</f>
        <v>0</v>
      </c>
      <c r="H813" s="175">
        <f>'Products x speed'!J213</f>
        <v>0</v>
      </c>
      <c r="I813" s="175">
        <f>'Products x speed'!K213</f>
        <v>0</v>
      </c>
      <c r="J813" s="175">
        <f>'Products x speed'!L213</f>
        <v>0</v>
      </c>
      <c r="K813" s="175">
        <f>'Products x speed'!M213</f>
        <v>0</v>
      </c>
      <c r="L813" s="175">
        <f>'Products x speed'!N213</f>
        <v>0</v>
      </c>
      <c r="M813" s="175">
        <f>'Products x speed'!O213</f>
        <v>0</v>
      </c>
    </row>
    <row r="814" spans="2:13">
      <c r="B814" s="290" t="str">
        <f t="shared" si="243"/>
        <v>2x(200G FR4)</v>
      </c>
      <c r="C814" s="165"/>
      <c r="D814" s="175"/>
      <c r="E814" s="175">
        <f>'Products x speed'!G211</f>
        <v>0</v>
      </c>
      <c r="F814" s="175">
        <f>'Products x speed'!H211</f>
        <v>0</v>
      </c>
      <c r="G814" s="175">
        <f>'Products x speed'!I211</f>
        <v>0</v>
      </c>
      <c r="H814" s="175">
        <f>'Products x speed'!J211</f>
        <v>0</v>
      </c>
      <c r="I814" s="175">
        <f>'Products x speed'!K211</f>
        <v>0</v>
      </c>
      <c r="J814" s="175">
        <f>'Products x speed'!L211</f>
        <v>0</v>
      </c>
      <c r="K814" s="175">
        <f>'Products x speed'!M211</f>
        <v>0</v>
      </c>
      <c r="L814" s="175">
        <f>'Products x speed'!N211</f>
        <v>0</v>
      </c>
      <c r="M814" s="175">
        <f>'Products x speed'!O211</f>
        <v>0</v>
      </c>
    </row>
    <row r="815" spans="2:13">
      <c r="B815" s="290" t="str">
        <f t="shared" si="243"/>
        <v>400G FR4</v>
      </c>
      <c r="C815" s="165"/>
      <c r="D815" s="175">
        <f>'Products x speed'!F214</f>
        <v>8.1299999999999997E-2</v>
      </c>
      <c r="E815" s="175">
        <f>'Products x speed'!G214</f>
        <v>0</v>
      </c>
      <c r="F815" s="175">
        <f>'Products x speed'!H214</f>
        <v>0</v>
      </c>
      <c r="G815" s="175">
        <f>'Products x speed'!I214</f>
        <v>0</v>
      </c>
      <c r="H815" s="175">
        <f>'Products x speed'!J214</f>
        <v>0</v>
      </c>
      <c r="I815" s="175">
        <f>'Products x speed'!K214</f>
        <v>0</v>
      </c>
      <c r="J815" s="175">
        <f>'Products x speed'!L214</f>
        <v>0</v>
      </c>
      <c r="K815" s="175">
        <f>'Products x speed'!M214</f>
        <v>0</v>
      </c>
      <c r="L815" s="175">
        <f>'Products x speed'!N214</f>
        <v>0</v>
      </c>
      <c r="M815" s="175">
        <f>'Products x speed'!O214</f>
        <v>0</v>
      </c>
    </row>
    <row r="816" spans="2:13">
      <c r="B816" s="381" t="str">
        <f t="shared" si="243"/>
        <v>400G LR4, LR8</v>
      </c>
      <c r="C816" s="167"/>
      <c r="D816" s="171">
        <f>'Products x speed'!F215</f>
        <v>1.2669999999999999</v>
      </c>
      <c r="E816" s="171">
        <f>'Products x speed'!G215</f>
        <v>0</v>
      </c>
      <c r="F816" s="171">
        <f>'Products x speed'!H215</f>
        <v>0</v>
      </c>
      <c r="G816" s="171">
        <f>'Products x speed'!I215</f>
        <v>0</v>
      </c>
      <c r="H816" s="171">
        <f>'Products x speed'!J215</f>
        <v>0</v>
      </c>
      <c r="I816" s="171">
        <f>'Products x speed'!K215</f>
        <v>0</v>
      </c>
      <c r="J816" s="171">
        <f>'Products x speed'!L215</f>
        <v>0</v>
      </c>
      <c r="K816" s="171">
        <f>'Products x speed'!M215</f>
        <v>0</v>
      </c>
      <c r="L816" s="171">
        <f>'Products x speed'!N215</f>
        <v>0</v>
      </c>
      <c r="M816" s="171">
        <f>'Products x speed'!O215</f>
        <v>0</v>
      </c>
    </row>
    <row r="817" spans="2:14">
      <c r="B817" s="275" t="str">
        <f>$B$797</f>
        <v>Total</v>
      </c>
      <c r="C817" s="169"/>
      <c r="D817" s="464">
        <f>SUM(D811:D816)</f>
        <v>1.3482999999999998</v>
      </c>
      <c r="E817" s="113">
        <f t="shared" ref="E817:L817" si="244">SUM(E811:E816)</f>
        <v>0</v>
      </c>
      <c r="F817" s="113">
        <f t="shared" si="244"/>
        <v>0</v>
      </c>
      <c r="G817" s="113">
        <f t="shared" si="244"/>
        <v>0</v>
      </c>
      <c r="H817" s="113">
        <f t="shared" si="244"/>
        <v>0</v>
      </c>
      <c r="I817" s="113">
        <f t="shared" si="244"/>
        <v>0</v>
      </c>
      <c r="J817" s="113">
        <f t="shared" si="244"/>
        <v>0</v>
      </c>
      <c r="K817" s="113">
        <f t="shared" si="244"/>
        <v>0</v>
      </c>
      <c r="L817" s="113">
        <f t="shared" si="244"/>
        <v>0</v>
      </c>
      <c r="M817" s="113">
        <f t="shared" ref="M817" si="245">SUM(M811:M816)</f>
        <v>0</v>
      </c>
    </row>
    <row r="818" spans="2:14">
      <c r="C818" s="274"/>
      <c r="D818" s="274"/>
      <c r="E818" s="274"/>
      <c r="F818" s="331" t="s">
        <v>91</v>
      </c>
      <c r="G818" s="274" t="e">
        <f t="shared" ref="G818:M818" si="246">G817/F817-1</f>
        <v>#DIV/0!</v>
      </c>
      <c r="H818" s="274" t="e">
        <f t="shared" si="246"/>
        <v>#DIV/0!</v>
      </c>
      <c r="I818" s="274" t="e">
        <f t="shared" si="246"/>
        <v>#DIV/0!</v>
      </c>
      <c r="J818" s="274" t="e">
        <f t="shared" si="246"/>
        <v>#DIV/0!</v>
      </c>
      <c r="K818" s="274" t="e">
        <f t="shared" si="246"/>
        <v>#DIV/0!</v>
      </c>
      <c r="L818" s="274" t="e">
        <f t="shared" si="246"/>
        <v>#DIV/0!</v>
      </c>
      <c r="M818" s="274" t="e">
        <f t="shared" si="246"/>
        <v>#DIV/0!</v>
      </c>
    </row>
    <row r="821" spans="2:14" ht="21">
      <c r="B821" s="153" t="s">
        <v>454</v>
      </c>
    </row>
    <row r="822" spans="2:14" ht="21">
      <c r="B822" s="302" t="s">
        <v>22</v>
      </c>
      <c r="G822" s="302" t="s">
        <v>21</v>
      </c>
      <c r="N822" s="302" t="s">
        <v>15</v>
      </c>
    </row>
    <row r="826" spans="2:14" ht="16.5" customHeight="1"/>
    <row r="843" spans="2:13" ht="15.5">
      <c r="B843" s="118" t="s">
        <v>455</v>
      </c>
      <c r="C843" s="388">
        <v>2016</v>
      </c>
      <c r="D843" s="394">
        <v>2017</v>
      </c>
      <c r="E843" s="394">
        <v>2018</v>
      </c>
      <c r="F843" s="394">
        <v>2019</v>
      </c>
      <c r="G843" s="394">
        <v>2020</v>
      </c>
      <c r="H843" s="394">
        <v>2021</v>
      </c>
      <c r="I843" s="394">
        <v>2022</v>
      </c>
      <c r="J843" s="394">
        <v>2023</v>
      </c>
      <c r="K843" s="394">
        <v>2024</v>
      </c>
      <c r="L843" s="394">
        <v>2025</v>
      </c>
      <c r="M843" s="394">
        <v>2026</v>
      </c>
    </row>
    <row r="844" spans="2:13">
      <c r="B844" s="462" t="str">
        <f>Telecom!P66</f>
        <v>800G SR8_50 m_OSFP, QSFP-DD800</v>
      </c>
      <c r="C844" s="164">
        <f>'Products x speed'!E66</f>
        <v>0</v>
      </c>
      <c r="D844" s="164">
        <f>'Products x speed'!F66</f>
        <v>0</v>
      </c>
      <c r="E844" s="164">
        <f>'Products x speed'!G66</f>
        <v>0</v>
      </c>
      <c r="F844" s="164">
        <f>'Products x speed'!H66</f>
        <v>0</v>
      </c>
      <c r="G844" s="164">
        <f>'Products x speed'!I66</f>
        <v>0</v>
      </c>
      <c r="H844" s="164">
        <f>'Products x speed'!J66</f>
        <v>0</v>
      </c>
      <c r="I844" s="164">
        <f>'Products x speed'!K66</f>
        <v>0</v>
      </c>
      <c r="J844" s="164">
        <f>'Products x speed'!L66</f>
        <v>0</v>
      </c>
      <c r="K844" s="164">
        <f>'Products x speed'!M66</f>
        <v>0</v>
      </c>
      <c r="L844" s="164">
        <f>'Products x speed'!N66</f>
        <v>0</v>
      </c>
      <c r="M844" s="164">
        <f>'Products x speed'!O66</f>
        <v>0</v>
      </c>
    </row>
    <row r="845" spans="2:13">
      <c r="B845" s="290" t="str">
        <f>Telecom!P67</f>
        <v>800G PSM8_500 m_OSFP, QSFP-DD800</v>
      </c>
      <c r="C845" s="166">
        <f>'Products x speed'!E67</f>
        <v>0</v>
      </c>
      <c r="D845" s="166">
        <f>'Products x speed'!F67</f>
        <v>0</v>
      </c>
      <c r="E845" s="166">
        <f>'Products x speed'!G67</f>
        <v>0</v>
      </c>
      <c r="F845" s="166">
        <f>'Products x speed'!H67</f>
        <v>0</v>
      </c>
      <c r="G845" s="166">
        <f>'Products x speed'!I67</f>
        <v>0</v>
      </c>
      <c r="H845" s="166">
        <f>'Products x speed'!J67</f>
        <v>0</v>
      </c>
      <c r="I845" s="166">
        <f>'Products x speed'!K67</f>
        <v>0</v>
      </c>
      <c r="J845" s="166">
        <f>'Products x speed'!L67</f>
        <v>0</v>
      </c>
      <c r="K845" s="166">
        <f>'Products x speed'!M67</f>
        <v>0</v>
      </c>
      <c r="L845" s="166">
        <f>'Products x speed'!N67</f>
        <v>0</v>
      </c>
      <c r="M845" s="166">
        <f>'Products x speed'!O67</f>
        <v>0</v>
      </c>
    </row>
    <row r="846" spans="2:13">
      <c r="B846" s="290" t="str">
        <f>Telecom!P68</f>
        <v>2x(400G FR4)_2 km_OSFP, QSFP-DD800</v>
      </c>
      <c r="C846" s="166">
        <f>'Products x speed'!E68</f>
        <v>0</v>
      </c>
      <c r="D846" s="166">
        <f>'Products x speed'!F68</f>
        <v>0</v>
      </c>
      <c r="E846" s="166">
        <f>'Products x speed'!G68</f>
        <v>0</v>
      </c>
      <c r="F846" s="166">
        <f>'Products x speed'!H68</f>
        <v>0</v>
      </c>
      <c r="G846" s="166">
        <f>'Products x speed'!I68</f>
        <v>0</v>
      </c>
      <c r="H846" s="166">
        <f>'Products x speed'!J68</f>
        <v>0</v>
      </c>
      <c r="I846" s="166">
        <f>'Products x speed'!K68</f>
        <v>0</v>
      </c>
      <c r="J846" s="166">
        <f>'Products x speed'!L68</f>
        <v>0</v>
      </c>
      <c r="K846" s="166">
        <f>'Products x speed'!M68</f>
        <v>0</v>
      </c>
      <c r="L846" s="166">
        <f>'Products x speed'!N68</f>
        <v>0</v>
      </c>
      <c r="M846" s="166">
        <f>'Products x speed'!O68</f>
        <v>0</v>
      </c>
    </row>
    <row r="847" spans="2:13">
      <c r="B847" s="290"/>
    </row>
    <row r="848" spans="2:13">
      <c r="B848" s="275" t="s">
        <v>13</v>
      </c>
      <c r="C848" s="169"/>
      <c r="D848" s="170">
        <f t="shared" ref="D848" si="247">SUM(D844:D847)</f>
        <v>0</v>
      </c>
      <c r="E848" s="170">
        <f t="shared" ref="E848" si="248">SUM(E844:E847)</f>
        <v>0</v>
      </c>
      <c r="F848" s="170">
        <f t="shared" ref="F848" si="249">SUM(F844:F847)</f>
        <v>0</v>
      </c>
      <c r="G848" s="170">
        <f t="shared" ref="G848" si="250">SUM(G844:G847)</f>
        <v>0</v>
      </c>
      <c r="H848" s="170">
        <f>SUM(H844:H847)</f>
        <v>0</v>
      </c>
      <c r="I848" s="170">
        <f>SUM(I844:I847)</f>
        <v>0</v>
      </c>
      <c r="J848" s="170">
        <f t="shared" ref="J848" si="251">SUM(J844:J847)</f>
        <v>0</v>
      </c>
      <c r="K848" s="170">
        <f t="shared" ref="K848" si="252">SUM(K844:K847)</f>
        <v>0</v>
      </c>
      <c r="L848" s="170">
        <f t="shared" ref="L848:M848" si="253">SUM(L844:L847)</f>
        <v>0</v>
      </c>
      <c r="M848" s="170">
        <f t="shared" si="253"/>
        <v>0</v>
      </c>
    </row>
    <row r="849" spans="2:13">
      <c r="C849" s="274"/>
      <c r="D849" s="274"/>
      <c r="E849" s="274"/>
      <c r="F849" s="331" t="s">
        <v>91</v>
      </c>
      <c r="G849" s="274"/>
      <c r="H849" s="274"/>
      <c r="I849" s="274" t="e">
        <f t="shared" ref="I849" si="254">I848/H848-1</f>
        <v>#DIV/0!</v>
      </c>
      <c r="J849" s="274" t="e">
        <f t="shared" ref="J849" si="255">J848/I848-1</f>
        <v>#DIV/0!</v>
      </c>
      <c r="K849" s="274" t="e">
        <f t="shared" ref="K849" si="256">K848/J848-1</f>
        <v>#DIV/0!</v>
      </c>
      <c r="L849" s="274" t="e">
        <f t="shared" ref="L849:M849" si="257">L848/K848-1</f>
        <v>#DIV/0!</v>
      </c>
      <c r="M849" s="274" t="e">
        <f t="shared" si="257"/>
        <v>#DIV/0!</v>
      </c>
    </row>
    <row r="851" spans="2:13" ht="15.5">
      <c r="B851" s="118" t="s">
        <v>456</v>
      </c>
      <c r="C851" s="388">
        <v>2016</v>
      </c>
      <c r="D851" s="394">
        <v>2017</v>
      </c>
      <c r="E851" s="394">
        <v>2018</v>
      </c>
      <c r="F851" s="394">
        <v>2019</v>
      </c>
      <c r="G851" s="394">
        <v>2020</v>
      </c>
      <c r="H851" s="394">
        <v>2021</v>
      </c>
      <c r="I851" s="394">
        <v>2022</v>
      </c>
      <c r="J851" s="394">
        <v>2023</v>
      </c>
      <c r="K851" s="394">
        <v>2024</v>
      </c>
      <c r="L851" s="394">
        <v>2025</v>
      </c>
      <c r="M851" s="394">
        <v>2026</v>
      </c>
    </row>
    <row r="852" spans="2:13">
      <c r="B852" s="364" t="str">
        <f>B844</f>
        <v>800G SR8_50 m_OSFP, QSFP-DD800</v>
      </c>
      <c r="C852" s="164"/>
      <c r="D852" s="173"/>
      <c r="E852" s="173"/>
      <c r="F852" s="173"/>
      <c r="G852" s="173"/>
      <c r="H852" s="173" t="str">
        <f t="shared" ref="H852:K852" si="258">IF(H844=0,"",(H860*10^6)/H844)</f>
        <v/>
      </c>
      <c r="I852" s="173" t="str">
        <f t="shared" si="258"/>
        <v/>
      </c>
      <c r="J852" s="173" t="str">
        <f t="shared" si="258"/>
        <v/>
      </c>
      <c r="K852" s="173" t="str">
        <f t="shared" si="258"/>
        <v/>
      </c>
      <c r="L852" s="173" t="str">
        <f t="shared" ref="L852:M854" si="259">IF(L844=0,"",(L860*10^6)/L844)</f>
        <v/>
      </c>
      <c r="M852" s="173" t="str">
        <f t="shared" si="259"/>
        <v/>
      </c>
    </row>
    <row r="853" spans="2:13">
      <c r="B853" s="290" t="str">
        <f>B845</f>
        <v>800G PSM8_500 m_OSFP, QSFP-DD800</v>
      </c>
      <c r="C853" s="166"/>
      <c r="D853" s="175"/>
      <c r="E853" s="175"/>
      <c r="F853" s="175"/>
      <c r="G853" s="175"/>
      <c r="H853" s="175" t="str">
        <f t="shared" ref="H853:K853" si="260">IF(H845=0,"",(H861*10^6)/H845)</f>
        <v/>
      </c>
      <c r="I853" s="175" t="str">
        <f t="shared" si="260"/>
        <v/>
      </c>
      <c r="J853" s="175" t="str">
        <f t="shared" si="260"/>
        <v/>
      </c>
      <c r="K853" s="175" t="str">
        <f t="shared" si="260"/>
        <v/>
      </c>
      <c r="L853" s="175" t="str">
        <f t="shared" si="259"/>
        <v/>
      </c>
      <c r="M853" s="175" t="str">
        <f t="shared" si="259"/>
        <v/>
      </c>
    </row>
    <row r="854" spans="2:13">
      <c r="B854" s="290" t="str">
        <f>B846</f>
        <v>2x(400G FR4)_2 km_OSFP, QSFP-DD800</v>
      </c>
      <c r="C854" s="166"/>
      <c r="D854" s="175"/>
      <c r="E854" s="175"/>
      <c r="F854" s="175"/>
      <c r="G854" s="175"/>
      <c r="H854" s="175" t="str">
        <f t="shared" ref="H854:K854" si="261">IF(H846=0,"",(H862*10^6)/H846)</f>
        <v/>
      </c>
      <c r="I854" s="175" t="str">
        <f t="shared" si="261"/>
        <v/>
      </c>
      <c r="J854" s="175" t="str">
        <f t="shared" si="261"/>
        <v/>
      </c>
      <c r="K854" s="175" t="str">
        <f t="shared" si="261"/>
        <v/>
      </c>
      <c r="L854" s="175" t="str">
        <f t="shared" si="259"/>
        <v/>
      </c>
      <c r="M854" s="175" t="str">
        <f t="shared" si="259"/>
        <v/>
      </c>
    </row>
    <row r="855" spans="2:13">
      <c r="B855" s="290"/>
      <c r="C855" s="166"/>
      <c r="D855" s="175"/>
      <c r="E855" s="175"/>
      <c r="F855" s="175"/>
      <c r="G855" s="175"/>
      <c r="H855" s="175"/>
      <c r="I855" s="175"/>
      <c r="J855" s="175"/>
      <c r="K855" s="175"/>
      <c r="L855" s="175"/>
      <c r="M855" s="175"/>
    </row>
    <row r="856" spans="2:13">
      <c r="B856" s="275" t="str">
        <f>$B$797</f>
        <v>Total</v>
      </c>
      <c r="C856" s="169"/>
      <c r="D856" s="113" t="str">
        <f>IF(D848=0,"",(D864*10^6)/D848)</f>
        <v/>
      </c>
      <c r="E856" s="113" t="str">
        <f>IF(E848=0,"",(E864*10^6)/E848)</f>
        <v/>
      </c>
      <c r="F856" s="113" t="str">
        <f t="shared" ref="F856:K856" si="262">IF(F848=0,"",(F864*10^6)/F848)</f>
        <v/>
      </c>
      <c r="G856" s="113" t="str">
        <f t="shared" si="262"/>
        <v/>
      </c>
      <c r="H856" s="113" t="str">
        <f>IF(H848=0,"",(H864*10^6)/H848)</f>
        <v/>
      </c>
      <c r="I856" s="113" t="str">
        <f t="shared" si="262"/>
        <v/>
      </c>
      <c r="J856" s="113" t="str">
        <f t="shared" si="262"/>
        <v/>
      </c>
      <c r="K856" s="113" t="str">
        <f t="shared" si="262"/>
        <v/>
      </c>
      <c r="L856" s="113" t="str">
        <f>IF(L848=0,"",(L864*10^6)/L848)</f>
        <v/>
      </c>
      <c r="M856" s="113" t="str">
        <f>IF(M848=0,"",(M864*10^6)/M848)</f>
        <v/>
      </c>
    </row>
    <row r="857" spans="2:13">
      <c r="C857" s="274"/>
      <c r="D857" s="274"/>
      <c r="E857" s="274"/>
      <c r="F857" s="331" t="s">
        <v>91</v>
      </c>
      <c r="G857" s="274"/>
      <c r="H857" s="274"/>
      <c r="I857" s="274" t="e">
        <f t="shared" ref="I857" si="263">I856/H856-1</f>
        <v>#VALUE!</v>
      </c>
      <c r="J857" s="274" t="e">
        <f t="shared" ref="J857" si="264">J856/I856-1</f>
        <v>#VALUE!</v>
      </c>
      <c r="K857" s="274" t="e">
        <f t="shared" ref="K857" si="265">K856/J856-1</f>
        <v>#VALUE!</v>
      </c>
      <c r="L857" s="274" t="e">
        <f t="shared" ref="L857:M857" si="266">L856/K856-1</f>
        <v>#VALUE!</v>
      </c>
      <c r="M857" s="274" t="e">
        <f t="shared" si="266"/>
        <v>#VALUE!</v>
      </c>
    </row>
    <row r="859" spans="2:13" ht="15.5">
      <c r="B859" s="118" t="s">
        <v>457</v>
      </c>
      <c r="C859" s="388">
        <v>2016</v>
      </c>
      <c r="D859" s="394">
        <v>2017</v>
      </c>
      <c r="E859" s="394">
        <v>2018</v>
      </c>
      <c r="F859" s="394">
        <v>2019</v>
      </c>
      <c r="G859" s="394">
        <v>2020</v>
      </c>
      <c r="H859" s="394">
        <v>2021</v>
      </c>
      <c r="I859" s="394">
        <v>2022</v>
      </c>
      <c r="J859" s="394">
        <v>2023</v>
      </c>
      <c r="K859" s="394">
        <v>2024</v>
      </c>
      <c r="L859" s="394">
        <v>2025</v>
      </c>
      <c r="M859" s="394">
        <v>2026</v>
      </c>
    </row>
    <row r="860" spans="2:13">
      <c r="B860" s="364" t="str">
        <f>B844</f>
        <v>800G SR8_50 m_OSFP, QSFP-DD800</v>
      </c>
      <c r="C860" s="164"/>
      <c r="D860" s="173"/>
      <c r="E860" s="173"/>
      <c r="F860" s="173"/>
      <c r="G860" s="173">
        <f>'Products x speed'!I216</f>
        <v>0</v>
      </c>
      <c r="H860" s="173">
        <f>'Products x speed'!J216</f>
        <v>0</v>
      </c>
      <c r="I860" s="173">
        <f>'Products x speed'!K216</f>
        <v>0</v>
      </c>
      <c r="J860" s="173">
        <f>'Products x speed'!L216</f>
        <v>0</v>
      </c>
      <c r="K860" s="173">
        <f>'Products x speed'!M216</f>
        <v>0</v>
      </c>
      <c r="L860" s="173">
        <f>'Products x speed'!N216</f>
        <v>0</v>
      </c>
      <c r="M860" s="173">
        <f>'Products x speed'!O216</f>
        <v>0</v>
      </c>
    </row>
    <row r="861" spans="2:13">
      <c r="B861" s="290" t="str">
        <f>B845</f>
        <v>800G PSM8_500 m_OSFP, QSFP-DD800</v>
      </c>
      <c r="C861" s="166"/>
      <c r="D861" s="175"/>
      <c r="E861" s="175"/>
      <c r="F861" s="175"/>
      <c r="G861" s="175">
        <f>'Products x speed'!I217</f>
        <v>0</v>
      </c>
      <c r="H861" s="175">
        <f>'Products x speed'!J217</f>
        <v>0</v>
      </c>
      <c r="I861" s="175">
        <f>'Products x speed'!K217</f>
        <v>0</v>
      </c>
      <c r="J861" s="175">
        <f>'Products x speed'!L217</f>
        <v>0</v>
      </c>
      <c r="K861" s="175">
        <f>'Products x speed'!M217</f>
        <v>0</v>
      </c>
      <c r="L861" s="175">
        <f>'Products x speed'!N217</f>
        <v>0</v>
      </c>
      <c r="M861" s="175">
        <f>'Products x speed'!O217</f>
        <v>0</v>
      </c>
    </row>
    <row r="862" spans="2:13">
      <c r="B862" s="290" t="str">
        <f>B846</f>
        <v>2x(400G FR4)_2 km_OSFP, QSFP-DD800</v>
      </c>
      <c r="C862" s="166"/>
      <c r="D862" s="303"/>
      <c r="E862" s="175"/>
      <c r="F862" s="175"/>
      <c r="G862" s="175">
        <f>'Products x speed'!I218</f>
        <v>0</v>
      </c>
      <c r="H862" s="175">
        <f>'Products x speed'!J218</f>
        <v>0</v>
      </c>
      <c r="I862" s="175">
        <f>'Products x speed'!K218</f>
        <v>0</v>
      </c>
      <c r="J862" s="175">
        <f>'Products x speed'!L218</f>
        <v>0</v>
      </c>
      <c r="K862" s="175">
        <f>'Products x speed'!M218</f>
        <v>0</v>
      </c>
      <c r="L862" s="175">
        <f>'Products x speed'!N218</f>
        <v>0</v>
      </c>
      <c r="M862" s="175">
        <f>'Products x speed'!O218</f>
        <v>0</v>
      </c>
    </row>
    <row r="863" spans="2:13">
      <c r="B863" s="290"/>
      <c r="C863" s="166"/>
      <c r="D863" s="303"/>
      <c r="E863" s="175"/>
      <c r="F863" s="175"/>
      <c r="G863" s="175"/>
      <c r="H863" s="175"/>
      <c r="I863" s="175"/>
      <c r="J863" s="175"/>
      <c r="K863" s="175"/>
      <c r="L863" s="175"/>
      <c r="M863" s="175"/>
    </row>
    <row r="864" spans="2:13">
      <c r="B864" s="275" t="str">
        <f>$B$797</f>
        <v>Total</v>
      </c>
      <c r="C864" s="169"/>
      <c r="D864" s="464">
        <f t="shared" ref="D864" si="267">SUM(D860:D863)</f>
        <v>0</v>
      </c>
      <c r="E864" s="113">
        <f t="shared" ref="E864" si="268">SUM(E860:E863)</f>
        <v>0</v>
      </c>
      <c r="F864" s="113">
        <f t="shared" ref="F864" si="269">SUM(F860:F863)</f>
        <v>0</v>
      </c>
      <c r="G864" s="113">
        <f t="shared" ref="G864" si="270">SUM(G860:G863)</f>
        <v>0</v>
      </c>
      <c r="H864" s="113">
        <f>SUM(H860:H863)</f>
        <v>0</v>
      </c>
      <c r="I864" s="113">
        <f t="shared" ref="I864" si="271">SUM(I860:I863)</f>
        <v>0</v>
      </c>
      <c r="J864" s="113">
        <f t="shared" ref="J864" si="272">SUM(J860:J863)</f>
        <v>0</v>
      </c>
      <c r="K864" s="113">
        <f t="shared" ref="K864" si="273">SUM(K860:K863)</f>
        <v>0</v>
      </c>
      <c r="L864" s="113">
        <f t="shared" ref="L864:M864" si="274">SUM(L860:L863)</f>
        <v>0</v>
      </c>
      <c r="M864" s="113">
        <f t="shared" si="274"/>
        <v>0</v>
      </c>
    </row>
    <row r="865" spans="2:13">
      <c r="C865" s="274"/>
      <c r="D865" s="274"/>
      <c r="E865" s="274"/>
      <c r="F865" s="331" t="s">
        <v>91</v>
      </c>
      <c r="G865" s="274"/>
      <c r="H865" s="274"/>
      <c r="I865" s="274" t="e">
        <f t="shared" ref="I865" si="275">I864/H864-1</f>
        <v>#DIV/0!</v>
      </c>
      <c r="J865" s="274" t="e">
        <f t="shared" ref="J865" si="276">J864/I864-1</f>
        <v>#DIV/0!</v>
      </c>
      <c r="K865" s="274" t="e">
        <f t="shared" ref="K865" si="277">K864/J864-1</f>
        <v>#DIV/0!</v>
      </c>
      <c r="L865" s="274" t="e">
        <f t="shared" ref="L865:M865" si="278">L864/K864-1</f>
        <v>#DIV/0!</v>
      </c>
      <c r="M865" s="274" t="e">
        <f t="shared" si="278"/>
        <v>#DIV/0!</v>
      </c>
    </row>
    <row r="867" spans="2:13" ht="21">
      <c r="B867" s="153" t="s">
        <v>416</v>
      </c>
      <c r="C867" s="556">
        <v>2016</v>
      </c>
      <c r="D867" s="556">
        <v>2017</v>
      </c>
      <c r="E867" s="556">
        <v>2018</v>
      </c>
      <c r="F867" s="556">
        <v>2019</v>
      </c>
      <c r="G867" s="556">
        <v>2020</v>
      </c>
      <c r="H867" s="556">
        <v>2021</v>
      </c>
      <c r="I867" s="556">
        <v>2022</v>
      </c>
      <c r="J867" s="556">
        <v>2023</v>
      </c>
      <c r="K867" s="556">
        <v>2024</v>
      </c>
      <c r="L867" s="556">
        <v>2025</v>
      </c>
      <c r="M867" s="556">
        <v>2026</v>
      </c>
    </row>
    <row r="868" spans="2:13">
      <c r="B868" s="273" t="s">
        <v>71</v>
      </c>
      <c r="C868" s="605">
        <f>SUM('Products x speed'!E14:E16)</f>
        <v>11471385.93</v>
      </c>
      <c r="D868" s="605">
        <f>SUM('Products x speed'!F14:F16)</f>
        <v>12691744</v>
      </c>
      <c r="E868" s="605">
        <f>SUM('Products x speed'!G14:G16)</f>
        <v>0</v>
      </c>
      <c r="F868" s="605">
        <f>SUM('Products x speed'!H14:H16)</f>
        <v>0</v>
      </c>
      <c r="G868" s="605">
        <f>SUM('Products x speed'!I14:I16)</f>
        <v>0</v>
      </c>
      <c r="H868" s="605">
        <f>SUM('Products x speed'!J14:J16)</f>
        <v>0</v>
      </c>
      <c r="I868" s="605">
        <f>SUM('Products x speed'!K14:K16)</f>
        <v>0</v>
      </c>
      <c r="J868" s="605">
        <f>SUM('Products x speed'!L14:L16)</f>
        <v>0</v>
      </c>
      <c r="K868" s="605">
        <f>SUM('Products x speed'!M14:M16)</f>
        <v>0</v>
      </c>
      <c r="L868" s="605">
        <f>SUM('Products x speed'!N14:N16)</f>
        <v>0</v>
      </c>
      <c r="M868" s="605">
        <f>SUM('Products x speed'!O14:O16)</f>
        <v>0</v>
      </c>
    </row>
    <row r="869" spans="2:13">
      <c r="B869" s="273" t="s">
        <v>392</v>
      </c>
      <c r="C869" s="296">
        <f>SUM('Products x speed'!E17:E18)</f>
        <v>6522271</v>
      </c>
      <c r="D869" s="296">
        <f>SUM('Products x speed'!F17:F18)</f>
        <v>6815238</v>
      </c>
      <c r="E869" s="296">
        <f>SUM('Products x speed'!G17:G18)</f>
        <v>0</v>
      </c>
      <c r="F869" s="296">
        <f>SUM('Products x speed'!H17:H18)</f>
        <v>0</v>
      </c>
      <c r="G869" s="296">
        <f>SUM('Products x speed'!I17:I18)</f>
        <v>0</v>
      </c>
      <c r="H869" s="296">
        <f>SUM('Products x speed'!J17:J18)</f>
        <v>0</v>
      </c>
      <c r="I869" s="296">
        <f>SUM('Products x speed'!K17:K18)</f>
        <v>0</v>
      </c>
      <c r="J869" s="296">
        <f>SUM('Products x speed'!L17:L18)</f>
        <v>0</v>
      </c>
      <c r="K869" s="296">
        <f>SUM('Products x speed'!M17:M18)</f>
        <v>0</v>
      </c>
      <c r="L869" s="296">
        <f>SUM('Products x speed'!N17:N18)</f>
        <v>0</v>
      </c>
      <c r="M869" s="296">
        <f>SUM('Products x speed'!O17:O18)</f>
        <v>0</v>
      </c>
    </row>
    <row r="870" spans="2:13">
      <c r="B870" s="273" t="s">
        <v>417</v>
      </c>
      <c r="C870" s="296">
        <f>SUM('Products x speed'!E19:E22)</f>
        <v>523162</v>
      </c>
      <c r="D870" s="296">
        <f>SUM('Products x speed'!F19:F22)</f>
        <v>438040.1</v>
      </c>
      <c r="E870" s="296">
        <f>SUM('Products x speed'!G19:G22)</f>
        <v>0</v>
      </c>
      <c r="F870" s="296">
        <f>SUM('Products x speed'!H19:H22)</f>
        <v>0</v>
      </c>
      <c r="G870" s="296">
        <f>SUM('Products x speed'!I19:I22)</f>
        <v>0</v>
      </c>
      <c r="H870" s="296">
        <f>SUM('Products x speed'!J19:J22)</f>
        <v>0</v>
      </c>
      <c r="I870" s="296">
        <f>SUM('Products x speed'!K19:K22)</f>
        <v>0</v>
      </c>
      <c r="J870" s="296">
        <f>SUM('Products x speed'!L19:L22)</f>
        <v>0</v>
      </c>
      <c r="K870" s="296">
        <f>SUM('Products x speed'!M19:M22)</f>
        <v>0</v>
      </c>
      <c r="L870" s="296">
        <f>SUM('Products x speed'!N19:N22)</f>
        <v>0</v>
      </c>
      <c r="M870" s="296">
        <f>SUM('Products x speed'!O19:O22)</f>
        <v>0</v>
      </c>
    </row>
    <row r="871" spans="2:13">
      <c r="B871" s="273" t="s">
        <v>419</v>
      </c>
      <c r="C871" s="296">
        <f>SUM('Products x speed'!E19:E20)</f>
        <v>410538.25</v>
      </c>
      <c r="D871" s="296">
        <f>SUM('Products x speed'!F19:F20)</f>
        <v>365552.6</v>
      </c>
      <c r="E871" s="296">
        <f>SUM('Products x speed'!G19:G20)</f>
        <v>0</v>
      </c>
      <c r="F871" s="296">
        <f>SUM('Products x speed'!H19:H20)</f>
        <v>0</v>
      </c>
      <c r="G871" s="296">
        <f>SUM('Products x speed'!I19:I20)</f>
        <v>0</v>
      </c>
      <c r="H871" s="296">
        <f>SUM('Products x speed'!J19:J20)</f>
        <v>0</v>
      </c>
      <c r="I871" s="296">
        <f>SUM('Products x speed'!K19:K20)</f>
        <v>0</v>
      </c>
      <c r="J871" s="296">
        <f>SUM('Products x speed'!L19:L20)</f>
        <v>0</v>
      </c>
      <c r="K871" s="296">
        <f>SUM('Products x speed'!M19:M20)</f>
        <v>0</v>
      </c>
      <c r="L871" s="296">
        <f>SUM('Products x speed'!N19:N20)</f>
        <v>0</v>
      </c>
      <c r="M871" s="296">
        <f>SUM('Products x speed'!O19:O20)</f>
        <v>0</v>
      </c>
    </row>
    <row r="872" spans="2:13">
      <c r="B872" s="273" t="s">
        <v>420</v>
      </c>
      <c r="C872" s="296">
        <f>SUM('Products x speed'!E21:E22)</f>
        <v>112623.75</v>
      </c>
      <c r="D872" s="296">
        <f>SUM('Products x speed'!F21:F22)</f>
        <v>72487.5</v>
      </c>
      <c r="E872" s="296">
        <f>SUM('Products x speed'!G21:G22)</f>
        <v>0</v>
      </c>
      <c r="F872" s="296">
        <f>SUM('Products x speed'!H21:H22)</f>
        <v>0</v>
      </c>
      <c r="G872" s="296">
        <f>SUM('Products x speed'!I21:I22)</f>
        <v>0</v>
      </c>
      <c r="H872" s="296">
        <f>SUM('Products x speed'!J21:J22)</f>
        <v>0</v>
      </c>
      <c r="I872" s="296">
        <f>SUM('Products x speed'!K21:K22)</f>
        <v>0</v>
      </c>
      <c r="J872" s="296">
        <f>SUM('Products x speed'!L21:L22)</f>
        <v>0</v>
      </c>
      <c r="K872" s="296">
        <f>SUM('Products x speed'!M21:M22)</f>
        <v>0</v>
      </c>
      <c r="L872" s="296">
        <f>SUM('Products x speed'!N21:N22)</f>
        <v>0</v>
      </c>
      <c r="M872" s="296">
        <f>SUM('Products x speed'!O21:O22)</f>
        <v>0</v>
      </c>
    </row>
    <row r="874" spans="2:13" ht="21">
      <c r="B874" s="153" t="s">
        <v>421</v>
      </c>
    </row>
    <row r="875" spans="2:13">
      <c r="B875" s="273" t="s">
        <v>159</v>
      </c>
      <c r="C875" s="533">
        <f t="shared" ref="C875:M875" si="279">SUM(C553:C557)</f>
        <v>299241</v>
      </c>
      <c r="D875" s="533">
        <f t="shared" si="279"/>
        <v>631974</v>
      </c>
      <c r="E875" s="533">
        <f t="shared" si="279"/>
        <v>0</v>
      </c>
      <c r="F875" s="533">
        <f t="shared" si="279"/>
        <v>0</v>
      </c>
      <c r="G875" s="533">
        <f t="shared" si="279"/>
        <v>0</v>
      </c>
      <c r="H875" s="533">
        <f t="shared" si="279"/>
        <v>0</v>
      </c>
      <c r="I875" s="533">
        <f t="shared" si="279"/>
        <v>0</v>
      </c>
      <c r="J875" s="533">
        <f t="shared" si="279"/>
        <v>0</v>
      </c>
      <c r="K875" s="533">
        <f t="shared" si="279"/>
        <v>0</v>
      </c>
      <c r="L875" s="533">
        <f t="shared" si="279"/>
        <v>0</v>
      </c>
      <c r="M875" s="533">
        <f t="shared" si="279"/>
        <v>0</v>
      </c>
    </row>
    <row r="876" spans="2:13">
      <c r="B876" s="273" t="s">
        <v>418</v>
      </c>
      <c r="C876" s="533">
        <f>SUM(C638:C642)</f>
        <v>292622</v>
      </c>
      <c r="D876" s="533">
        <f t="shared" ref="D876:M876" si="280">SUM(D638:D641)</f>
        <v>552903</v>
      </c>
      <c r="E876" s="533">
        <f t="shared" si="280"/>
        <v>0</v>
      </c>
      <c r="F876" s="533">
        <f t="shared" si="280"/>
        <v>0</v>
      </c>
      <c r="G876" s="533">
        <f t="shared" si="280"/>
        <v>0</v>
      </c>
      <c r="H876" s="533">
        <f t="shared" si="280"/>
        <v>0</v>
      </c>
      <c r="I876" s="533">
        <f t="shared" si="280"/>
        <v>0</v>
      </c>
      <c r="J876" s="533">
        <f t="shared" si="280"/>
        <v>0</v>
      </c>
      <c r="K876" s="533">
        <f t="shared" si="280"/>
        <v>0</v>
      </c>
      <c r="L876" s="533">
        <f t="shared" si="280"/>
        <v>0</v>
      </c>
      <c r="M876" s="533">
        <f t="shared" si="280"/>
        <v>0</v>
      </c>
    </row>
    <row r="877" spans="2:13">
      <c r="B877" s="273" t="s">
        <v>424</v>
      </c>
      <c r="C877" s="533">
        <f>C878+C879</f>
        <v>0</v>
      </c>
      <c r="D877" s="533">
        <f t="shared" ref="D877:L877" si="281">D878+D879</f>
        <v>0</v>
      </c>
      <c r="E877" s="533">
        <f t="shared" si="281"/>
        <v>0</v>
      </c>
      <c r="F877" s="533">
        <f t="shared" si="281"/>
        <v>0</v>
      </c>
      <c r="G877" s="533">
        <f t="shared" si="281"/>
        <v>0</v>
      </c>
      <c r="H877" s="533">
        <f t="shared" si="281"/>
        <v>0</v>
      </c>
      <c r="I877" s="533">
        <f t="shared" si="281"/>
        <v>0</v>
      </c>
      <c r="J877" s="533">
        <f t="shared" si="281"/>
        <v>0</v>
      </c>
      <c r="K877" s="533">
        <f t="shared" si="281"/>
        <v>0</v>
      </c>
      <c r="L877" s="533">
        <f t="shared" si="281"/>
        <v>0</v>
      </c>
      <c r="M877" s="533">
        <f t="shared" ref="M877" si="282">M878+M879</f>
        <v>0</v>
      </c>
    </row>
    <row r="878" spans="2:13">
      <c r="B878" s="273" t="s">
        <v>423</v>
      </c>
      <c r="C878" s="533">
        <f t="shared" ref="C878:L878" si="283">C645</f>
        <v>0</v>
      </c>
      <c r="D878" s="533">
        <f t="shared" si="283"/>
        <v>0</v>
      </c>
      <c r="E878" s="533">
        <f t="shared" si="283"/>
        <v>0</v>
      </c>
      <c r="F878" s="533">
        <f t="shared" si="283"/>
        <v>0</v>
      </c>
      <c r="G878" s="533">
        <f t="shared" si="283"/>
        <v>0</v>
      </c>
      <c r="H878" s="533">
        <f t="shared" si="283"/>
        <v>0</v>
      </c>
      <c r="I878" s="533">
        <f t="shared" si="283"/>
        <v>0</v>
      </c>
      <c r="J878" s="533">
        <f t="shared" si="283"/>
        <v>0</v>
      </c>
      <c r="K878" s="533">
        <f t="shared" si="283"/>
        <v>0</v>
      </c>
      <c r="L878" s="533">
        <f t="shared" si="283"/>
        <v>0</v>
      </c>
      <c r="M878" s="533">
        <f t="shared" ref="M878" si="284">M645</f>
        <v>0</v>
      </c>
    </row>
    <row r="879" spans="2:13">
      <c r="B879" s="273" t="s">
        <v>422</v>
      </c>
    </row>
    <row r="882" spans="8:13">
      <c r="H882" s="634"/>
      <c r="I882" s="634"/>
      <c r="J882" s="634"/>
      <c r="K882" s="634"/>
      <c r="L882" s="634"/>
      <c r="M882" s="634"/>
    </row>
    <row r="883" spans="8:13">
      <c r="H883" s="634"/>
      <c r="I883" s="634"/>
      <c r="J883" s="634"/>
      <c r="K883" s="634"/>
      <c r="L883" s="634"/>
      <c r="M883" s="634"/>
    </row>
    <row r="884" spans="8:13">
      <c r="H884" s="634"/>
      <c r="I884" s="634"/>
      <c r="J884" s="634"/>
      <c r="K884" s="634"/>
      <c r="L884" s="634"/>
      <c r="M884" s="634"/>
    </row>
  </sheetData>
  <conditionalFormatting sqref="T211">
    <cfRule type="expression" dxfId="2" priority="24">
      <formula>ROUND(T210-T211,-2)&lt;&gt;0</formula>
    </cfRule>
  </conditionalFormatting>
  <conditionalFormatting sqref="T140">
    <cfRule type="expression" dxfId="1" priority="23">
      <formula>ROUND(T139-T140,-2)&lt;&gt;0</formula>
    </cfRule>
  </conditionalFormatting>
  <conditionalFormatting sqref="T121">
    <cfRule type="expression" dxfId="0" priority="22">
      <formula>ROUND(T120-T121,-2)&lt;&gt;0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P33"/>
  <sheetViews>
    <sheetView showGridLines="0" zoomScale="70" zoomScaleNormal="70" zoomScalePageLayoutView="70" workbookViewId="0">
      <selection activeCell="R30" sqref="R30"/>
    </sheetView>
  </sheetViews>
  <sheetFormatPr defaultColWidth="8.81640625" defaultRowHeight="13"/>
  <cols>
    <col min="1" max="1" width="4.453125" style="30" customWidth="1"/>
    <col min="2" max="2" width="16.1796875" style="30" customWidth="1"/>
    <col min="3" max="3" width="11.81640625" style="30" customWidth="1"/>
    <col min="4" max="4" width="11.453125" style="30" customWidth="1"/>
    <col min="5" max="5" width="14.36328125" style="30" customWidth="1"/>
    <col min="6" max="13" width="13.453125" style="30" customWidth="1"/>
    <col min="14" max="14" width="13.6328125" style="30" customWidth="1"/>
    <col min="15" max="15" width="12.08984375" style="30" customWidth="1"/>
    <col min="16" max="16384" width="8.81640625" style="30"/>
  </cols>
  <sheetData>
    <row r="2" spans="2:2" ht="18">
      <c r="B2" s="6" t="str">
        <f>Introduction!$B$2</f>
        <v>LightCounting Ethernet Transceivers Forecast</v>
      </c>
    </row>
    <row r="3" spans="2:2" ht="15.5">
      <c r="B3" s="37" t="str">
        <f>Introduction!$B$3</f>
        <v xml:space="preserve">Sample template for forecast published 31 March 2021 </v>
      </c>
    </row>
    <row r="4" spans="2:2" ht="18">
      <c r="B4" s="6" t="s">
        <v>28</v>
      </c>
    </row>
    <row r="25" spans="3:16">
      <c r="E25" s="31"/>
    </row>
    <row r="26" spans="3:16" ht="15.75" customHeight="1">
      <c r="E26" s="181"/>
    </row>
    <row r="27" spans="3:16" ht="26">
      <c r="E27" s="674" t="s">
        <v>13</v>
      </c>
      <c r="F27" s="675"/>
      <c r="G27" s="675"/>
      <c r="H27" s="676"/>
      <c r="I27" s="572" t="s">
        <v>390</v>
      </c>
    </row>
    <row r="28" spans="3:16" ht="21.75" customHeight="1">
      <c r="E28" s="671" t="s">
        <v>286</v>
      </c>
      <c r="F28" s="672"/>
      <c r="G28" s="672"/>
      <c r="H28" s="673"/>
      <c r="I28" s="572" t="s">
        <v>391</v>
      </c>
    </row>
    <row r="30" spans="3:16" ht="18.5">
      <c r="C30" s="35"/>
      <c r="D30" s="33"/>
      <c r="E30" s="33">
        <v>2016</v>
      </c>
      <c r="F30" s="33">
        <v>2017</v>
      </c>
      <c r="G30" s="33">
        <v>2018</v>
      </c>
      <c r="H30" s="33">
        <v>2019</v>
      </c>
      <c r="I30" s="33">
        <v>2020</v>
      </c>
      <c r="J30" s="33">
        <v>2021</v>
      </c>
      <c r="K30" s="33">
        <v>2022</v>
      </c>
      <c r="L30" s="33">
        <v>2023</v>
      </c>
      <c r="M30" s="33">
        <v>2024</v>
      </c>
      <c r="N30" s="33">
        <v>2025</v>
      </c>
      <c r="O30" s="33">
        <v>2026</v>
      </c>
    </row>
    <row r="31" spans="3:16" ht="18.5">
      <c r="C31" s="32"/>
      <c r="D31" s="34" t="s">
        <v>18</v>
      </c>
      <c r="E31" s="65">
        <f ca="1">INDEX((INDIRECT($P31)),MATCH($E$28,Telecom!$P$9:$P$70,0),MATCH(E$30,$E$30:$O$30,0)+3)</f>
        <v>11231936.93</v>
      </c>
      <c r="F31" s="65">
        <f ca="1">INDEX((INDIRECT($P31)),MATCH($E$28,Telecom!$P$9:$P$70,0),MATCH(F$30,$E$30:$O$30,0)+3)</f>
        <v>12500000</v>
      </c>
      <c r="G31" s="65">
        <f ca="1">INDEX((INDIRECT($P31)),MATCH($E$28,Telecom!$P$9:$P$70,0),MATCH(G$30,$E$30:$O$30,0)+3)</f>
        <v>0</v>
      </c>
      <c r="H31" s="65">
        <f ca="1">INDEX((INDIRECT($P31)),MATCH($E$28,Telecom!$P$9:$P$70,0),MATCH(H$30,$E$30:$O$30,0)+3)</f>
        <v>0</v>
      </c>
      <c r="I31" s="65">
        <f ca="1">INDEX((INDIRECT($P31)),MATCH($E$28,Telecom!$P$9:$P$70,0),MATCH(I$30,$E$30:$O$30,0)+3)</f>
        <v>0</v>
      </c>
      <c r="J31" s="65">
        <f ca="1">INDEX((INDIRECT($P31)),MATCH($E$28,Telecom!$P$9:$P$70,0),MATCH(J$30,$E$30:$O$30,0)+3)</f>
        <v>0</v>
      </c>
      <c r="K31" s="65">
        <f ca="1">INDEX((INDIRECT($P31)),MATCH($E$28,Telecom!$P$9:$P$70,0),MATCH(K$30,$E$30:$O$30,0)+3)</f>
        <v>0</v>
      </c>
      <c r="L31" s="65">
        <f ca="1">INDEX((INDIRECT($P31)),MATCH($E$28,Telecom!$P$9:$P$70,0),MATCH(L$30,$E$30:$O$30,0)+3)</f>
        <v>0</v>
      </c>
      <c r="M31" s="65">
        <f ca="1">INDEX((INDIRECT($P31)),MATCH($E$28,Telecom!$P$9:$P$70,0),MATCH(M$30,$E$30:$O$30,0)+3)</f>
        <v>0</v>
      </c>
      <c r="N31" s="65">
        <f ca="1">INDEX((INDIRECT($P31)),MATCH($E$28,Telecom!$P$9:$P$70,0),MATCH(N$30,$E$30:$O$30,0)+3)</f>
        <v>0</v>
      </c>
      <c r="O31" s="65">
        <f ca="1">INDEX((INDIRECT($P31)),MATCH($E$28,Telecom!$P$9:$P$70,0),MATCH(O$30,$E$30:$O$30,0)+3)</f>
        <v>0</v>
      </c>
      <c r="P31" s="30" t="str">
        <f>IF(E27="Total","Volume",IF(E27="Telecom","VolTEL",IF(E27="Cloud","VolDCM","VolDCE")))</f>
        <v>Volume</v>
      </c>
    </row>
    <row r="32" spans="3:16" ht="18.5">
      <c r="C32" s="32"/>
      <c r="D32" s="34" t="s">
        <v>30</v>
      </c>
      <c r="E32" s="75">
        <f t="shared" ref="E32" ca="1" si="0">IF(E31=0,"",E33*10^6/E31)</f>
        <v>18.016278339273537</v>
      </c>
      <c r="F32" s="75">
        <f t="shared" ref="F32:O32" ca="1" si="1">IF(F31=0,"",F33*10^6/F31)</f>
        <v>15.097691372748406</v>
      </c>
      <c r="G32" s="75" t="str">
        <f t="shared" ca="1" si="1"/>
        <v/>
      </c>
      <c r="H32" s="75" t="str">
        <f t="shared" ca="1" si="1"/>
        <v/>
      </c>
      <c r="I32" s="75" t="str">
        <f t="shared" ca="1" si="1"/>
        <v/>
      </c>
      <c r="J32" s="75" t="str">
        <f t="shared" ca="1" si="1"/>
        <v/>
      </c>
      <c r="K32" s="75" t="str">
        <f t="shared" ca="1" si="1"/>
        <v/>
      </c>
      <c r="L32" s="75" t="str">
        <f t="shared" ca="1" si="1"/>
        <v/>
      </c>
      <c r="M32" s="75" t="str">
        <f t="shared" ca="1" si="1"/>
        <v/>
      </c>
      <c r="N32" s="75" t="str">
        <f t="shared" ca="1" si="1"/>
        <v/>
      </c>
      <c r="O32" s="75" t="str">
        <f t="shared" ca="1" si="1"/>
        <v/>
      </c>
    </row>
    <row r="33" spans="3:16" ht="18.5">
      <c r="C33" s="32"/>
      <c r="D33" s="34" t="s">
        <v>29</v>
      </c>
      <c r="E33" s="75">
        <f ca="1">IF(E31=0,"",INDEX((INDIRECT($P33)),MATCH($E$28,Telecom!$P$9:$P$70,0),MATCH(E$30,$E$30:$O$30,0)+3))</f>
        <v>202.35770202004551</v>
      </c>
      <c r="F33" s="75">
        <f ca="1">IF(F31=0,"",INDEX((INDIRECT($P33)),MATCH($E$28,Telecom!$P$9:$P$70,0),MATCH(F$30,$E$30:$O$30,0)+3))</f>
        <v>188.72114215935508</v>
      </c>
      <c r="G33" s="75" t="str">
        <f ca="1">IF(G31=0,"",INDEX((INDIRECT($P33)),MATCH($E$28,Telecom!$P$9:$P$70,0),MATCH(G$30,$E$30:$O$30,0)+3))</f>
        <v/>
      </c>
      <c r="H33" s="75" t="str">
        <f ca="1">IF(H31=0,"",INDEX((INDIRECT($P33)),MATCH($E$28,Telecom!$P$9:$P$70,0),MATCH(H$30,$E$30:$O$30,0)+3))</f>
        <v/>
      </c>
      <c r="I33" s="75" t="str">
        <f ca="1">IF(I31=0,"",INDEX((INDIRECT($P33)),MATCH($E$28,Telecom!$P$9:$P$70,0),MATCH(I$30,$E$30:$O$30,0)+3))</f>
        <v/>
      </c>
      <c r="J33" s="75" t="str">
        <f ca="1">IF(J31=0,"",INDEX((INDIRECT($P33)),MATCH($E$28,Telecom!$P$9:$P$70,0),MATCH(J$30,$E$30:$O$30,0)+3))</f>
        <v/>
      </c>
      <c r="K33" s="75" t="str">
        <f ca="1">IF(K31=0,"",INDEX((INDIRECT($P33)),MATCH($E$28,Telecom!$P$9:$P$70,0),MATCH(K$30,$E$30:$O$30,0)+3))</f>
        <v/>
      </c>
      <c r="L33" s="75" t="str">
        <f ca="1">IF(L31=0,"",INDEX((INDIRECT($P33)),MATCH($E$28,Telecom!$P$9:$P$70,0),MATCH(L$30,$E$30:$O$30,0)+3))</f>
        <v/>
      </c>
      <c r="M33" s="75" t="str">
        <f ca="1">IF(M31=0,"",INDEX((INDIRECT($P33)),MATCH($E$28,Telecom!$P$9:$P$70,0),MATCH(M$30,$E$30:$O$30,0)+3))</f>
        <v/>
      </c>
      <c r="N33" s="75" t="str">
        <f ca="1">IF(N31=0,"",INDEX((INDIRECT($P33)),MATCH($E$28,Telecom!$P$9:$P$70,0),MATCH(N$30,$E$30:$O$30,0)+3))</f>
        <v/>
      </c>
      <c r="O33" s="75" t="str">
        <f ca="1">IF(O31=0,"",INDEX((INDIRECT($P33)),MATCH($E$28,Telecom!$P$9:$P$70,0),MATCH(O$30,$E$30:$O$30,0)+3))</f>
        <v/>
      </c>
      <c r="P33" s="30" t="str">
        <f>IF(E27="Total","Revenue",IF(E27="Telecom","RevTEL",IF(E27="Cloud","RevDCM","RevDCE")))</f>
        <v>Revenue</v>
      </c>
    </row>
  </sheetData>
  <mergeCells count="2">
    <mergeCell ref="E28:H28"/>
    <mergeCell ref="E27:H27"/>
  </mergeCells>
  <dataValidations count="1">
    <dataValidation type="list" allowBlank="1" showInputMessage="1" showErrorMessage="1" sqref="E27:H27">
      <formula1>"Total, Telecom, Cloud, Enterprise"</formula1>
    </dataValidation>
  </dataValidations>
  <pageMargins left="0.7" right="0.7" top="0.75" bottom="0.75" header="0.3" footer="0.3"/>
  <pageSetup orientation="portrait"/>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'Products x speed'!#REF!</xm:f>
          </x14:formula1>
          <xm:sqref>E28:H28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1:R232"/>
  <sheetViews>
    <sheetView showGridLines="0" zoomScale="70" zoomScaleNormal="70" zoomScalePageLayoutView="70" workbookViewId="0">
      <pane xSplit="4" ySplit="6" topLeftCell="E192" activePane="bottomRight" state="frozen"/>
      <selection pane="topRight" activeCell="E1" sqref="E1"/>
      <selection pane="bottomLeft" activeCell="A7" sqref="A7"/>
      <selection pane="bottomRight" activeCell="G159" sqref="G159:O218"/>
    </sheetView>
  </sheetViews>
  <sheetFormatPr defaultColWidth="8.81640625" defaultRowHeight="13"/>
  <cols>
    <col min="1" max="1" width="4.453125" style="83" customWidth="1"/>
    <col min="2" max="2" width="17.81640625" style="83" customWidth="1"/>
    <col min="3" max="3" width="12.453125" style="83" customWidth="1"/>
    <col min="4" max="4" width="23.6328125" style="83" customWidth="1"/>
    <col min="5" max="6" width="13.453125" style="83" customWidth="1"/>
    <col min="7" max="7" width="13.6328125" style="83" customWidth="1"/>
    <col min="8" max="8" width="12.81640625" style="83" customWidth="1"/>
    <col min="9" max="9" width="14.1796875" style="83" customWidth="1"/>
    <col min="10" max="11" width="12" style="83" customWidth="1"/>
    <col min="12" max="15" width="12" style="293" customWidth="1"/>
    <col min="16" max="16" width="10.81640625" style="83" bestFit="1" customWidth="1"/>
    <col min="17" max="20" width="8.81640625" style="83"/>
    <col min="21" max="28" width="10.453125" style="83" customWidth="1"/>
    <col min="29" max="16384" width="8.81640625" style="83"/>
  </cols>
  <sheetData>
    <row r="1" spans="2:18">
      <c r="D1" s="273"/>
      <c r="K1" s="250"/>
      <c r="L1" s="455"/>
      <c r="M1" s="455"/>
      <c r="N1" s="455"/>
      <c r="O1" s="455"/>
    </row>
    <row r="2" spans="2:18" ht="23.5">
      <c r="B2" s="6" t="str">
        <f>Introduction!$B$2</f>
        <v>LightCounting Ethernet Transceivers Forecast</v>
      </c>
      <c r="C2" s="62"/>
      <c r="D2" s="62"/>
      <c r="H2" s="527"/>
      <c r="I2" s="250"/>
      <c r="J2" s="250"/>
      <c r="K2" s="250"/>
      <c r="Q2" s="12"/>
      <c r="R2" s="12"/>
    </row>
    <row r="3" spans="2:18" ht="15.5">
      <c r="B3" s="43" t="str">
        <f>Introduction!B3</f>
        <v xml:space="preserve">Sample template for forecast published 31 March 2021 </v>
      </c>
      <c r="F3" s="106"/>
      <c r="G3" s="106"/>
      <c r="H3" s="106"/>
      <c r="I3" s="250"/>
      <c r="J3" s="250"/>
      <c r="K3" s="250"/>
    </row>
    <row r="4" spans="2:18" ht="18.5">
      <c r="B4" s="6" t="s">
        <v>92</v>
      </c>
      <c r="C4" s="62"/>
      <c r="D4" s="62"/>
      <c r="E4" s="361"/>
      <c r="F4" s="212"/>
      <c r="G4" s="212"/>
      <c r="H4" s="212"/>
      <c r="I4" s="250"/>
      <c r="J4" s="250"/>
      <c r="K4" s="250"/>
    </row>
    <row r="5" spans="2:18" ht="14.5">
      <c r="B5" s="84"/>
      <c r="D5" s="273"/>
      <c r="E5" s="249"/>
      <c r="F5" s="249">
        <f>F179-Telecom!F161-Enterprise!F161-Cloud!F161</f>
        <v>0</v>
      </c>
      <c r="G5" s="249"/>
      <c r="H5" s="249"/>
      <c r="I5" s="249"/>
      <c r="J5" s="249"/>
      <c r="K5" s="249"/>
      <c r="L5" s="249"/>
      <c r="M5" s="249"/>
      <c r="N5" s="249"/>
      <c r="O5" s="249"/>
    </row>
    <row r="6" spans="2:18">
      <c r="B6" s="258" t="s">
        <v>33</v>
      </c>
      <c r="C6" s="259" t="s">
        <v>32</v>
      </c>
      <c r="D6" s="260" t="s">
        <v>34</v>
      </c>
      <c r="E6" s="161">
        <v>2016</v>
      </c>
      <c r="F6" s="161">
        <v>2017</v>
      </c>
      <c r="G6" s="161">
        <v>2018</v>
      </c>
      <c r="H6" s="161">
        <v>2019</v>
      </c>
      <c r="I6" s="161">
        <v>2020</v>
      </c>
      <c r="J6" s="161">
        <v>2021</v>
      </c>
      <c r="K6" s="161">
        <v>2022</v>
      </c>
      <c r="L6" s="456">
        <v>2023</v>
      </c>
      <c r="M6" s="456">
        <v>2024</v>
      </c>
      <c r="N6" s="456">
        <v>2025</v>
      </c>
      <c r="O6" s="456">
        <v>2026</v>
      </c>
    </row>
    <row r="7" spans="2:18" ht="21">
      <c r="B7" s="14" t="s">
        <v>136</v>
      </c>
      <c r="F7" s="13" t="s">
        <v>17</v>
      </c>
      <c r="H7" s="250"/>
      <c r="I7" s="250"/>
      <c r="J7" s="250"/>
      <c r="K7" s="250"/>
      <c r="L7" s="250"/>
      <c r="M7" s="250"/>
      <c r="N7" s="250"/>
      <c r="O7" s="250"/>
      <c r="P7" s="250"/>
    </row>
    <row r="8" spans="2:18">
      <c r="B8" s="86" t="s">
        <v>33</v>
      </c>
      <c r="C8" s="86" t="s">
        <v>32</v>
      </c>
      <c r="D8" s="86" t="s">
        <v>34</v>
      </c>
      <c r="E8" s="87">
        <v>2016</v>
      </c>
      <c r="F8" s="87">
        <v>2017</v>
      </c>
      <c r="G8" s="87">
        <v>2018</v>
      </c>
      <c r="H8" s="87">
        <v>2019</v>
      </c>
      <c r="I8" s="87">
        <v>2020</v>
      </c>
      <c r="J8" s="87">
        <v>2021</v>
      </c>
      <c r="K8" s="87">
        <v>2022</v>
      </c>
      <c r="L8" s="87">
        <v>2023</v>
      </c>
      <c r="M8" s="87">
        <v>2024</v>
      </c>
      <c r="N8" s="87">
        <v>2025</v>
      </c>
      <c r="O8" s="87">
        <v>2026</v>
      </c>
    </row>
    <row r="9" spans="2:18">
      <c r="B9" s="88" t="str">
        <f>Products!B36</f>
        <v>1G</v>
      </c>
      <c r="C9" s="89" t="str">
        <f>Products!C36</f>
        <v>500 m</v>
      </c>
      <c r="D9" s="90" t="str">
        <f>Products!D36</f>
        <v>SFP</v>
      </c>
      <c r="E9" s="99">
        <v>4496175.0999999996</v>
      </c>
      <c r="F9" s="99">
        <v>4278484</v>
      </c>
      <c r="G9" s="99"/>
      <c r="H9" s="99"/>
      <c r="I9" s="99"/>
      <c r="J9" s="99"/>
      <c r="K9" s="99"/>
      <c r="L9" s="192"/>
      <c r="M9" s="192"/>
      <c r="N9" s="192"/>
      <c r="O9" s="192"/>
    </row>
    <row r="10" spans="2:18">
      <c r="B10" s="96" t="str">
        <f>Products!B37</f>
        <v>1G</v>
      </c>
      <c r="C10" s="97" t="str">
        <f>Products!C37</f>
        <v>10 km</v>
      </c>
      <c r="D10" s="98" t="str">
        <f>Products!D37</f>
        <v>SFP</v>
      </c>
      <c r="E10" s="99">
        <v>8393495.8800000008</v>
      </c>
      <c r="F10" s="99">
        <v>6412151</v>
      </c>
      <c r="G10" s="99"/>
      <c r="H10" s="99"/>
      <c r="I10" s="99"/>
      <c r="J10" s="99"/>
      <c r="K10" s="99"/>
      <c r="L10" s="192"/>
      <c r="M10" s="192"/>
      <c r="N10" s="192"/>
      <c r="O10" s="192"/>
    </row>
    <row r="11" spans="2:18">
      <c r="B11" s="96" t="str">
        <f>Products!B38</f>
        <v>1G</v>
      </c>
      <c r="C11" s="97" t="str">
        <f>Products!C38</f>
        <v>40 km</v>
      </c>
      <c r="D11" s="98" t="str">
        <f>Products!D38</f>
        <v>SFP</v>
      </c>
      <c r="E11" s="99">
        <v>562563.625</v>
      </c>
      <c r="F11" s="99">
        <v>477500.4</v>
      </c>
      <c r="G11" s="99"/>
      <c r="H11" s="99"/>
      <c r="I11" s="99"/>
      <c r="J11" s="99"/>
      <c r="K11" s="99"/>
      <c r="L11" s="192"/>
      <c r="M11" s="192"/>
      <c r="N11" s="192"/>
      <c r="O11" s="192"/>
    </row>
    <row r="12" spans="2:18">
      <c r="B12" s="96" t="str">
        <f>Products!B39</f>
        <v>1G</v>
      </c>
      <c r="C12" s="97" t="str">
        <f>Products!C39</f>
        <v>80 km</v>
      </c>
      <c r="D12" s="98" t="str">
        <f>Products!D39</f>
        <v>SFP</v>
      </c>
      <c r="E12" s="99">
        <v>115175.5</v>
      </c>
      <c r="F12" s="99">
        <v>105559.64999999997</v>
      </c>
      <c r="G12" s="99"/>
      <c r="H12" s="99"/>
      <c r="I12" s="99"/>
      <c r="J12" s="99"/>
      <c r="K12" s="99"/>
      <c r="L12" s="192"/>
      <c r="M12" s="192"/>
      <c r="N12" s="192"/>
      <c r="O12" s="192"/>
    </row>
    <row r="13" spans="2:18">
      <c r="B13" s="332" t="s">
        <v>285</v>
      </c>
      <c r="C13" s="330" t="s">
        <v>173</v>
      </c>
      <c r="D13" s="333" t="s">
        <v>174</v>
      </c>
      <c r="E13" s="95">
        <v>200000</v>
      </c>
      <c r="F13" s="95"/>
      <c r="G13" s="95"/>
      <c r="H13" s="95"/>
      <c r="I13" s="95"/>
      <c r="J13" s="95"/>
      <c r="K13" s="95"/>
      <c r="L13" s="291"/>
      <c r="M13" s="291"/>
      <c r="N13" s="291"/>
      <c r="O13" s="291"/>
    </row>
    <row r="14" spans="2:18">
      <c r="B14" s="96" t="str">
        <f>Products!B41</f>
        <v>10G</v>
      </c>
      <c r="C14" s="97" t="str">
        <f>Products!C41</f>
        <v>300 m</v>
      </c>
      <c r="D14" s="98" t="str">
        <f>Products!D41</f>
        <v>XFP</v>
      </c>
      <c r="E14" s="99">
        <v>117811</v>
      </c>
      <c r="F14" s="99">
        <v>83582</v>
      </c>
      <c r="G14" s="99"/>
      <c r="H14" s="99"/>
      <c r="I14" s="99"/>
      <c r="J14" s="99"/>
      <c r="K14" s="99"/>
      <c r="L14" s="192"/>
      <c r="M14" s="192"/>
      <c r="N14" s="192"/>
      <c r="O14" s="192"/>
    </row>
    <row r="15" spans="2:18">
      <c r="B15" s="96" t="str">
        <f>Products!B42</f>
        <v>10G</v>
      </c>
      <c r="C15" s="97" t="str">
        <f>Products!C42</f>
        <v>300 m</v>
      </c>
      <c r="D15" s="98" t="str">
        <f>Products!D42</f>
        <v>SFP+</v>
      </c>
      <c r="E15" s="99">
        <v>11231936.93</v>
      </c>
      <c r="F15" s="99">
        <v>12500000</v>
      </c>
      <c r="G15" s="99"/>
      <c r="H15" s="99"/>
      <c r="I15" s="99"/>
      <c r="J15" s="99"/>
      <c r="K15" s="99"/>
      <c r="L15" s="192"/>
      <c r="M15" s="192"/>
      <c r="N15" s="192"/>
      <c r="O15" s="192"/>
    </row>
    <row r="16" spans="2:18">
      <c r="B16" s="96" t="str">
        <f>Products!B43</f>
        <v>10G LRM</v>
      </c>
      <c r="C16" s="97" t="str">
        <f>Products!C43</f>
        <v>220 m</v>
      </c>
      <c r="D16" s="98" t="str">
        <f>Products!D43</f>
        <v>SFP+</v>
      </c>
      <c r="E16" s="99">
        <v>121638</v>
      </c>
      <c r="F16" s="99">
        <v>108162</v>
      </c>
      <c r="G16" s="99"/>
      <c r="H16" s="99"/>
      <c r="I16" s="99"/>
      <c r="J16" s="99"/>
      <c r="K16" s="99"/>
      <c r="L16" s="192"/>
      <c r="M16" s="192"/>
      <c r="N16" s="192"/>
      <c r="O16" s="192"/>
    </row>
    <row r="17" spans="2:15">
      <c r="B17" s="96" t="str">
        <f>Products!B44</f>
        <v>10G</v>
      </c>
      <c r="C17" s="97" t="str">
        <f>Products!C44</f>
        <v>10 km</v>
      </c>
      <c r="D17" s="98" t="str">
        <f>Products!D44</f>
        <v>XFP</v>
      </c>
      <c r="E17" s="99">
        <v>122271</v>
      </c>
      <c r="F17" s="99">
        <v>65238</v>
      </c>
      <c r="G17" s="99"/>
      <c r="H17" s="99"/>
      <c r="I17" s="99"/>
      <c r="J17" s="99"/>
      <c r="K17" s="99"/>
      <c r="L17" s="192"/>
      <c r="M17" s="192"/>
      <c r="N17" s="192"/>
      <c r="O17" s="192"/>
    </row>
    <row r="18" spans="2:15">
      <c r="B18" s="96" t="str">
        <f>Products!B45</f>
        <v>10G</v>
      </c>
      <c r="C18" s="97" t="str">
        <f>Products!C45</f>
        <v>10 km</v>
      </c>
      <c r="D18" s="98" t="str">
        <f>Products!D45</f>
        <v>SFP+</v>
      </c>
      <c r="E18" s="99">
        <v>6400000</v>
      </c>
      <c r="F18" s="99">
        <v>6750000</v>
      </c>
      <c r="G18" s="99"/>
      <c r="H18" s="99"/>
      <c r="I18" s="99"/>
      <c r="J18" s="99"/>
      <c r="K18" s="99"/>
      <c r="L18" s="192"/>
      <c r="M18" s="192"/>
      <c r="N18" s="192"/>
      <c r="O18" s="192"/>
    </row>
    <row r="19" spans="2:15">
      <c r="B19" s="96" t="str">
        <f>Products!B46</f>
        <v>10G</v>
      </c>
      <c r="C19" s="97" t="str">
        <f>Products!C46</f>
        <v>40 km</v>
      </c>
      <c r="D19" s="98" t="str">
        <f>Products!D46</f>
        <v>XFP</v>
      </c>
      <c r="E19" s="99">
        <v>152629</v>
      </c>
      <c r="F19" s="99">
        <v>107234</v>
      </c>
      <c r="G19" s="99"/>
      <c r="H19" s="99"/>
      <c r="I19" s="99"/>
      <c r="J19" s="99"/>
      <c r="K19" s="99"/>
      <c r="L19" s="192"/>
      <c r="M19" s="192"/>
      <c r="N19" s="192"/>
      <c r="O19" s="192"/>
    </row>
    <row r="20" spans="2:15">
      <c r="B20" s="96" t="str">
        <f>Products!B47</f>
        <v>10G</v>
      </c>
      <c r="C20" s="97" t="str">
        <f>Products!C47</f>
        <v>40 km</v>
      </c>
      <c r="D20" s="98" t="str">
        <f>Products!D47</f>
        <v>SFP+</v>
      </c>
      <c r="E20" s="99">
        <v>257909.25</v>
      </c>
      <c r="F20" s="99">
        <v>258318.59999999998</v>
      </c>
      <c r="G20" s="99"/>
      <c r="H20" s="99"/>
      <c r="I20" s="99"/>
      <c r="J20" s="99"/>
      <c r="K20" s="99"/>
      <c r="L20" s="192"/>
      <c r="M20" s="192"/>
      <c r="N20" s="192"/>
      <c r="O20" s="192"/>
    </row>
    <row r="21" spans="2:15">
      <c r="B21" s="96" t="str">
        <f>Products!B48</f>
        <v>10G</v>
      </c>
      <c r="C21" s="97" t="str">
        <f>Products!C48</f>
        <v>80 km</v>
      </c>
      <c r="D21" s="98" t="str">
        <f>Products!D48</f>
        <v>XFP</v>
      </c>
      <c r="E21" s="99">
        <v>68753</v>
      </c>
      <c r="F21" s="99">
        <v>9455</v>
      </c>
      <c r="G21" s="99"/>
      <c r="H21" s="99"/>
      <c r="I21" s="99"/>
      <c r="J21" s="99"/>
      <c r="K21" s="99"/>
      <c r="L21" s="192"/>
      <c r="M21" s="192"/>
      <c r="N21" s="192"/>
      <c r="O21" s="192"/>
    </row>
    <row r="22" spans="2:15">
      <c r="B22" s="96" t="str">
        <f>Products!B49</f>
        <v>10G</v>
      </c>
      <c r="C22" s="97" t="str">
        <f>Products!C49</f>
        <v>80 km</v>
      </c>
      <c r="D22" s="98" t="str">
        <f>Products!D49</f>
        <v>SFP+</v>
      </c>
      <c r="E22" s="99">
        <v>43870.75</v>
      </c>
      <c r="F22" s="99">
        <v>63032.5</v>
      </c>
      <c r="G22" s="99"/>
      <c r="H22" s="99"/>
      <c r="I22" s="99"/>
      <c r="J22" s="99"/>
      <c r="K22" s="99"/>
      <c r="L22" s="192"/>
      <c r="M22" s="192"/>
      <c r="N22" s="192"/>
      <c r="O22" s="192"/>
    </row>
    <row r="23" spans="2:15">
      <c r="B23" s="334" t="s">
        <v>61</v>
      </c>
      <c r="C23" s="335" t="s">
        <v>173</v>
      </c>
      <c r="D23" s="333" t="s">
        <v>174</v>
      </c>
      <c r="E23" s="95">
        <v>65053</v>
      </c>
      <c r="F23" s="95">
        <v>24329</v>
      </c>
      <c r="G23" s="99"/>
      <c r="H23" s="99"/>
      <c r="I23" s="99"/>
      <c r="J23" s="95"/>
      <c r="K23" s="95"/>
      <c r="L23" s="291"/>
      <c r="M23" s="291"/>
      <c r="N23" s="291"/>
      <c r="O23" s="291"/>
    </row>
    <row r="24" spans="2:15">
      <c r="B24" s="88" t="str">
        <f>Products!B51</f>
        <v>25G SR, eSR</v>
      </c>
      <c r="C24" s="89" t="str">
        <f>Products!C51</f>
        <v>100 - 300 m</v>
      </c>
      <c r="D24" s="90" t="str">
        <f>Products!D51</f>
        <v>SFP28</v>
      </c>
      <c r="E24" s="91">
        <v>7146</v>
      </c>
      <c r="F24" s="91">
        <v>95865</v>
      </c>
      <c r="G24" s="91"/>
      <c r="H24" s="91"/>
      <c r="I24" s="91"/>
      <c r="J24" s="91"/>
      <c r="K24" s="91"/>
      <c r="L24" s="292"/>
      <c r="M24" s="292"/>
      <c r="N24" s="292"/>
      <c r="O24" s="292"/>
    </row>
    <row r="25" spans="2:15">
      <c r="B25" s="96" t="str">
        <f>Products!B52</f>
        <v>25G LR</v>
      </c>
      <c r="C25" s="97" t="str">
        <f>Products!C52</f>
        <v>10 km</v>
      </c>
      <c r="D25" s="98" t="str">
        <f>Products!D52</f>
        <v>SFP28</v>
      </c>
      <c r="E25" s="99">
        <v>4548</v>
      </c>
      <c r="F25" s="99">
        <v>17462</v>
      </c>
      <c r="G25" s="99"/>
      <c r="H25" s="99"/>
      <c r="I25" s="99"/>
      <c r="J25" s="99"/>
      <c r="K25" s="99"/>
      <c r="L25" s="192"/>
      <c r="M25" s="192"/>
      <c r="N25" s="192"/>
      <c r="O25" s="192"/>
    </row>
    <row r="26" spans="2:15">
      <c r="B26" s="92" t="str">
        <f>Products!B53</f>
        <v>25G ER</v>
      </c>
      <c r="C26" s="93" t="str">
        <f>Products!C53</f>
        <v>40 km</v>
      </c>
      <c r="D26" s="94" t="str">
        <f>Products!D53</f>
        <v>SFP28</v>
      </c>
      <c r="E26" s="99">
        <v>0</v>
      </c>
      <c r="F26" s="99">
        <v>0</v>
      </c>
      <c r="G26" s="99"/>
      <c r="H26" s="99"/>
      <c r="I26" s="99"/>
      <c r="J26" s="99"/>
      <c r="K26" s="99"/>
      <c r="L26" s="192"/>
      <c r="M26" s="192"/>
      <c r="N26" s="192"/>
      <c r="O26" s="192"/>
    </row>
    <row r="27" spans="2:15">
      <c r="B27" s="96" t="str">
        <f>Products!B54</f>
        <v>40G SR4</v>
      </c>
      <c r="C27" s="97" t="str">
        <f>Products!C54</f>
        <v>100 m</v>
      </c>
      <c r="D27" s="98" t="str">
        <f>Products!D54</f>
        <v>QSFP+</v>
      </c>
      <c r="E27" s="91">
        <v>639935</v>
      </c>
      <c r="F27" s="91">
        <v>793812</v>
      </c>
      <c r="G27" s="91"/>
      <c r="H27" s="91"/>
      <c r="I27" s="91"/>
      <c r="J27" s="91"/>
      <c r="K27" s="91"/>
      <c r="L27" s="292"/>
      <c r="M27" s="292"/>
      <c r="N27" s="292"/>
      <c r="O27" s="292"/>
    </row>
    <row r="28" spans="2:15">
      <c r="B28" s="96" t="str">
        <f>Products!B55</f>
        <v>40G MM duplex</v>
      </c>
      <c r="C28" s="97" t="str">
        <f>Products!C55</f>
        <v>100 m</v>
      </c>
      <c r="D28" s="98" t="str">
        <f>Products!D55</f>
        <v>QSFP+</v>
      </c>
      <c r="E28" s="99">
        <v>614294</v>
      </c>
      <c r="F28" s="99">
        <v>750519</v>
      </c>
      <c r="G28" s="99"/>
      <c r="H28" s="99"/>
      <c r="I28" s="99"/>
      <c r="J28" s="99"/>
      <c r="K28" s="99"/>
      <c r="L28" s="192"/>
      <c r="M28" s="192"/>
      <c r="N28" s="192"/>
      <c r="O28" s="192"/>
    </row>
    <row r="29" spans="2:15">
      <c r="B29" s="96" t="str">
        <f>Products!B56</f>
        <v>40G eSR4</v>
      </c>
      <c r="C29" s="97" t="str">
        <f>Products!C56</f>
        <v>300 m</v>
      </c>
      <c r="D29" s="98" t="str">
        <f>Products!D56</f>
        <v>QSFP+</v>
      </c>
      <c r="E29" s="192">
        <v>275269</v>
      </c>
      <c r="F29" s="192">
        <v>466535</v>
      </c>
      <c r="G29" s="192"/>
      <c r="H29" s="192"/>
      <c r="I29" s="192"/>
      <c r="J29" s="192"/>
      <c r="K29" s="192"/>
      <c r="L29" s="192"/>
      <c r="M29" s="192"/>
      <c r="N29" s="192"/>
      <c r="O29" s="192"/>
    </row>
    <row r="30" spans="2:15">
      <c r="B30" s="96" t="str">
        <f>Products!B57</f>
        <v xml:space="preserve">40G PSM4 </v>
      </c>
      <c r="C30" s="97" t="s">
        <v>45</v>
      </c>
      <c r="D30" s="98" t="s">
        <v>94</v>
      </c>
      <c r="E30" s="192">
        <v>813790</v>
      </c>
      <c r="F30" s="192">
        <v>613640</v>
      </c>
      <c r="G30" s="192"/>
      <c r="H30" s="192"/>
      <c r="I30" s="192"/>
      <c r="J30" s="192"/>
      <c r="K30" s="192"/>
      <c r="L30" s="192"/>
      <c r="M30" s="192"/>
      <c r="N30" s="192"/>
      <c r="O30" s="192"/>
    </row>
    <row r="31" spans="2:15">
      <c r="B31" s="96" t="str">
        <f>Products!B58</f>
        <v>40G (FR)</v>
      </c>
      <c r="C31" s="97" t="str">
        <f>Products!C58</f>
        <v>2 km</v>
      </c>
      <c r="D31" s="98" t="str">
        <f>Products!D58</f>
        <v>CFP</v>
      </c>
      <c r="E31" s="192">
        <v>791</v>
      </c>
      <c r="F31" s="192">
        <v>402</v>
      </c>
      <c r="G31" s="192"/>
      <c r="H31" s="192"/>
      <c r="I31" s="192"/>
      <c r="J31" s="192"/>
      <c r="K31" s="192"/>
      <c r="L31" s="192"/>
      <c r="M31" s="192"/>
      <c r="N31" s="192"/>
      <c r="O31" s="192"/>
    </row>
    <row r="32" spans="2:15">
      <c r="B32" s="96" t="str">
        <f>Products!B59</f>
        <v>40G (LR4 subspec)</v>
      </c>
      <c r="C32" s="97" t="str">
        <f>Products!C59</f>
        <v>2 km</v>
      </c>
      <c r="D32" s="98" t="str">
        <f>Products!D59</f>
        <v>QSFP+</v>
      </c>
      <c r="E32" s="192">
        <v>470209</v>
      </c>
      <c r="F32" s="192">
        <v>806616</v>
      </c>
      <c r="G32" s="192"/>
      <c r="H32" s="192"/>
      <c r="I32" s="192"/>
      <c r="J32" s="192"/>
      <c r="K32" s="192"/>
      <c r="L32" s="192"/>
      <c r="M32" s="192"/>
      <c r="N32" s="192"/>
      <c r="O32" s="192"/>
    </row>
    <row r="33" spans="2:15">
      <c r="B33" s="96" t="str">
        <f>Products!B60</f>
        <v>40G</v>
      </c>
      <c r="C33" s="97" t="str">
        <f>Products!C60</f>
        <v>10 km</v>
      </c>
      <c r="D33" s="98" t="str">
        <f>Products!D60</f>
        <v>CFP</v>
      </c>
      <c r="E33" s="192">
        <v>6655</v>
      </c>
      <c r="F33" s="192">
        <v>2846</v>
      </c>
      <c r="G33" s="192"/>
      <c r="H33" s="192"/>
      <c r="I33" s="192"/>
      <c r="J33" s="192"/>
      <c r="K33" s="192"/>
      <c r="L33" s="192"/>
      <c r="M33" s="192"/>
      <c r="N33" s="192"/>
      <c r="O33" s="192"/>
    </row>
    <row r="34" spans="2:15">
      <c r="B34" s="96" t="str">
        <f>Products!B61</f>
        <v>40G</v>
      </c>
      <c r="C34" s="97" t="str">
        <f>Products!C61</f>
        <v>10 km</v>
      </c>
      <c r="D34" s="98" t="str">
        <f>Products!D61</f>
        <v>QSFP+</v>
      </c>
      <c r="E34" s="192">
        <v>327231</v>
      </c>
      <c r="F34" s="192">
        <v>424358</v>
      </c>
      <c r="G34" s="192"/>
      <c r="H34" s="192"/>
      <c r="I34" s="192"/>
      <c r="J34" s="192"/>
      <c r="K34" s="192"/>
      <c r="L34" s="192"/>
      <c r="M34" s="192"/>
      <c r="N34" s="192"/>
      <c r="O34" s="192"/>
    </row>
    <row r="35" spans="2:15">
      <c r="B35" s="92" t="str">
        <f>Products!B62</f>
        <v>40G</v>
      </c>
      <c r="C35" s="93" t="str">
        <f>Products!C62</f>
        <v>40 km</v>
      </c>
      <c r="D35" s="94" t="str">
        <f>Products!D62</f>
        <v>QSFP+</v>
      </c>
      <c r="E35" s="291">
        <v>4894</v>
      </c>
      <c r="F35" s="291">
        <v>5432</v>
      </c>
      <c r="G35" s="291"/>
      <c r="H35" s="291"/>
      <c r="I35" s="291"/>
      <c r="J35" s="291"/>
      <c r="K35" s="291"/>
      <c r="L35" s="291"/>
      <c r="M35" s="291"/>
      <c r="N35" s="291"/>
      <c r="O35" s="291"/>
    </row>
    <row r="36" spans="2:15">
      <c r="B36" s="240" t="str">
        <f>Products!B63</f>
        <v xml:space="preserve">50G </v>
      </c>
      <c r="C36" s="518" t="str">
        <f>Products!C63</f>
        <v>100 m</v>
      </c>
      <c r="D36" s="578" t="str">
        <f>Products!D63</f>
        <v>all</v>
      </c>
      <c r="E36" s="292">
        <v>0</v>
      </c>
      <c r="F36" s="292">
        <v>0</v>
      </c>
      <c r="G36" s="292"/>
      <c r="H36" s="292"/>
      <c r="I36" s="292"/>
      <c r="J36" s="292"/>
      <c r="K36" s="292"/>
      <c r="L36" s="292"/>
      <c r="M36" s="292"/>
      <c r="N36" s="292"/>
      <c r="O36" s="292"/>
    </row>
    <row r="37" spans="2:15">
      <c r="B37" s="243" t="str">
        <f>Products!B64</f>
        <v xml:space="preserve">50G </v>
      </c>
      <c r="C37" s="244" t="str">
        <f>Products!C64</f>
        <v>2 km</v>
      </c>
      <c r="D37" s="245" t="str">
        <f>Products!D64</f>
        <v>all</v>
      </c>
      <c r="E37" s="192">
        <v>0</v>
      </c>
      <c r="F37" s="192">
        <v>0</v>
      </c>
      <c r="G37" s="192"/>
      <c r="H37" s="192"/>
      <c r="I37" s="192"/>
      <c r="J37" s="192"/>
      <c r="K37" s="192"/>
      <c r="L37" s="192"/>
      <c r="M37" s="192"/>
      <c r="N37" s="192"/>
      <c r="O37" s="192"/>
    </row>
    <row r="38" spans="2:15">
      <c r="B38" s="246" t="str">
        <f>Products!B65</f>
        <v xml:space="preserve">50G </v>
      </c>
      <c r="C38" s="247" t="str">
        <f>Products!C65</f>
        <v>10 km</v>
      </c>
      <c r="D38" s="248" t="str">
        <f>Products!D65</f>
        <v>all</v>
      </c>
      <c r="E38" s="192">
        <v>0</v>
      </c>
      <c r="F38" s="192">
        <v>0</v>
      </c>
      <c r="G38" s="192"/>
      <c r="H38" s="192"/>
      <c r="I38" s="192"/>
      <c r="J38" s="192"/>
      <c r="K38" s="192"/>
      <c r="L38" s="192"/>
      <c r="M38" s="192"/>
      <c r="N38" s="192"/>
      <c r="O38" s="192"/>
    </row>
    <row r="39" spans="2:15">
      <c r="B39" s="96" t="str">
        <f>Products!B68</f>
        <v>100G SR4</v>
      </c>
      <c r="C39" s="97" t="str">
        <f>Products!C68</f>
        <v>100 m</v>
      </c>
      <c r="D39" s="98" t="str">
        <f>Products!D68</f>
        <v>CFP</v>
      </c>
      <c r="E39" s="91">
        <v>14816</v>
      </c>
      <c r="F39" s="91">
        <v>6913</v>
      </c>
      <c r="G39" s="91"/>
      <c r="H39" s="91"/>
      <c r="I39" s="91"/>
      <c r="J39" s="91"/>
      <c r="K39" s="91"/>
      <c r="L39" s="91"/>
      <c r="M39" s="91"/>
      <c r="N39" s="91"/>
      <c r="O39" s="91"/>
    </row>
    <row r="40" spans="2:15">
      <c r="B40" s="96" t="str">
        <f>Products!B69</f>
        <v>100G SR4</v>
      </c>
      <c r="C40" s="97" t="str">
        <f>Products!C69</f>
        <v>100 m</v>
      </c>
      <c r="D40" s="98" t="str">
        <f>Products!D69</f>
        <v>CFP2/4</v>
      </c>
      <c r="E40" s="99">
        <v>4367</v>
      </c>
      <c r="F40" s="99">
        <v>2269</v>
      </c>
      <c r="G40" s="99"/>
      <c r="H40" s="99"/>
      <c r="I40" s="99"/>
      <c r="J40" s="99"/>
      <c r="K40" s="99"/>
      <c r="L40" s="99"/>
      <c r="M40" s="99"/>
      <c r="N40" s="99"/>
      <c r="O40" s="99"/>
    </row>
    <row r="41" spans="2:15">
      <c r="B41" s="96" t="str">
        <f>Products!B70</f>
        <v>100G SR4</v>
      </c>
      <c r="C41" s="97" t="str">
        <f>Products!C70</f>
        <v>100 m</v>
      </c>
      <c r="D41" s="98" t="str">
        <f>Products!D70</f>
        <v>QSFP28</v>
      </c>
      <c r="E41" s="99">
        <v>280058</v>
      </c>
      <c r="F41" s="99">
        <v>622792</v>
      </c>
      <c r="G41" s="99"/>
      <c r="H41" s="99"/>
      <c r="I41" s="99"/>
      <c r="J41" s="99"/>
      <c r="K41" s="99"/>
      <c r="L41" s="99"/>
      <c r="M41" s="99"/>
      <c r="N41" s="99"/>
      <c r="O41" s="99"/>
    </row>
    <row r="42" spans="2:15">
      <c r="B42" s="96" t="str">
        <f>Products!B71</f>
        <v>100G SR2</v>
      </c>
      <c r="C42" s="97" t="str">
        <f>Products!C71</f>
        <v>100 m</v>
      </c>
      <c r="D42" s="98" t="str">
        <f>Products!D71</f>
        <v>All</v>
      </c>
      <c r="E42" s="99">
        <v>0</v>
      </c>
      <c r="F42" s="99">
        <v>0</v>
      </c>
      <c r="G42" s="99"/>
      <c r="H42" s="99"/>
      <c r="I42" s="99"/>
      <c r="J42" s="99"/>
      <c r="K42" s="99"/>
      <c r="L42" s="99"/>
      <c r="M42" s="99"/>
      <c r="N42" s="99"/>
      <c r="O42" s="99"/>
    </row>
    <row r="43" spans="2:15">
      <c r="B43" s="96" t="str">
        <f>Products!B72</f>
        <v>100G MM Duplex</v>
      </c>
      <c r="C43" s="97" t="str">
        <f>Products!C72</f>
        <v>100 - 300 m</v>
      </c>
      <c r="D43" s="98" t="str">
        <f>Products!D72</f>
        <v>QSFP28</v>
      </c>
      <c r="E43" s="99">
        <v>0</v>
      </c>
      <c r="F43" s="99">
        <v>0</v>
      </c>
      <c r="G43" s="99"/>
      <c r="H43" s="99"/>
      <c r="I43" s="99"/>
      <c r="J43" s="99"/>
      <c r="K43" s="99"/>
      <c r="L43" s="99"/>
      <c r="M43" s="99"/>
      <c r="N43" s="99"/>
      <c r="O43" s="99"/>
    </row>
    <row r="44" spans="2:15">
      <c r="B44" s="96" t="str">
        <f>Products!B73</f>
        <v>100G eSR4</v>
      </c>
      <c r="C44" s="97" t="str">
        <f>Products!C73</f>
        <v>300 m</v>
      </c>
      <c r="D44" s="98" t="str">
        <f>Products!D73</f>
        <v>QSFP28</v>
      </c>
      <c r="E44" s="99">
        <v>0</v>
      </c>
      <c r="F44" s="99">
        <v>0</v>
      </c>
      <c r="G44" s="99"/>
      <c r="H44" s="99"/>
      <c r="I44" s="99"/>
      <c r="J44" s="99"/>
      <c r="K44" s="99"/>
      <c r="L44" s="99"/>
      <c r="M44" s="99"/>
      <c r="N44" s="99"/>
      <c r="O44" s="99"/>
    </row>
    <row r="45" spans="2:15">
      <c r="B45" s="96" t="str">
        <f>Products!B74</f>
        <v>100G PSM4</v>
      </c>
      <c r="C45" s="97" t="str">
        <f>Products!C74</f>
        <v>500 m</v>
      </c>
      <c r="D45" s="98" t="str">
        <f>Products!D74</f>
        <v>QSFP28</v>
      </c>
      <c r="E45" s="99">
        <v>200861</v>
      </c>
      <c r="F45" s="99">
        <v>710038</v>
      </c>
      <c r="G45" s="99"/>
      <c r="H45" s="99"/>
      <c r="I45" s="99"/>
      <c r="J45" s="99"/>
      <c r="K45" s="99"/>
      <c r="L45" s="99"/>
      <c r="M45" s="99"/>
      <c r="N45" s="99"/>
      <c r="O45" s="99"/>
    </row>
    <row r="46" spans="2:15">
      <c r="B46" s="96" t="str">
        <f>Products!B75</f>
        <v>100G DR/DR+</v>
      </c>
      <c r="C46" s="97" t="str">
        <f>Products!C75</f>
        <v>500m, 2km</v>
      </c>
      <c r="D46" s="98" t="str">
        <f>Products!D75</f>
        <v>QSFP28</v>
      </c>
      <c r="E46" s="99">
        <v>0</v>
      </c>
      <c r="F46" s="99">
        <v>0</v>
      </c>
      <c r="G46" s="99"/>
      <c r="H46" s="99"/>
      <c r="I46" s="99"/>
      <c r="J46" s="99"/>
      <c r="K46" s="99"/>
      <c r="L46" s="99"/>
      <c r="M46" s="99"/>
      <c r="N46" s="99"/>
      <c r="O46" s="99"/>
    </row>
    <row r="47" spans="2:15">
      <c r="B47" s="96" t="str">
        <f>Products!B76</f>
        <v>100G CWDM4-subspec</v>
      </c>
      <c r="C47" s="97" t="str">
        <f>Products!C76</f>
        <v>500 m</v>
      </c>
      <c r="D47" s="98" t="str">
        <f>Products!D76</f>
        <v>QSFP28</v>
      </c>
      <c r="E47" s="99">
        <v>88200.6</v>
      </c>
      <c r="F47" s="99">
        <v>683412.1</v>
      </c>
      <c r="G47" s="99"/>
      <c r="H47" s="99"/>
      <c r="I47" s="99"/>
      <c r="J47" s="99"/>
      <c r="K47" s="99"/>
      <c r="L47" s="99"/>
      <c r="M47" s="99"/>
      <c r="N47" s="99"/>
      <c r="O47" s="99"/>
    </row>
    <row r="48" spans="2:15">
      <c r="B48" s="96" t="str">
        <f>Products!B77</f>
        <v>100G CWDM4</v>
      </c>
      <c r="C48" s="97" t="str">
        <f>Products!C77</f>
        <v>2 km</v>
      </c>
      <c r="D48" s="98" t="str">
        <f>Products!D77</f>
        <v>QSFP28</v>
      </c>
      <c r="E48" s="99">
        <v>30989.399999999994</v>
      </c>
      <c r="F48" s="99">
        <v>292890.90000000002</v>
      </c>
      <c r="G48" s="99"/>
      <c r="H48" s="99"/>
      <c r="I48" s="99"/>
      <c r="J48" s="99"/>
      <c r="K48" s="99"/>
      <c r="L48" s="99"/>
      <c r="M48" s="99"/>
      <c r="N48" s="99"/>
      <c r="O48" s="99"/>
    </row>
    <row r="49" spans="2:15">
      <c r="B49" s="96" t="str">
        <f>Products!B78</f>
        <v>100G FR1</v>
      </c>
      <c r="C49" s="97" t="str">
        <f>Products!C78</f>
        <v>2 km</v>
      </c>
      <c r="D49" s="98" t="str">
        <f>Products!D78</f>
        <v>QSFP28</v>
      </c>
      <c r="E49" s="99">
        <v>0</v>
      </c>
      <c r="F49" s="99">
        <v>0</v>
      </c>
      <c r="G49" s="99"/>
      <c r="H49" s="99"/>
      <c r="I49" s="99"/>
      <c r="J49" s="99"/>
      <c r="K49" s="99"/>
      <c r="L49" s="99"/>
      <c r="M49" s="99"/>
      <c r="N49" s="99"/>
      <c r="O49" s="99"/>
    </row>
    <row r="50" spans="2:15">
      <c r="B50" s="96" t="str">
        <f>Products!B79</f>
        <v>100G LR4</v>
      </c>
      <c r="C50" s="97" t="str">
        <f>Products!C79</f>
        <v>10 km</v>
      </c>
      <c r="D50" s="98" t="str">
        <f>Products!D79</f>
        <v>CFP</v>
      </c>
      <c r="E50" s="99">
        <v>109936</v>
      </c>
      <c r="F50" s="99">
        <v>67349</v>
      </c>
      <c r="G50" s="99"/>
      <c r="H50" s="99"/>
      <c r="I50" s="99"/>
      <c r="J50" s="99"/>
      <c r="K50" s="99"/>
      <c r="L50" s="99"/>
      <c r="M50" s="99"/>
      <c r="N50" s="99"/>
      <c r="O50" s="99"/>
    </row>
    <row r="51" spans="2:15">
      <c r="B51" s="96" t="str">
        <f>Products!B80</f>
        <v>100G LR4</v>
      </c>
      <c r="C51" s="97" t="str">
        <f>Products!C80</f>
        <v>10 km</v>
      </c>
      <c r="D51" s="98" t="str">
        <f>Products!D80</f>
        <v>CFP2/4</v>
      </c>
      <c r="E51" s="99">
        <v>92243</v>
      </c>
      <c r="F51" s="99">
        <v>78202</v>
      </c>
      <c r="G51" s="99"/>
      <c r="H51" s="99"/>
      <c r="I51" s="99"/>
      <c r="J51" s="99"/>
      <c r="K51" s="99"/>
      <c r="L51" s="99"/>
      <c r="M51" s="99"/>
      <c r="N51" s="99"/>
      <c r="O51" s="99"/>
    </row>
    <row r="52" spans="2:15">
      <c r="B52" s="96" t="str">
        <f>Products!B81</f>
        <v>100G LR4 and LR1</v>
      </c>
      <c r="C52" s="97" t="str">
        <f>Products!C81</f>
        <v>10 km</v>
      </c>
      <c r="D52" s="98" t="str">
        <f>Products!D81</f>
        <v>QSFP28</v>
      </c>
      <c r="E52" s="99">
        <v>90443</v>
      </c>
      <c r="F52" s="99">
        <v>362352</v>
      </c>
      <c r="G52" s="99"/>
      <c r="H52" s="99"/>
      <c r="I52" s="99"/>
      <c r="J52" s="99"/>
      <c r="K52" s="99"/>
      <c r="L52" s="99"/>
      <c r="M52" s="99"/>
      <c r="N52" s="99"/>
      <c r="O52" s="99"/>
    </row>
    <row r="53" spans="2:15">
      <c r="B53" s="96" t="str">
        <f>Products!B82</f>
        <v>100G 4WDM10</v>
      </c>
      <c r="C53" s="97" t="str">
        <f>Products!C82</f>
        <v>10 km</v>
      </c>
      <c r="D53" s="98" t="str">
        <f>Products!D82</f>
        <v>QSFP28</v>
      </c>
      <c r="E53" s="99">
        <v>0</v>
      </c>
      <c r="F53" s="99">
        <v>45000</v>
      </c>
      <c r="G53" s="99"/>
      <c r="H53" s="99"/>
      <c r="I53" s="99"/>
      <c r="J53" s="99"/>
      <c r="K53" s="99"/>
      <c r="L53" s="99"/>
      <c r="M53" s="99"/>
      <c r="N53" s="99"/>
      <c r="O53" s="99"/>
    </row>
    <row r="54" spans="2:15">
      <c r="B54" s="96" t="str">
        <f>Products!B83</f>
        <v>100G 4WDM20</v>
      </c>
      <c r="C54" s="97" t="str">
        <f>Products!C83</f>
        <v>20 km</v>
      </c>
      <c r="D54" s="98" t="str">
        <f>Products!D83</f>
        <v>QSFP28</v>
      </c>
      <c r="E54" s="99">
        <v>0</v>
      </c>
      <c r="F54" s="99">
        <v>0</v>
      </c>
      <c r="G54" s="99"/>
      <c r="H54" s="99"/>
      <c r="I54" s="99"/>
      <c r="J54" s="99"/>
      <c r="K54" s="99"/>
      <c r="L54" s="99"/>
      <c r="M54" s="99"/>
      <c r="N54" s="99"/>
      <c r="O54" s="99"/>
    </row>
    <row r="55" spans="2:15">
      <c r="B55" s="96" t="str">
        <f>Products!B84</f>
        <v>100G ER4-Lite</v>
      </c>
      <c r="C55" s="97" t="str">
        <f>Products!C84</f>
        <v>30 km</v>
      </c>
      <c r="D55" s="98" t="str">
        <f>Products!D84</f>
        <v>QSFP28</v>
      </c>
      <c r="E55" s="99">
        <v>0</v>
      </c>
      <c r="F55" s="99">
        <v>2000</v>
      </c>
      <c r="G55" s="99"/>
      <c r="H55" s="99"/>
      <c r="I55" s="99"/>
      <c r="J55" s="99"/>
      <c r="K55" s="99"/>
      <c r="L55" s="99"/>
      <c r="M55" s="99"/>
      <c r="N55" s="99"/>
      <c r="O55" s="99"/>
    </row>
    <row r="56" spans="2:15">
      <c r="B56" s="96" t="str">
        <f>Products!B85</f>
        <v>100G ER4</v>
      </c>
      <c r="C56" s="97" t="str">
        <f>Products!C85</f>
        <v>40 km</v>
      </c>
      <c r="D56" s="98" t="str">
        <f>Products!D85</f>
        <v>QSFP28</v>
      </c>
      <c r="E56" s="99">
        <v>7456</v>
      </c>
      <c r="F56" s="99">
        <v>8272</v>
      </c>
      <c r="G56" s="99"/>
      <c r="H56" s="99"/>
      <c r="I56" s="99"/>
      <c r="J56" s="99"/>
      <c r="K56" s="99"/>
      <c r="L56" s="99"/>
      <c r="M56" s="99"/>
      <c r="N56" s="99"/>
      <c r="O56" s="99"/>
    </row>
    <row r="57" spans="2:15">
      <c r="B57" s="96" t="str">
        <f>Products!B86</f>
        <v>100G ZR4</v>
      </c>
      <c r="C57" s="97" t="str">
        <f>Products!C86</f>
        <v>80 km</v>
      </c>
      <c r="D57" s="98" t="str">
        <f>Products!D86</f>
        <v>QSFP28</v>
      </c>
      <c r="E57" s="95">
        <v>0</v>
      </c>
      <c r="F57" s="95">
        <v>0</v>
      </c>
      <c r="G57" s="95"/>
      <c r="H57" s="95"/>
      <c r="I57" s="95"/>
      <c r="J57" s="95"/>
      <c r="K57" s="95"/>
      <c r="L57" s="95"/>
      <c r="M57" s="95"/>
      <c r="N57" s="95"/>
      <c r="O57" s="95"/>
    </row>
    <row r="58" spans="2:15">
      <c r="B58" s="88" t="str">
        <f>Products!B87</f>
        <v>200G SR4</v>
      </c>
      <c r="C58" s="89" t="str">
        <f>Products!C87</f>
        <v>100 m</v>
      </c>
      <c r="D58" s="90" t="str">
        <f>Products!D87</f>
        <v>QSFP56</v>
      </c>
      <c r="E58" s="91">
        <v>0</v>
      </c>
      <c r="F58" s="91">
        <v>0</v>
      </c>
      <c r="G58" s="91"/>
      <c r="H58" s="91"/>
      <c r="I58" s="91"/>
      <c r="J58" s="91"/>
      <c r="K58" s="91"/>
      <c r="L58" s="292"/>
      <c r="M58" s="292"/>
      <c r="N58" s="292"/>
      <c r="O58" s="292"/>
    </row>
    <row r="59" spans="2:15">
      <c r="B59" s="96" t="str">
        <f>Products!B88</f>
        <v>2x200 (400G-SR8)</v>
      </c>
      <c r="C59" s="97" t="str">
        <f>Products!C88</f>
        <v>100 m</v>
      </c>
      <c r="D59" s="98" t="str">
        <f>Products!D88</f>
        <v>OSFP, QSFP-DD</v>
      </c>
      <c r="E59" s="99">
        <v>0</v>
      </c>
      <c r="F59" s="99">
        <v>0</v>
      </c>
      <c r="G59" s="99"/>
      <c r="H59" s="99"/>
      <c r="I59" s="99"/>
      <c r="J59" s="99"/>
      <c r="K59" s="99"/>
      <c r="L59" s="99"/>
      <c r="M59" s="99"/>
      <c r="N59" s="99"/>
      <c r="O59" s="99"/>
    </row>
    <row r="60" spans="2:15">
      <c r="B60" s="96" t="str">
        <f>Products!B89</f>
        <v>200G FR4</v>
      </c>
      <c r="C60" s="97" t="str">
        <f>Products!C89</f>
        <v>3 km</v>
      </c>
      <c r="D60" s="98" t="str">
        <f>Products!D89</f>
        <v>QSFP56</v>
      </c>
      <c r="E60" s="99">
        <v>0</v>
      </c>
      <c r="F60" s="99">
        <v>0</v>
      </c>
      <c r="G60" s="99"/>
      <c r="H60" s="99"/>
      <c r="I60" s="99"/>
      <c r="J60" s="99"/>
      <c r="K60" s="99"/>
      <c r="L60" s="192"/>
      <c r="M60" s="192"/>
      <c r="N60" s="192"/>
      <c r="O60" s="192"/>
    </row>
    <row r="61" spans="2:15">
      <c r="B61" s="92" t="str">
        <f>Products!B90</f>
        <v>2x(200G FR4)</v>
      </c>
      <c r="C61" s="93" t="str">
        <f>Products!C90</f>
        <v>2 km</v>
      </c>
      <c r="D61" s="94" t="str">
        <f>Products!D90</f>
        <v>OSFP</v>
      </c>
      <c r="E61" s="95">
        <v>0</v>
      </c>
      <c r="F61" s="95">
        <v>0</v>
      </c>
      <c r="G61" s="95"/>
      <c r="H61" s="95"/>
      <c r="I61" s="95"/>
      <c r="J61" s="95"/>
      <c r="K61" s="95"/>
      <c r="L61" s="291"/>
      <c r="M61" s="291"/>
      <c r="N61" s="291"/>
      <c r="O61" s="291"/>
    </row>
    <row r="62" spans="2:15">
      <c r="B62" s="88" t="str">
        <f>Products!B91</f>
        <v>400G SR4.2, SR4</v>
      </c>
      <c r="C62" s="89" t="str">
        <f>Products!C91</f>
        <v>100 m</v>
      </c>
      <c r="D62" s="90" t="str">
        <f>Products!D91</f>
        <v>OSFP, QSFP-DD, QSFP112</v>
      </c>
      <c r="E62" s="91">
        <v>0</v>
      </c>
      <c r="F62" s="91">
        <v>0</v>
      </c>
      <c r="G62" s="91"/>
      <c r="H62" s="91"/>
      <c r="I62" s="91"/>
      <c r="J62" s="91"/>
      <c r="K62" s="91"/>
      <c r="L62" s="292"/>
      <c r="M62" s="292"/>
      <c r="N62" s="292"/>
      <c r="O62" s="292"/>
    </row>
    <row r="63" spans="2:15">
      <c r="B63" s="96" t="str">
        <f>Products!B92</f>
        <v>400G DR4</v>
      </c>
      <c r="C63" s="97" t="str">
        <f>Products!C92</f>
        <v>500 m</v>
      </c>
      <c r="D63" s="98" t="str">
        <f>Products!D92</f>
        <v>OSFP, QSFP-DD, QSFP112</v>
      </c>
      <c r="E63" s="99">
        <v>0</v>
      </c>
      <c r="F63" s="99">
        <v>0</v>
      </c>
      <c r="G63" s="99"/>
      <c r="H63" s="99"/>
      <c r="I63" s="99"/>
      <c r="J63" s="99"/>
      <c r="K63" s="99"/>
      <c r="L63" s="192"/>
      <c r="M63" s="192"/>
      <c r="N63" s="192"/>
      <c r="O63" s="192"/>
    </row>
    <row r="64" spans="2:15">
      <c r="B64" s="96" t="str">
        <f>Products!B93</f>
        <v>400G FR4</v>
      </c>
      <c r="C64" s="97" t="str">
        <f>Products!C93</f>
        <v>2 km</v>
      </c>
      <c r="D64" s="98" t="str">
        <f>Products!D93</f>
        <v>OSFP, QSFP-DD, QSFP112</v>
      </c>
      <c r="E64" s="99">
        <v>0</v>
      </c>
      <c r="F64" s="99">
        <v>7</v>
      </c>
      <c r="G64" s="99"/>
      <c r="H64" s="99"/>
      <c r="I64" s="99"/>
      <c r="J64" s="99"/>
      <c r="K64" s="99"/>
      <c r="L64" s="192"/>
      <c r="M64" s="192"/>
      <c r="N64" s="192"/>
      <c r="O64" s="192"/>
    </row>
    <row r="65" spans="2:16">
      <c r="B65" s="92" t="str">
        <f>Products!B94</f>
        <v>400G LR4, LR8</v>
      </c>
      <c r="C65" s="93" t="str">
        <f>Products!C94</f>
        <v>10 km</v>
      </c>
      <c r="D65" s="94" t="str">
        <f>Products!D94</f>
        <v>OSFP, QSFP-DD, QSFP112</v>
      </c>
      <c r="E65" s="95">
        <v>0</v>
      </c>
      <c r="F65" s="95">
        <v>82</v>
      </c>
      <c r="G65" s="95"/>
      <c r="H65" s="95"/>
      <c r="I65" s="95"/>
      <c r="J65" s="95"/>
      <c r="K65" s="95"/>
      <c r="L65" s="291"/>
      <c r="M65" s="291"/>
      <c r="N65" s="291"/>
      <c r="O65" s="291"/>
    </row>
    <row r="66" spans="2:16" s="101" customFormat="1">
      <c r="B66" s="88" t="str">
        <f>Products!B95</f>
        <v>800G SR8</v>
      </c>
      <c r="C66" s="89" t="str">
        <f>Products!C95</f>
        <v>50 m</v>
      </c>
      <c r="D66" s="90" t="str">
        <f>Products!D95</f>
        <v>OSFP, QSFP-DD800</v>
      </c>
      <c r="E66" s="91"/>
      <c r="F66" s="91"/>
      <c r="G66" s="91"/>
      <c r="H66" s="91"/>
      <c r="I66" s="91"/>
      <c r="J66" s="91"/>
      <c r="K66" s="91"/>
      <c r="L66" s="292"/>
      <c r="M66" s="292"/>
      <c r="N66" s="292"/>
      <c r="O66" s="292"/>
      <c r="P66" s="268"/>
    </row>
    <row r="67" spans="2:16" s="101" customFormat="1">
      <c r="B67" s="96" t="str">
        <f>Products!B96</f>
        <v>800G PSM8</v>
      </c>
      <c r="C67" s="97" t="str">
        <f>Products!C96</f>
        <v>500 m</v>
      </c>
      <c r="D67" s="98" t="str">
        <f>Products!D96</f>
        <v>OSFP, QSFP-DD800</v>
      </c>
      <c r="E67" s="99"/>
      <c r="F67" s="99"/>
      <c r="G67" s="99"/>
      <c r="H67" s="99"/>
      <c r="I67" s="99"/>
      <c r="J67" s="99"/>
      <c r="K67" s="99"/>
      <c r="L67" s="192"/>
      <c r="M67" s="192"/>
      <c r="N67" s="192"/>
      <c r="O67" s="192"/>
    </row>
    <row r="68" spans="2:16" s="101" customFormat="1">
      <c r="B68" s="96" t="str">
        <f>Products!B97</f>
        <v>2x(400G FR4)</v>
      </c>
      <c r="C68" s="97" t="str">
        <f>Products!C97</f>
        <v>2 km</v>
      </c>
      <c r="D68" s="98" t="str">
        <f>Products!D97</f>
        <v>OSFP, QSFP-DD800</v>
      </c>
      <c r="E68" s="99"/>
      <c r="F68" s="99"/>
      <c r="G68" s="99"/>
      <c r="H68" s="99"/>
      <c r="I68" s="99"/>
      <c r="J68" s="99"/>
      <c r="K68" s="99"/>
      <c r="L68" s="192"/>
      <c r="M68" s="192"/>
      <c r="N68" s="192"/>
      <c r="O68" s="192"/>
    </row>
    <row r="69" spans="2:16" s="101" customFormat="1">
      <c r="B69" s="92">
        <f>Products!B98</f>
        <v>0</v>
      </c>
      <c r="C69" s="93"/>
      <c r="D69" s="94"/>
      <c r="E69" s="95"/>
      <c r="F69" s="95"/>
      <c r="G69" s="95"/>
      <c r="H69" s="95"/>
      <c r="I69" s="95"/>
      <c r="J69" s="95"/>
      <c r="K69" s="95"/>
      <c r="L69" s="291"/>
      <c r="M69" s="291"/>
      <c r="N69" s="291"/>
      <c r="O69" s="291"/>
    </row>
    <row r="70" spans="2:16">
      <c r="B70" s="51" t="s">
        <v>20</v>
      </c>
      <c r="C70" s="52"/>
      <c r="D70" s="53"/>
      <c r="E70" s="105">
        <f t="shared" ref="E70:O70" si="0">SUM(E9:E69)</f>
        <v>36433414.034999996</v>
      </c>
      <c r="F70" s="105">
        <f t="shared" si="0"/>
        <v>38102112.150000006</v>
      </c>
      <c r="G70" s="105">
        <f t="shared" si="0"/>
        <v>0</v>
      </c>
      <c r="H70" s="105">
        <f t="shared" si="0"/>
        <v>0</v>
      </c>
      <c r="I70" s="105">
        <f t="shared" si="0"/>
        <v>0</v>
      </c>
      <c r="J70" s="105">
        <f t="shared" si="0"/>
        <v>0</v>
      </c>
      <c r="K70" s="105">
        <f t="shared" si="0"/>
        <v>0</v>
      </c>
      <c r="L70" s="105">
        <f t="shared" si="0"/>
        <v>0</v>
      </c>
      <c r="M70" s="105">
        <f t="shared" si="0"/>
        <v>0</v>
      </c>
      <c r="N70" s="105">
        <f t="shared" si="0"/>
        <v>0</v>
      </c>
      <c r="O70" s="105">
        <f t="shared" si="0"/>
        <v>0</v>
      </c>
    </row>
    <row r="71" spans="2:16">
      <c r="B71" s="236" t="s">
        <v>360</v>
      </c>
      <c r="C71" s="542" t="s">
        <v>50</v>
      </c>
      <c r="D71" s="578" t="s">
        <v>50</v>
      </c>
      <c r="E71" s="277">
        <f t="shared" ref="E71:O71" si="1">SUM(E14:E23)</f>
        <v>18581871.93</v>
      </c>
      <c r="F71" s="538">
        <f t="shared" si="1"/>
        <v>19969351.100000001</v>
      </c>
      <c r="G71" s="538">
        <f t="shared" si="1"/>
        <v>0</v>
      </c>
      <c r="H71" s="538">
        <f t="shared" si="1"/>
        <v>0</v>
      </c>
      <c r="I71" s="538">
        <f t="shared" si="1"/>
        <v>0</v>
      </c>
      <c r="J71" s="538">
        <f t="shared" si="1"/>
        <v>0</v>
      </c>
      <c r="K71" s="538">
        <f t="shared" si="1"/>
        <v>0</v>
      </c>
      <c r="L71" s="538">
        <f t="shared" si="1"/>
        <v>0</v>
      </c>
      <c r="M71" s="538">
        <f t="shared" si="1"/>
        <v>0</v>
      </c>
      <c r="N71" s="538">
        <f t="shared" si="1"/>
        <v>0</v>
      </c>
      <c r="O71" s="538">
        <f t="shared" si="1"/>
        <v>0</v>
      </c>
    </row>
    <row r="72" spans="2:16">
      <c r="B72" s="54" t="s">
        <v>216</v>
      </c>
      <c r="C72" s="271" t="s">
        <v>50</v>
      </c>
      <c r="D72" s="541" t="s">
        <v>50</v>
      </c>
      <c r="E72" s="276">
        <f t="shared" ref="E72:O72" si="2">SUM(E24:E26)</f>
        <v>11694</v>
      </c>
      <c r="F72" s="276">
        <f t="shared" si="2"/>
        <v>113327</v>
      </c>
      <c r="G72" s="276">
        <f t="shared" si="2"/>
        <v>0</v>
      </c>
      <c r="H72" s="281">
        <f t="shared" si="2"/>
        <v>0</v>
      </c>
      <c r="I72" s="281">
        <f t="shared" si="2"/>
        <v>0</v>
      </c>
      <c r="J72" s="281">
        <f t="shared" si="2"/>
        <v>0</v>
      </c>
      <c r="K72" s="281">
        <f t="shared" si="2"/>
        <v>0</v>
      </c>
      <c r="L72" s="21">
        <f t="shared" si="2"/>
        <v>0</v>
      </c>
      <c r="M72" s="21">
        <f t="shared" si="2"/>
        <v>0</v>
      </c>
      <c r="N72" s="21">
        <f t="shared" si="2"/>
        <v>0</v>
      </c>
      <c r="O72" s="21">
        <f t="shared" si="2"/>
        <v>0</v>
      </c>
    </row>
    <row r="73" spans="2:16">
      <c r="B73" s="54" t="s">
        <v>215</v>
      </c>
      <c r="C73" s="271" t="s">
        <v>50</v>
      </c>
      <c r="D73" s="541" t="s">
        <v>50</v>
      </c>
      <c r="E73" s="21">
        <f t="shared" ref="E73:O73" si="3">SUM(E27:E35)</f>
        <v>3153068</v>
      </c>
      <c r="F73" s="21">
        <f t="shared" si="3"/>
        <v>3864160</v>
      </c>
      <c r="G73" s="21">
        <f t="shared" si="3"/>
        <v>0</v>
      </c>
      <c r="H73" s="21">
        <f t="shared" si="3"/>
        <v>0</v>
      </c>
      <c r="I73" s="21">
        <f t="shared" si="3"/>
        <v>0</v>
      </c>
      <c r="J73" s="21">
        <f t="shared" si="3"/>
        <v>0</v>
      </c>
      <c r="K73" s="21">
        <f t="shared" si="3"/>
        <v>0</v>
      </c>
      <c r="L73" s="21">
        <f t="shared" si="3"/>
        <v>0</v>
      </c>
      <c r="M73" s="21">
        <f t="shared" si="3"/>
        <v>0</v>
      </c>
      <c r="N73" s="21">
        <f t="shared" si="3"/>
        <v>0</v>
      </c>
      <c r="O73" s="21">
        <f t="shared" si="3"/>
        <v>0</v>
      </c>
    </row>
    <row r="74" spans="2:16">
      <c r="B74" s="54" t="s">
        <v>217</v>
      </c>
      <c r="C74" s="271" t="s">
        <v>50</v>
      </c>
      <c r="D74" s="541" t="s">
        <v>50</v>
      </c>
      <c r="E74" s="21">
        <f t="shared" ref="E74:O74" si="4">SUM(E36:E38)</f>
        <v>0</v>
      </c>
      <c r="F74" s="21">
        <f t="shared" si="4"/>
        <v>0</v>
      </c>
      <c r="G74" s="21">
        <f t="shared" si="4"/>
        <v>0</v>
      </c>
      <c r="H74" s="21">
        <f t="shared" si="4"/>
        <v>0</v>
      </c>
      <c r="I74" s="21">
        <f t="shared" si="4"/>
        <v>0</v>
      </c>
      <c r="J74" s="21">
        <f t="shared" si="4"/>
        <v>0</v>
      </c>
      <c r="K74" s="21">
        <f t="shared" si="4"/>
        <v>0</v>
      </c>
      <c r="L74" s="21">
        <f t="shared" si="4"/>
        <v>0</v>
      </c>
      <c r="M74" s="21">
        <f t="shared" si="4"/>
        <v>0</v>
      </c>
      <c r="N74" s="21">
        <f t="shared" si="4"/>
        <v>0</v>
      </c>
      <c r="O74" s="21">
        <f t="shared" si="4"/>
        <v>0</v>
      </c>
    </row>
    <row r="75" spans="2:16">
      <c r="B75" s="54" t="s">
        <v>212</v>
      </c>
      <c r="C75" s="271" t="s">
        <v>50</v>
      </c>
      <c r="D75" s="541" t="s">
        <v>50</v>
      </c>
      <c r="E75" s="21">
        <f t="shared" ref="E75:O75" si="5">SUM(E39:E57)</f>
        <v>919370</v>
      </c>
      <c r="F75" s="21">
        <f t="shared" si="5"/>
        <v>2881490</v>
      </c>
      <c r="G75" s="21">
        <f t="shared" si="5"/>
        <v>0</v>
      </c>
      <c r="H75" s="21">
        <f t="shared" si="5"/>
        <v>0</v>
      </c>
      <c r="I75" s="21">
        <f t="shared" si="5"/>
        <v>0</v>
      </c>
      <c r="J75" s="21">
        <f t="shared" si="5"/>
        <v>0</v>
      </c>
      <c r="K75" s="21">
        <f t="shared" si="5"/>
        <v>0</v>
      </c>
      <c r="L75" s="21">
        <f t="shared" si="5"/>
        <v>0</v>
      </c>
      <c r="M75" s="21">
        <f t="shared" si="5"/>
        <v>0</v>
      </c>
      <c r="N75" s="21">
        <f t="shared" si="5"/>
        <v>0</v>
      </c>
      <c r="O75" s="21">
        <f t="shared" si="5"/>
        <v>0</v>
      </c>
    </row>
    <row r="76" spans="2:16">
      <c r="B76" s="54" t="s">
        <v>214</v>
      </c>
      <c r="C76" s="271" t="s">
        <v>50</v>
      </c>
      <c r="D76" s="541" t="s">
        <v>50</v>
      </c>
      <c r="E76" s="452">
        <f>E58+E60</f>
        <v>0</v>
      </c>
      <c r="F76" s="452">
        <f t="shared" ref="F76:N76" si="6">F58+F60</f>
        <v>0</v>
      </c>
      <c r="G76" s="452">
        <f t="shared" si="6"/>
        <v>0</v>
      </c>
      <c r="H76" s="452">
        <f t="shared" si="6"/>
        <v>0</v>
      </c>
      <c r="I76" s="452">
        <f t="shared" si="6"/>
        <v>0</v>
      </c>
      <c r="J76" s="452">
        <f t="shared" si="6"/>
        <v>0</v>
      </c>
      <c r="K76" s="21">
        <f t="shared" si="6"/>
        <v>0</v>
      </c>
      <c r="L76" s="21">
        <f t="shared" si="6"/>
        <v>0</v>
      </c>
      <c r="M76" s="21">
        <f t="shared" si="6"/>
        <v>0</v>
      </c>
      <c r="N76" s="21">
        <f t="shared" si="6"/>
        <v>0</v>
      </c>
      <c r="O76" s="21">
        <f t="shared" ref="O76" si="7">O58+O60</f>
        <v>0</v>
      </c>
    </row>
    <row r="77" spans="2:16">
      <c r="B77" s="54" t="s">
        <v>213</v>
      </c>
      <c r="C77" s="271" t="s">
        <v>50</v>
      </c>
      <c r="D77" s="541" t="s">
        <v>50</v>
      </c>
      <c r="E77" s="21">
        <f>SUM(E61:E65)+E59</f>
        <v>0</v>
      </c>
      <c r="F77" s="21">
        <f t="shared" ref="F77:N77" si="8">SUM(F61:F65)+F59</f>
        <v>89</v>
      </c>
      <c r="G77" s="21">
        <f t="shared" si="8"/>
        <v>0</v>
      </c>
      <c r="H77" s="21">
        <f t="shared" si="8"/>
        <v>0</v>
      </c>
      <c r="I77" s="21">
        <f t="shared" si="8"/>
        <v>0</v>
      </c>
      <c r="J77" s="21">
        <f t="shared" si="8"/>
        <v>0</v>
      </c>
      <c r="K77" s="21">
        <f t="shared" si="8"/>
        <v>0</v>
      </c>
      <c r="L77" s="21">
        <f t="shared" si="8"/>
        <v>0</v>
      </c>
      <c r="M77" s="21">
        <f t="shared" si="8"/>
        <v>0</v>
      </c>
      <c r="N77" s="21">
        <f t="shared" si="8"/>
        <v>0</v>
      </c>
      <c r="O77" s="21">
        <f t="shared" ref="O77" si="9">SUM(O61:O65)+O59</f>
        <v>0</v>
      </c>
    </row>
    <row r="78" spans="2:16">
      <c r="B78" s="102" t="s">
        <v>397</v>
      </c>
      <c r="C78" s="103" t="s">
        <v>50</v>
      </c>
      <c r="D78" s="104" t="s">
        <v>50</v>
      </c>
      <c r="E78" s="61">
        <f>SUM(E66:E69)</f>
        <v>0</v>
      </c>
      <c r="F78" s="61">
        <f t="shared" ref="F78:M78" si="10">SUM(F66:F69)</f>
        <v>0</v>
      </c>
      <c r="G78" s="61">
        <f t="shared" si="10"/>
        <v>0</v>
      </c>
      <c r="H78" s="61">
        <f t="shared" si="10"/>
        <v>0</v>
      </c>
      <c r="I78" s="61">
        <f t="shared" si="10"/>
        <v>0</v>
      </c>
      <c r="J78" s="61">
        <f>SUM(J66:J69)</f>
        <v>0</v>
      </c>
      <c r="K78" s="61">
        <f t="shared" si="10"/>
        <v>0</v>
      </c>
      <c r="L78" s="61">
        <f t="shared" si="10"/>
        <v>0</v>
      </c>
      <c r="M78" s="61">
        <f t="shared" si="10"/>
        <v>0</v>
      </c>
      <c r="N78" s="61">
        <f>SUM(N66:N69)</f>
        <v>0</v>
      </c>
      <c r="O78" s="61">
        <f>SUM(O66:O69)</f>
        <v>0</v>
      </c>
    </row>
    <row r="79" spans="2:16">
      <c r="L79" s="83"/>
      <c r="M79" s="83"/>
      <c r="N79" s="83"/>
      <c r="O79" s="83"/>
    </row>
    <row r="82" spans="2:15" ht="21">
      <c r="B82" s="14" t="s">
        <v>19</v>
      </c>
      <c r="C82" s="14"/>
      <c r="D82" s="14"/>
      <c r="E82" s="250"/>
      <c r="F82" s="250"/>
      <c r="G82" s="250"/>
      <c r="H82" s="250"/>
      <c r="I82" s="250"/>
      <c r="J82" s="250"/>
      <c r="K82" s="250"/>
      <c r="L82" s="455"/>
      <c r="M82" s="455"/>
      <c r="N82" s="455"/>
      <c r="O82" s="455"/>
    </row>
    <row r="83" spans="2:15">
      <c r="B83" s="86" t="str">
        <f>B6</f>
        <v>Data Rate</v>
      </c>
      <c r="C83" s="86" t="str">
        <f>C6</f>
        <v>Reach</v>
      </c>
      <c r="D83" s="86" t="str">
        <f>D6</f>
        <v>Form Factor</v>
      </c>
      <c r="E83" s="87">
        <v>2016</v>
      </c>
      <c r="F83" s="87">
        <v>2017</v>
      </c>
      <c r="G83" s="87">
        <v>2018</v>
      </c>
      <c r="H83" s="87">
        <v>2019</v>
      </c>
      <c r="I83" s="87">
        <v>2020</v>
      </c>
      <c r="J83" s="87">
        <v>2021</v>
      </c>
      <c r="K83" s="87">
        <v>2022</v>
      </c>
      <c r="L83" s="87">
        <v>2023</v>
      </c>
      <c r="M83" s="87">
        <v>2024</v>
      </c>
      <c r="N83" s="87">
        <v>2025</v>
      </c>
      <c r="O83" s="87">
        <v>2026</v>
      </c>
    </row>
    <row r="84" spans="2:15">
      <c r="B84" s="88" t="str">
        <f t="shared" ref="B84:D103" si="11">B9</f>
        <v>1G</v>
      </c>
      <c r="C84" s="89" t="str">
        <f t="shared" si="11"/>
        <v>500 m</v>
      </c>
      <c r="D84" s="90" t="str">
        <f t="shared" si="11"/>
        <v>SFP</v>
      </c>
      <c r="E84" s="110">
        <f t="shared" ref="E84:O84" si="12">IF(E9=0,"",E159*10^6/E9)</f>
        <v>10.178233731377588</v>
      </c>
      <c r="F84" s="110">
        <f t="shared" si="12"/>
        <v>8.9746992158904888</v>
      </c>
      <c r="G84" s="110" t="str">
        <f t="shared" si="12"/>
        <v/>
      </c>
      <c r="H84" s="110" t="str">
        <f t="shared" si="12"/>
        <v/>
      </c>
      <c r="I84" s="110" t="str">
        <f t="shared" si="12"/>
        <v/>
      </c>
      <c r="J84" s="110" t="str">
        <f t="shared" si="12"/>
        <v/>
      </c>
      <c r="K84" s="110" t="str">
        <f t="shared" si="12"/>
        <v/>
      </c>
      <c r="L84" s="111" t="str">
        <f t="shared" si="12"/>
        <v/>
      </c>
      <c r="M84" s="111" t="str">
        <f t="shared" si="12"/>
        <v/>
      </c>
      <c r="N84" s="111" t="str">
        <f t="shared" si="12"/>
        <v/>
      </c>
      <c r="O84" s="111" t="str">
        <f t="shared" si="12"/>
        <v/>
      </c>
    </row>
    <row r="85" spans="2:15">
      <c r="B85" s="96" t="str">
        <f t="shared" si="11"/>
        <v>1G</v>
      </c>
      <c r="C85" s="97" t="str">
        <f t="shared" si="11"/>
        <v>10 km</v>
      </c>
      <c r="D85" s="98" t="str">
        <f t="shared" si="11"/>
        <v>SFP</v>
      </c>
      <c r="E85" s="110">
        <f t="shared" ref="E85:O85" si="13">IF(E10=0,"",E160*10^6/E10)</f>
        <v>11.313150064475876</v>
      </c>
      <c r="F85" s="110">
        <f t="shared" si="13"/>
        <v>9.7279618337487541</v>
      </c>
      <c r="G85" s="110" t="str">
        <f t="shared" si="13"/>
        <v/>
      </c>
      <c r="H85" s="110" t="str">
        <f t="shared" si="13"/>
        <v/>
      </c>
      <c r="I85" s="110" t="str">
        <f t="shared" si="13"/>
        <v/>
      </c>
      <c r="J85" s="110" t="str">
        <f t="shared" si="13"/>
        <v/>
      </c>
      <c r="K85" s="110" t="str">
        <f t="shared" si="13"/>
        <v/>
      </c>
      <c r="L85" s="111" t="str">
        <f t="shared" si="13"/>
        <v/>
      </c>
      <c r="M85" s="111" t="str">
        <f t="shared" si="13"/>
        <v/>
      </c>
      <c r="N85" s="111" t="str">
        <f t="shared" si="13"/>
        <v/>
      </c>
      <c r="O85" s="111" t="str">
        <f t="shared" si="13"/>
        <v/>
      </c>
    </row>
    <row r="86" spans="2:15">
      <c r="B86" s="96" t="str">
        <f t="shared" si="11"/>
        <v>1G</v>
      </c>
      <c r="C86" s="97" t="str">
        <f t="shared" si="11"/>
        <v>40 km</v>
      </c>
      <c r="D86" s="98" t="str">
        <f t="shared" si="11"/>
        <v>SFP</v>
      </c>
      <c r="E86" s="110">
        <f t="shared" ref="E86:O86" si="14">IF(E11=0,"",E161*10^6/E11)</f>
        <v>14.223250006112197</v>
      </c>
      <c r="F86" s="110">
        <f t="shared" si="14"/>
        <v>11.270556706605298</v>
      </c>
      <c r="G86" s="110" t="str">
        <f t="shared" si="14"/>
        <v/>
      </c>
      <c r="H86" s="110" t="str">
        <f t="shared" si="14"/>
        <v/>
      </c>
      <c r="I86" s="110" t="str">
        <f t="shared" si="14"/>
        <v/>
      </c>
      <c r="J86" s="110" t="str">
        <f t="shared" si="14"/>
        <v/>
      </c>
      <c r="K86" s="110" t="str">
        <f t="shared" si="14"/>
        <v/>
      </c>
      <c r="L86" s="111" t="str">
        <f t="shared" si="14"/>
        <v/>
      </c>
      <c r="M86" s="111" t="str">
        <f t="shared" si="14"/>
        <v/>
      </c>
      <c r="N86" s="111" t="str">
        <f t="shared" si="14"/>
        <v/>
      </c>
      <c r="O86" s="111" t="str">
        <f t="shared" si="14"/>
        <v/>
      </c>
    </row>
    <row r="87" spans="2:15">
      <c r="B87" s="96" t="str">
        <f t="shared" si="11"/>
        <v>1G</v>
      </c>
      <c r="C87" s="97" t="str">
        <f t="shared" si="11"/>
        <v>80 km</v>
      </c>
      <c r="D87" s="98" t="str">
        <f t="shared" si="11"/>
        <v>SFP</v>
      </c>
      <c r="E87" s="110">
        <f t="shared" ref="E87:O87" si="15">IF(E12=0,"",E162*10^6/E12)</f>
        <v>47.263945249069465</v>
      </c>
      <c r="F87" s="110">
        <f t="shared" si="15"/>
        <v>42.349942382451964</v>
      </c>
      <c r="G87" s="110" t="str">
        <f t="shared" si="15"/>
        <v/>
      </c>
      <c r="H87" s="110" t="str">
        <f t="shared" si="15"/>
        <v/>
      </c>
      <c r="I87" s="110" t="str">
        <f t="shared" si="15"/>
        <v/>
      </c>
      <c r="J87" s="110" t="str">
        <f t="shared" si="15"/>
        <v/>
      </c>
      <c r="K87" s="110" t="str">
        <f t="shared" si="15"/>
        <v/>
      </c>
      <c r="L87" s="111" t="str">
        <f t="shared" si="15"/>
        <v/>
      </c>
      <c r="M87" s="111" t="str">
        <f t="shared" si="15"/>
        <v/>
      </c>
      <c r="N87" s="111" t="str">
        <f t="shared" si="15"/>
        <v/>
      </c>
      <c r="O87" s="111" t="str">
        <f t="shared" si="15"/>
        <v/>
      </c>
    </row>
    <row r="88" spans="2:15">
      <c r="B88" s="92" t="str">
        <f t="shared" si="11"/>
        <v>G &amp; Fast Ethernet</v>
      </c>
      <c r="C88" s="93" t="str">
        <f t="shared" si="11"/>
        <v>Various</v>
      </c>
      <c r="D88" s="94" t="str">
        <f t="shared" si="11"/>
        <v>Legacy/discontinued</v>
      </c>
      <c r="E88" s="109">
        <f t="shared" ref="E88:G107" si="16">IF(E13=0,"",E163*10^6/E13)</f>
        <v>18</v>
      </c>
      <c r="F88" s="109" t="str">
        <f t="shared" si="16"/>
        <v/>
      </c>
      <c r="G88" s="109" t="str">
        <f t="shared" si="16"/>
        <v/>
      </c>
      <c r="H88" s="109"/>
      <c r="I88" s="109"/>
      <c r="J88" s="109"/>
      <c r="K88" s="109"/>
      <c r="L88" s="457"/>
      <c r="M88" s="457"/>
      <c r="N88" s="457"/>
      <c r="O88" s="457"/>
    </row>
    <row r="89" spans="2:15">
      <c r="B89" s="96" t="str">
        <f t="shared" si="11"/>
        <v>10G</v>
      </c>
      <c r="C89" s="97" t="str">
        <f t="shared" si="11"/>
        <v>300 m</v>
      </c>
      <c r="D89" s="98" t="str">
        <f t="shared" si="11"/>
        <v>XFP</v>
      </c>
      <c r="E89" s="110">
        <f t="shared" si="16"/>
        <v>65.084287545305614</v>
      </c>
      <c r="F89" s="110">
        <f t="shared" si="16"/>
        <v>58.749084731162213</v>
      </c>
      <c r="G89" s="110" t="str">
        <f t="shared" si="16"/>
        <v/>
      </c>
      <c r="H89" s="110" t="str">
        <f t="shared" ref="H89:O98" si="17">IF(H14=0,"",H164*10^6/H14)</f>
        <v/>
      </c>
      <c r="I89" s="110" t="str">
        <f t="shared" si="17"/>
        <v/>
      </c>
      <c r="J89" s="110" t="str">
        <f t="shared" si="17"/>
        <v/>
      </c>
      <c r="K89" s="110" t="str">
        <f t="shared" si="17"/>
        <v/>
      </c>
      <c r="L89" s="111" t="str">
        <f t="shared" si="17"/>
        <v/>
      </c>
      <c r="M89" s="111" t="str">
        <f t="shared" si="17"/>
        <v/>
      </c>
      <c r="N89" s="111" t="str">
        <f t="shared" si="17"/>
        <v/>
      </c>
      <c r="O89" s="111" t="str">
        <f t="shared" si="17"/>
        <v/>
      </c>
    </row>
    <row r="90" spans="2:15">
      <c r="B90" s="96" t="str">
        <f t="shared" si="11"/>
        <v>10G</v>
      </c>
      <c r="C90" s="97" t="str">
        <f t="shared" si="11"/>
        <v>300 m</v>
      </c>
      <c r="D90" s="98" t="str">
        <f t="shared" si="11"/>
        <v>SFP+</v>
      </c>
      <c r="E90" s="110">
        <f t="shared" si="16"/>
        <v>18.016278339273537</v>
      </c>
      <c r="F90" s="110">
        <f t="shared" si="16"/>
        <v>15.097691372748406</v>
      </c>
      <c r="G90" s="110" t="str">
        <f t="shared" si="16"/>
        <v/>
      </c>
      <c r="H90" s="110" t="str">
        <f t="shared" si="17"/>
        <v/>
      </c>
      <c r="I90" s="110" t="str">
        <f t="shared" si="17"/>
        <v/>
      </c>
      <c r="J90" s="110" t="str">
        <f t="shared" si="17"/>
        <v/>
      </c>
      <c r="K90" s="110" t="str">
        <f t="shared" si="17"/>
        <v/>
      </c>
      <c r="L90" s="111" t="str">
        <f t="shared" si="17"/>
        <v/>
      </c>
      <c r="M90" s="111" t="str">
        <f t="shared" si="17"/>
        <v/>
      </c>
      <c r="N90" s="111" t="str">
        <f t="shared" si="17"/>
        <v/>
      </c>
      <c r="O90" s="111" t="str">
        <f t="shared" si="17"/>
        <v/>
      </c>
    </row>
    <row r="91" spans="2:15">
      <c r="B91" s="96" t="str">
        <f t="shared" si="11"/>
        <v>10G LRM</v>
      </c>
      <c r="C91" s="97" t="str">
        <f t="shared" si="11"/>
        <v>220 m</v>
      </c>
      <c r="D91" s="98" t="str">
        <f t="shared" si="11"/>
        <v>SFP+</v>
      </c>
      <c r="E91" s="110">
        <f t="shared" si="16"/>
        <v>78.390761412913719</v>
      </c>
      <c r="F91" s="110">
        <f t="shared" si="16"/>
        <v>66.716018564745482</v>
      </c>
      <c r="G91" s="110" t="str">
        <f t="shared" si="16"/>
        <v/>
      </c>
      <c r="H91" s="110" t="str">
        <f t="shared" si="17"/>
        <v/>
      </c>
      <c r="I91" s="110" t="str">
        <f t="shared" si="17"/>
        <v/>
      </c>
      <c r="J91" s="110" t="str">
        <f t="shared" si="17"/>
        <v/>
      </c>
      <c r="K91" s="110" t="str">
        <f t="shared" si="17"/>
        <v/>
      </c>
      <c r="L91" s="111" t="str">
        <f t="shared" si="17"/>
        <v/>
      </c>
      <c r="M91" s="111" t="str">
        <f t="shared" si="17"/>
        <v/>
      </c>
      <c r="N91" s="111" t="str">
        <f t="shared" si="17"/>
        <v/>
      </c>
      <c r="O91" s="111" t="str">
        <f t="shared" si="17"/>
        <v/>
      </c>
    </row>
    <row r="92" spans="2:15">
      <c r="B92" s="96" t="str">
        <f t="shared" si="11"/>
        <v>10G</v>
      </c>
      <c r="C92" s="97" t="str">
        <f t="shared" si="11"/>
        <v>10 km</v>
      </c>
      <c r="D92" s="98" t="str">
        <f t="shared" si="11"/>
        <v>XFP</v>
      </c>
      <c r="E92" s="110">
        <f t="shared" si="16"/>
        <v>67.576972221049004</v>
      </c>
      <c r="F92" s="110">
        <f t="shared" si="16"/>
        <v>51.799368807617711</v>
      </c>
      <c r="G92" s="110" t="str">
        <f t="shared" si="16"/>
        <v/>
      </c>
      <c r="H92" s="110" t="str">
        <f t="shared" si="17"/>
        <v/>
      </c>
      <c r="I92" s="110" t="str">
        <f t="shared" si="17"/>
        <v/>
      </c>
      <c r="J92" s="110" t="str">
        <f t="shared" si="17"/>
        <v/>
      </c>
      <c r="K92" s="110" t="str">
        <f t="shared" si="17"/>
        <v/>
      </c>
      <c r="L92" s="111" t="str">
        <f t="shared" si="17"/>
        <v/>
      </c>
      <c r="M92" s="111" t="str">
        <f t="shared" si="17"/>
        <v/>
      </c>
      <c r="N92" s="111" t="str">
        <f t="shared" si="17"/>
        <v/>
      </c>
      <c r="O92" s="111" t="str">
        <f t="shared" si="17"/>
        <v/>
      </c>
    </row>
    <row r="93" spans="2:15">
      <c r="B93" s="96" t="str">
        <f t="shared" si="11"/>
        <v>10G</v>
      </c>
      <c r="C93" s="97" t="str">
        <f t="shared" si="11"/>
        <v>10 km</v>
      </c>
      <c r="D93" s="98" t="str">
        <f t="shared" si="11"/>
        <v>SFP+</v>
      </c>
      <c r="E93" s="110">
        <f t="shared" si="16"/>
        <v>38.465958311427336</v>
      </c>
      <c r="F93" s="110">
        <f t="shared" si="16"/>
        <v>30.5</v>
      </c>
      <c r="G93" s="110" t="str">
        <f t="shared" si="16"/>
        <v/>
      </c>
      <c r="H93" s="110" t="str">
        <f t="shared" si="17"/>
        <v/>
      </c>
      <c r="I93" s="110" t="str">
        <f t="shared" si="17"/>
        <v/>
      </c>
      <c r="J93" s="110" t="str">
        <f t="shared" si="17"/>
        <v/>
      </c>
      <c r="K93" s="110" t="str">
        <f t="shared" si="17"/>
        <v/>
      </c>
      <c r="L93" s="111" t="str">
        <f t="shared" si="17"/>
        <v/>
      </c>
      <c r="M93" s="111" t="str">
        <f t="shared" si="17"/>
        <v/>
      </c>
      <c r="N93" s="111" t="str">
        <f t="shared" si="17"/>
        <v/>
      </c>
      <c r="O93" s="111" t="str">
        <f t="shared" si="17"/>
        <v/>
      </c>
    </row>
    <row r="94" spans="2:15">
      <c r="B94" s="96" t="str">
        <f t="shared" si="11"/>
        <v>10G</v>
      </c>
      <c r="C94" s="97" t="str">
        <f t="shared" si="11"/>
        <v>40 km</v>
      </c>
      <c r="D94" s="98" t="str">
        <f t="shared" si="11"/>
        <v>XFP</v>
      </c>
      <c r="E94" s="110">
        <f t="shared" si="16"/>
        <v>202.96860771881492</v>
      </c>
      <c r="F94" s="110">
        <f t="shared" si="16"/>
        <v>139.47449702400385</v>
      </c>
      <c r="G94" s="110" t="str">
        <f t="shared" si="16"/>
        <v/>
      </c>
      <c r="H94" s="110" t="str">
        <f t="shared" si="17"/>
        <v/>
      </c>
      <c r="I94" s="110" t="str">
        <f t="shared" si="17"/>
        <v/>
      </c>
      <c r="J94" s="110" t="str">
        <f t="shared" si="17"/>
        <v/>
      </c>
      <c r="K94" s="110" t="str">
        <f t="shared" si="17"/>
        <v/>
      </c>
      <c r="L94" s="111" t="str">
        <f t="shared" si="17"/>
        <v/>
      </c>
      <c r="M94" s="111" t="str">
        <f t="shared" si="17"/>
        <v/>
      </c>
      <c r="N94" s="111" t="str">
        <f t="shared" si="17"/>
        <v/>
      </c>
      <c r="O94" s="111" t="str">
        <f t="shared" si="17"/>
        <v/>
      </c>
    </row>
    <row r="95" spans="2:15">
      <c r="B95" s="96" t="str">
        <f t="shared" si="11"/>
        <v>10G</v>
      </c>
      <c r="C95" s="97" t="str">
        <f t="shared" si="11"/>
        <v>40 km</v>
      </c>
      <c r="D95" s="98" t="str">
        <f t="shared" si="11"/>
        <v>SFP+</v>
      </c>
      <c r="E95" s="110">
        <f t="shared" si="16"/>
        <v>191.20778168956542</v>
      </c>
      <c r="F95" s="110">
        <f t="shared" si="16"/>
        <v>155.78241680453388</v>
      </c>
      <c r="G95" s="110" t="str">
        <f t="shared" si="16"/>
        <v/>
      </c>
      <c r="H95" s="110" t="str">
        <f t="shared" si="17"/>
        <v/>
      </c>
      <c r="I95" s="110" t="str">
        <f t="shared" si="17"/>
        <v/>
      </c>
      <c r="J95" s="110" t="str">
        <f t="shared" si="17"/>
        <v/>
      </c>
      <c r="K95" s="110" t="str">
        <f t="shared" si="17"/>
        <v/>
      </c>
      <c r="L95" s="111" t="str">
        <f t="shared" si="17"/>
        <v/>
      </c>
      <c r="M95" s="111" t="str">
        <f t="shared" si="17"/>
        <v/>
      </c>
      <c r="N95" s="111" t="str">
        <f t="shared" si="17"/>
        <v/>
      </c>
      <c r="O95" s="111" t="str">
        <f t="shared" si="17"/>
        <v/>
      </c>
    </row>
    <row r="96" spans="2:15">
      <c r="B96" s="96" t="str">
        <f t="shared" si="11"/>
        <v>10G</v>
      </c>
      <c r="C96" s="97" t="str">
        <f t="shared" si="11"/>
        <v>80 km</v>
      </c>
      <c r="D96" s="98" t="str">
        <f t="shared" si="11"/>
        <v>XFP</v>
      </c>
      <c r="E96" s="110">
        <f t="shared" si="16"/>
        <v>272.0748723385496</v>
      </c>
      <c r="F96" s="110">
        <f t="shared" si="16"/>
        <v>279.05568350167476</v>
      </c>
      <c r="G96" s="110" t="str">
        <f t="shared" si="16"/>
        <v/>
      </c>
      <c r="H96" s="110" t="str">
        <f t="shared" si="17"/>
        <v/>
      </c>
      <c r="I96" s="110" t="str">
        <f t="shared" si="17"/>
        <v/>
      </c>
      <c r="J96" s="110" t="str">
        <f t="shared" si="17"/>
        <v/>
      </c>
      <c r="K96" s="110" t="str">
        <f t="shared" si="17"/>
        <v/>
      </c>
      <c r="L96" s="110" t="str">
        <f t="shared" si="17"/>
        <v/>
      </c>
      <c r="M96" s="110" t="str">
        <f t="shared" si="17"/>
        <v/>
      </c>
      <c r="N96" s="110" t="str">
        <f t="shared" si="17"/>
        <v/>
      </c>
      <c r="O96" s="110" t="str">
        <f t="shared" si="17"/>
        <v/>
      </c>
    </row>
    <row r="97" spans="2:15">
      <c r="B97" s="96" t="str">
        <f t="shared" si="11"/>
        <v>10G</v>
      </c>
      <c r="C97" s="97" t="str">
        <f t="shared" si="11"/>
        <v>80 km</v>
      </c>
      <c r="D97" s="98" t="str">
        <f t="shared" si="11"/>
        <v>SFP+</v>
      </c>
      <c r="E97" s="110">
        <f t="shared" si="16"/>
        <v>362.31733736347383</v>
      </c>
      <c r="F97" s="110">
        <f t="shared" si="16"/>
        <v>296.14130230693672</v>
      </c>
      <c r="G97" s="110" t="str">
        <f t="shared" si="16"/>
        <v/>
      </c>
      <c r="H97" s="110" t="str">
        <f t="shared" si="17"/>
        <v/>
      </c>
      <c r="I97" s="110" t="str">
        <f t="shared" si="17"/>
        <v/>
      </c>
      <c r="J97" s="110" t="str">
        <f t="shared" si="17"/>
        <v/>
      </c>
      <c r="K97" s="110" t="str">
        <f t="shared" si="17"/>
        <v/>
      </c>
      <c r="L97" s="111" t="str">
        <f t="shared" si="17"/>
        <v/>
      </c>
      <c r="M97" s="111" t="str">
        <f t="shared" si="17"/>
        <v/>
      </c>
      <c r="N97" s="111" t="str">
        <f t="shared" si="17"/>
        <v/>
      </c>
      <c r="O97" s="111" t="str">
        <f t="shared" si="17"/>
        <v/>
      </c>
    </row>
    <row r="98" spans="2:15">
      <c r="B98" s="96" t="str">
        <f t="shared" si="11"/>
        <v>10G</v>
      </c>
      <c r="C98" s="97" t="str">
        <f t="shared" si="11"/>
        <v>Various</v>
      </c>
      <c r="D98" s="98" t="str">
        <f t="shared" si="11"/>
        <v>Legacy/discontinued</v>
      </c>
      <c r="E98" s="109">
        <f t="shared" si="16"/>
        <v>99.093186017554928</v>
      </c>
      <c r="F98" s="109">
        <f t="shared" si="16"/>
        <v>94.281145957499305</v>
      </c>
      <c r="G98" s="109" t="str">
        <f t="shared" si="16"/>
        <v/>
      </c>
      <c r="H98" s="109" t="str">
        <f t="shared" si="17"/>
        <v/>
      </c>
      <c r="I98" s="109" t="str">
        <f t="shared" si="17"/>
        <v/>
      </c>
      <c r="J98" s="109" t="str">
        <f t="shared" si="17"/>
        <v/>
      </c>
      <c r="K98" s="109" t="str">
        <f t="shared" si="17"/>
        <v/>
      </c>
      <c r="L98" s="457" t="str">
        <f t="shared" si="17"/>
        <v/>
      </c>
      <c r="M98" s="457" t="str">
        <f t="shared" si="17"/>
        <v/>
      </c>
      <c r="N98" s="457" t="str">
        <f t="shared" si="17"/>
        <v/>
      </c>
      <c r="O98" s="457" t="str">
        <f t="shared" si="17"/>
        <v/>
      </c>
    </row>
    <row r="99" spans="2:15">
      <c r="B99" s="88" t="str">
        <f t="shared" si="11"/>
        <v>25G SR, eSR</v>
      </c>
      <c r="C99" s="89" t="str">
        <f t="shared" si="11"/>
        <v>100 - 300 m</v>
      </c>
      <c r="D99" s="90" t="str">
        <f t="shared" si="11"/>
        <v>SFP28</v>
      </c>
      <c r="E99" s="108">
        <f t="shared" si="16"/>
        <v>187.14315701091519</v>
      </c>
      <c r="F99" s="108">
        <f t="shared" si="16"/>
        <v>141.11071819746516</v>
      </c>
      <c r="G99" s="108" t="str">
        <f t="shared" si="16"/>
        <v/>
      </c>
      <c r="H99" s="108" t="str">
        <f t="shared" ref="H99:O108" si="18">IF(H24=0,"",H174*10^6/H24)</f>
        <v/>
      </c>
      <c r="I99" s="108" t="str">
        <f t="shared" si="18"/>
        <v/>
      </c>
      <c r="J99" s="108" t="str">
        <f t="shared" si="18"/>
        <v/>
      </c>
      <c r="K99" s="108" t="str">
        <f t="shared" si="18"/>
        <v/>
      </c>
      <c r="L99" s="363" t="str">
        <f t="shared" si="18"/>
        <v/>
      </c>
      <c r="M99" s="363" t="str">
        <f t="shared" si="18"/>
        <v/>
      </c>
      <c r="N99" s="363" t="str">
        <f t="shared" si="18"/>
        <v/>
      </c>
      <c r="O99" s="363" t="str">
        <f t="shared" si="18"/>
        <v/>
      </c>
    </row>
    <row r="100" spans="2:15">
      <c r="B100" s="96" t="str">
        <f t="shared" si="11"/>
        <v>25G LR</v>
      </c>
      <c r="C100" s="97" t="str">
        <f t="shared" si="11"/>
        <v>10 km</v>
      </c>
      <c r="D100" s="98" t="str">
        <f t="shared" si="11"/>
        <v>SFP28</v>
      </c>
      <c r="E100" s="110">
        <f t="shared" si="16"/>
        <v>456.24032541776609</v>
      </c>
      <c r="F100" s="110">
        <f t="shared" si="16"/>
        <v>324.10355668962507</v>
      </c>
      <c r="G100" s="110" t="str">
        <f t="shared" si="16"/>
        <v/>
      </c>
      <c r="H100" s="110" t="str">
        <f t="shared" si="18"/>
        <v/>
      </c>
      <c r="I100" s="110" t="str">
        <f t="shared" si="18"/>
        <v/>
      </c>
      <c r="J100" s="110" t="str">
        <f t="shared" si="18"/>
        <v/>
      </c>
      <c r="K100" s="110" t="str">
        <f t="shared" si="18"/>
        <v/>
      </c>
      <c r="L100" s="111" t="str">
        <f t="shared" si="18"/>
        <v/>
      </c>
      <c r="M100" s="111" t="str">
        <f t="shared" si="18"/>
        <v/>
      </c>
      <c r="N100" s="111" t="str">
        <f t="shared" si="18"/>
        <v/>
      </c>
      <c r="O100" s="111" t="str">
        <f t="shared" si="18"/>
        <v/>
      </c>
    </row>
    <row r="101" spans="2:15">
      <c r="B101" s="92" t="str">
        <f t="shared" si="11"/>
        <v>25G ER</v>
      </c>
      <c r="C101" s="93" t="str">
        <f t="shared" si="11"/>
        <v>40 km</v>
      </c>
      <c r="D101" s="94" t="str">
        <f t="shared" si="11"/>
        <v>SFP28</v>
      </c>
      <c r="E101" s="110" t="str">
        <f t="shared" si="16"/>
        <v/>
      </c>
      <c r="F101" s="110" t="str">
        <f t="shared" si="16"/>
        <v/>
      </c>
      <c r="G101" s="110" t="str">
        <f t="shared" si="16"/>
        <v/>
      </c>
      <c r="H101" s="110" t="str">
        <f t="shared" si="18"/>
        <v/>
      </c>
      <c r="I101" s="110" t="str">
        <f t="shared" si="18"/>
        <v/>
      </c>
      <c r="J101" s="110" t="str">
        <f t="shared" si="18"/>
        <v/>
      </c>
      <c r="K101" s="110" t="str">
        <f t="shared" si="18"/>
        <v/>
      </c>
      <c r="L101" s="111" t="str">
        <f t="shared" si="18"/>
        <v/>
      </c>
      <c r="M101" s="111" t="str">
        <f t="shared" si="18"/>
        <v/>
      </c>
      <c r="N101" s="111" t="str">
        <f t="shared" si="18"/>
        <v/>
      </c>
      <c r="O101" s="111" t="str">
        <f t="shared" si="18"/>
        <v/>
      </c>
    </row>
    <row r="102" spans="2:15">
      <c r="B102" s="96" t="str">
        <f t="shared" si="11"/>
        <v>40G SR4</v>
      </c>
      <c r="C102" s="97" t="str">
        <f t="shared" si="11"/>
        <v>100 m</v>
      </c>
      <c r="D102" s="98" t="str">
        <f t="shared" si="11"/>
        <v>QSFP+</v>
      </c>
      <c r="E102" s="108">
        <f t="shared" si="16"/>
        <v>96.595063887564976</v>
      </c>
      <c r="F102" s="108">
        <f t="shared" si="16"/>
        <v>80.379797575925679</v>
      </c>
      <c r="G102" s="108" t="str">
        <f t="shared" si="16"/>
        <v/>
      </c>
      <c r="H102" s="108" t="str">
        <f t="shared" si="18"/>
        <v/>
      </c>
      <c r="I102" s="108" t="str">
        <f t="shared" si="18"/>
        <v/>
      </c>
      <c r="J102" s="108" t="str">
        <f t="shared" si="18"/>
        <v/>
      </c>
      <c r="K102" s="108" t="str">
        <f t="shared" si="18"/>
        <v/>
      </c>
      <c r="L102" s="363" t="str">
        <f t="shared" si="18"/>
        <v/>
      </c>
      <c r="M102" s="363" t="str">
        <f t="shared" si="18"/>
        <v/>
      </c>
      <c r="N102" s="363" t="str">
        <f t="shared" si="18"/>
        <v/>
      </c>
      <c r="O102" s="363" t="str">
        <f t="shared" si="18"/>
        <v/>
      </c>
    </row>
    <row r="103" spans="2:15">
      <c r="B103" s="96" t="str">
        <f t="shared" si="11"/>
        <v>40G MM duplex</v>
      </c>
      <c r="C103" s="97" t="str">
        <f t="shared" si="11"/>
        <v>100 m</v>
      </c>
      <c r="D103" s="98" t="str">
        <f t="shared" si="11"/>
        <v>QSFP+</v>
      </c>
      <c r="E103" s="110">
        <f t="shared" si="16"/>
        <v>250</v>
      </c>
      <c r="F103" s="110">
        <f t="shared" si="16"/>
        <v>240</v>
      </c>
      <c r="G103" s="110" t="str">
        <f t="shared" si="16"/>
        <v/>
      </c>
      <c r="H103" s="110" t="str">
        <f t="shared" si="18"/>
        <v/>
      </c>
      <c r="I103" s="110" t="str">
        <f t="shared" si="18"/>
        <v/>
      </c>
      <c r="J103" s="110" t="str">
        <f t="shared" si="18"/>
        <v/>
      </c>
      <c r="K103" s="110" t="str">
        <f t="shared" si="18"/>
        <v/>
      </c>
      <c r="L103" s="111" t="str">
        <f t="shared" si="18"/>
        <v/>
      </c>
      <c r="M103" s="111" t="str">
        <f t="shared" si="18"/>
        <v/>
      </c>
      <c r="N103" s="111" t="str">
        <f t="shared" si="18"/>
        <v/>
      </c>
      <c r="O103" s="111" t="str">
        <f t="shared" si="18"/>
        <v/>
      </c>
    </row>
    <row r="104" spans="2:15">
      <c r="B104" s="96" t="str">
        <f t="shared" ref="B104:D123" si="19">B29</f>
        <v>40G eSR4</v>
      </c>
      <c r="C104" s="97" t="str">
        <f t="shared" si="19"/>
        <v>300 m</v>
      </c>
      <c r="D104" s="98" t="str">
        <f t="shared" si="19"/>
        <v>QSFP+</v>
      </c>
      <c r="E104" s="110">
        <f t="shared" si="16"/>
        <v>106.66614587912188</v>
      </c>
      <c r="F104" s="110">
        <f t="shared" si="16"/>
        <v>80.99928194026171</v>
      </c>
      <c r="G104" s="110" t="str">
        <f t="shared" si="16"/>
        <v/>
      </c>
      <c r="H104" s="110" t="str">
        <f t="shared" si="18"/>
        <v/>
      </c>
      <c r="I104" s="110" t="str">
        <f t="shared" si="18"/>
        <v/>
      </c>
      <c r="J104" s="110" t="str">
        <f t="shared" si="18"/>
        <v/>
      </c>
      <c r="K104" s="110" t="str">
        <f t="shared" si="18"/>
        <v/>
      </c>
      <c r="L104" s="111" t="str">
        <f t="shared" si="18"/>
        <v/>
      </c>
      <c r="M104" s="111" t="str">
        <f t="shared" si="18"/>
        <v/>
      </c>
      <c r="N104" s="111" t="str">
        <f t="shared" si="18"/>
        <v/>
      </c>
      <c r="O104" s="111" t="str">
        <f t="shared" si="18"/>
        <v/>
      </c>
    </row>
    <row r="105" spans="2:15">
      <c r="B105" s="96" t="str">
        <f t="shared" si="19"/>
        <v xml:space="preserve">40G PSM4 </v>
      </c>
      <c r="C105" s="97" t="str">
        <f t="shared" si="19"/>
        <v>500 m</v>
      </c>
      <c r="D105" s="98" t="str">
        <f t="shared" si="19"/>
        <v>QSFP+</v>
      </c>
      <c r="E105" s="111">
        <f t="shared" si="16"/>
        <v>253.19068527507093</v>
      </c>
      <c r="F105" s="111">
        <f t="shared" si="16"/>
        <v>262.79055146339874</v>
      </c>
      <c r="G105" s="111" t="str">
        <f t="shared" si="16"/>
        <v/>
      </c>
      <c r="H105" s="111" t="str">
        <f t="shared" si="18"/>
        <v/>
      </c>
      <c r="I105" s="111" t="str">
        <f t="shared" si="18"/>
        <v/>
      </c>
      <c r="J105" s="111" t="str">
        <f t="shared" si="18"/>
        <v/>
      </c>
      <c r="K105" s="111" t="str">
        <f t="shared" si="18"/>
        <v/>
      </c>
      <c r="L105" s="111" t="str">
        <f t="shared" si="18"/>
        <v/>
      </c>
      <c r="M105" s="111" t="str">
        <f t="shared" si="18"/>
        <v/>
      </c>
      <c r="N105" s="111" t="str">
        <f t="shared" si="18"/>
        <v/>
      </c>
      <c r="O105" s="111" t="str">
        <f t="shared" si="18"/>
        <v/>
      </c>
    </row>
    <row r="106" spans="2:15">
      <c r="B106" s="96" t="str">
        <f t="shared" si="19"/>
        <v>40G (FR)</v>
      </c>
      <c r="C106" s="97" t="str">
        <f t="shared" si="19"/>
        <v>2 km</v>
      </c>
      <c r="D106" s="98" t="str">
        <f t="shared" si="19"/>
        <v>CFP</v>
      </c>
      <c r="E106" s="110">
        <f t="shared" si="16"/>
        <v>4569.894941368153</v>
      </c>
      <c r="F106" s="110">
        <f t="shared" si="16"/>
        <v>5251.681208639473</v>
      </c>
      <c r="G106" s="110" t="str">
        <f t="shared" si="16"/>
        <v/>
      </c>
      <c r="H106" s="110" t="str">
        <f t="shared" si="18"/>
        <v/>
      </c>
      <c r="I106" s="110" t="str">
        <f t="shared" si="18"/>
        <v/>
      </c>
      <c r="J106" s="110" t="str">
        <f t="shared" si="18"/>
        <v/>
      </c>
      <c r="K106" s="110" t="str">
        <f t="shared" si="18"/>
        <v/>
      </c>
      <c r="L106" s="111" t="str">
        <f t="shared" si="18"/>
        <v/>
      </c>
      <c r="M106" s="111" t="str">
        <f t="shared" si="18"/>
        <v/>
      </c>
      <c r="N106" s="111" t="str">
        <f t="shared" si="18"/>
        <v/>
      </c>
      <c r="O106" s="111" t="str">
        <f t="shared" si="18"/>
        <v/>
      </c>
    </row>
    <row r="107" spans="2:15">
      <c r="B107" s="96" t="str">
        <f t="shared" si="19"/>
        <v>40G (LR4 subspec)</v>
      </c>
      <c r="C107" s="97" t="str">
        <f t="shared" si="19"/>
        <v>2 km</v>
      </c>
      <c r="D107" s="98" t="str">
        <f t="shared" si="19"/>
        <v>QSFP+</v>
      </c>
      <c r="E107" s="110">
        <f t="shared" si="16"/>
        <v>377.60055209491952</v>
      </c>
      <c r="F107" s="110">
        <f t="shared" si="16"/>
        <v>343.5254726908467</v>
      </c>
      <c r="G107" s="110" t="str">
        <f t="shared" si="16"/>
        <v/>
      </c>
      <c r="H107" s="110" t="str">
        <f t="shared" si="18"/>
        <v/>
      </c>
      <c r="I107" s="110" t="str">
        <f t="shared" si="18"/>
        <v/>
      </c>
      <c r="J107" s="110" t="str">
        <f t="shared" si="18"/>
        <v/>
      </c>
      <c r="K107" s="110" t="str">
        <f t="shared" si="18"/>
        <v/>
      </c>
      <c r="L107" s="111" t="str">
        <f t="shared" si="18"/>
        <v/>
      </c>
      <c r="M107" s="111" t="str">
        <f t="shared" si="18"/>
        <v/>
      </c>
      <c r="N107" s="111" t="str">
        <f t="shared" si="18"/>
        <v/>
      </c>
      <c r="O107" s="111" t="str">
        <f t="shared" si="18"/>
        <v/>
      </c>
    </row>
    <row r="108" spans="2:15">
      <c r="B108" s="96" t="str">
        <f t="shared" si="19"/>
        <v>40G</v>
      </c>
      <c r="C108" s="97" t="str">
        <f t="shared" si="19"/>
        <v>10 km</v>
      </c>
      <c r="D108" s="98" t="str">
        <f t="shared" si="19"/>
        <v>CFP</v>
      </c>
      <c r="E108" s="110">
        <f t="shared" ref="E108:G127" si="20">IF(E33=0,"",E183*10^6/E33)</f>
        <v>1174.9655306999969</v>
      </c>
      <c r="F108" s="110">
        <f t="shared" si="20"/>
        <v>1350.8997571323105</v>
      </c>
      <c r="G108" s="110" t="str">
        <f t="shared" si="20"/>
        <v/>
      </c>
      <c r="H108" s="110" t="str">
        <f t="shared" si="18"/>
        <v/>
      </c>
      <c r="I108" s="110" t="str">
        <f t="shared" si="18"/>
        <v/>
      </c>
      <c r="J108" s="110" t="str">
        <f t="shared" si="18"/>
        <v/>
      </c>
      <c r="K108" s="110" t="str">
        <f t="shared" si="18"/>
        <v/>
      </c>
      <c r="L108" s="111" t="str">
        <f t="shared" si="18"/>
        <v/>
      </c>
      <c r="M108" s="111" t="str">
        <f t="shared" si="18"/>
        <v/>
      </c>
      <c r="N108" s="111" t="str">
        <f t="shared" si="18"/>
        <v/>
      </c>
      <c r="O108" s="111" t="str">
        <f t="shared" si="18"/>
        <v/>
      </c>
    </row>
    <row r="109" spans="2:15">
      <c r="B109" s="96" t="str">
        <f t="shared" si="19"/>
        <v>40G</v>
      </c>
      <c r="C109" s="97" t="str">
        <f t="shared" si="19"/>
        <v>10 km</v>
      </c>
      <c r="D109" s="98" t="str">
        <f t="shared" si="19"/>
        <v>QSFP+</v>
      </c>
      <c r="E109" s="110">
        <f t="shared" si="20"/>
        <v>427.72742888770347</v>
      </c>
      <c r="F109" s="110">
        <f t="shared" si="20"/>
        <v>401.36672508917627</v>
      </c>
      <c r="G109" s="110" t="str">
        <f t="shared" si="20"/>
        <v/>
      </c>
      <c r="H109" s="110" t="str">
        <f t="shared" ref="H109:O118" si="21">IF(H34=0,"",H184*10^6/H34)</f>
        <v/>
      </c>
      <c r="I109" s="110" t="str">
        <f t="shared" si="21"/>
        <v/>
      </c>
      <c r="J109" s="110" t="str">
        <f t="shared" si="21"/>
        <v/>
      </c>
      <c r="K109" s="110" t="str">
        <f t="shared" si="21"/>
        <v/>
      </c>
      <c r="L109" s="111" t="str">
        <f t="shared" si="21"/>
        <v/>
      </c>
      <c r="M109" s="111" t="str">
        <f t="shared" si="21"/>
        <v/>
      </c>
      <c r="N109" s="111" t="str">
        <f t="shared" si="21"/>
        <v/>
      </c>
      <c r="O109" s="111" t="str">
        <f t="shared" si="21"/>
        <v/>
      </c>
    </row>
    <row r="110" spans="2:15">
      <c r="B110" s="92" t="str">
        <f t="shared" si="19"/>
        <v>40G</v>
      </c>
      <c r="C110" s="93" t="str">
        <f t="shared" si="19"/>
        <v>40 km</v>
      </c>
      <c r="D110" s="94" t="str">
        <f t="shared" si="19"/>
        <v>QSFP+</v>
      </c>
      <c r="E110" s="109">
        <f t="shared" si="20"/>
        <v>1673.0572324239708</v>
      </c>
      <c r="F110" s="109">
        <f t="shared" si="20"/>
        <v>1459.2330281290015</v>
      </c>
      <c r="G110" s="109" t="str">
        <f t="shared" si="20"/>
        <v/>
      </c>
      <c r="H110" s="109" t="str">
        <f t="shared" si="21"/>
        <v/>
      </c>
      <c r="I110" s="109" t="str">
        <f t="shared" si="21"/>
        <v/>
      </c>
      <c r="J110" s="109" t="str">
        <f t="shared" si="21"/>
        <v/>
      </c>
      <c r="K110" s="109" t="str">
        <f t="shared" si="21"/>
        <v/>
      </c>
      <c r="L110" s="457" t="str">
        <f t="shared" si="21"/>
        <v/>
      </c>
      <c r="M110" s="457" t="str">
        <f t="shared" si="21"/>
        <v/>
      </c>
      <c r="N110" s="457" t="str">
        <f t="shared" si="21"/>
        <v/>
      </c>
      <c r="O110" s="457" t="str">
        <f t="shared" si="21"/>
        <v/>
      </c>
    </row>
    <row r="111" spans="2:15">
      <c r="B111" s="88" t="str">
        <f t="shared" si="19"/>
        <v xml:space="preserve">50G </v>
      </c>
      <c r="C111" s="89" t="str">
        <f t="shared" si="19"/>
        <v>100 m</v>
      </c>
      <c r="D111" s="90" t="str">
        <f t="shared" si="19"/>
        <v>all</v>
      </c>
      <c r="E111" s="108" t="str">
        <f t="shared" si="20"/>
        <v/>
      </c>
      <c r="F111" s="108" t="str">
        <f t="shared" si="20"/>
        <v/>
      </c>
      <c r="G111" s="108" t="str">
        <f t="shared" si="20"/>
        <v/>
      </c>
      <c r="H111" s="108" t="str">
        <f t="shared" si="21"/>
        <v/>
      </c>
      <c r="I111" s="108" t="str">
        <f t="shared" si="21"/>
        <v/>
      </c>
      <c r="J111" s="108" t="str">
        <f t="shared" si="21"/>
        <v/>
      </c>
      <c r="K111" s="108" t="str">
        <f t="shared" si="21"/>
        <v/>
      </c>
      <c r="L111" s="363" t="str">
        <f t="shared" si="21"/>
        <v/>
      </c>
      <c r="M111" s="363" t="str">
        <f t="shared" si="21"/>
        <v/>
      </c>
      <c r="N111" s="363" t="str">
        <f t="shared" si="21"/>
        <v/>
      </c>
      <c r="O111" s="363" t="str">
        <f t="shared" si="21"/>
        <v/>
      </c>
    </row>
    <row r="112" spans="2:15">
      <c r="B112" s="243" t="str">
        <f t="shared" si="19"/>
        <v xml:space="preserve">50G </v>
      </c>
      <c r="C112" s="244" t="str">
        <f t="shared" si="19"/>
        <v>2 km</v>
      </c>
      <c r="D112" s="245" t="str">
        <f t="shared" si="19"/>
        <v>all</v>
      </c>
      <c r="E112" s="111" t="str">
        <f t="shared" si="20"/>
        <v/>
      </c>
      <c r="F112" s="111" t="str">
        <f t="shared" si="20"/>
        <v/>
      </c>
      <c r="G112" s="111" t="str">
        <f t="shared" si="20"/>
        <v/>
      </c>
      <c r="H112" s="111" t="str">
        <f t="shared" si="21"/>
        <v/>
      </c>
      <c r="I112" s="111" t="str">
        <f t="shared" si="21"/>
        <v/>
      </c>
      <c r="J112" s="111" t="str">
        <f t="shared" si="21"/>
        <v/>
      </c>
      <c r="K112" s="111" t="str">
        <f t="shared" si="21"/>
        <v/>
      </c>
      <c r="L112" s="111" t="str">
        <f t="shared" si="21"/>
        <v/>
      </c>
      <c r="M112" s="111" t="str">
        <f t="shared" si="21"/>
        <v/>
      </c>
      <c r="N112" s="111" t="str">
        <f t="shared" si="21"/>
        <v/>
      </c>
      <c r="O112" s="111" t="str">
        <f t="shared" si="21"/>
        <v/>
      </c>
    </row>
    <row r="113" spans="2:15">
      <c r="B113" s="243" t="str">
        <f t="shared" si="19"/>
        <v xml:space="preserve">50G </v>
      </c>
      <c r="C113" s="244" t="str">
        <f t="shared" si="19"/>
        <v>10 km</v>
      </c>
      <c r="D113" s="245" t="str">
        <f t="shared" si="19"/>
        <v>all</v>
      </c>
      <c r="E113" s="111" t="str">
        <f t="shared" si="20"/>
        <v/>
      </c>
      <c r="F113" s="111" t="str">
        <f t="shared" si="20"/>
        <v/>
      </c>
      <c r="G113" s="111" t="str">
        <f t="shared" si="20"/>
        <v/>
      </c>
      <c r="H113" s="111" t="str">
        <f t="shared" si="21"/>
        <v/>
      </c>
      <c r="I113" s="111" t="str">
        <f t="shared" si="21"/>
        <v/>
      </c>
      <c r="J113" s="111" t="str">
        <f t="shared" si="21"/>
        <v/>
      </c>
      <c r="K113" s="111" t="str">
        <f t="shared" si="21"/>
        <v/>
      </c>
      <c r="L113" s="111" t="str">
        <f t="shared" si="21"/>
        <v/>
      </c>
      <c r="M113" s="111" t="str">
        <f t="shared" si="21"/>
        <v/>
      </c>
      <c r="N113" s="111" t="str">
        <f t="shared" si="21"/>
        <v/>
      </c>
      <c r="O113" s="111" t="str">
        <f t="shared" si="21"/>
        <v/>
      </c>
    </row>
    <row r="114" spans="2:15">
      <c r="B114" s="88" t="str">
        <f t="shared" si="19"/>
        <v>100G SR4</v>
      </c>
      <c r="C114" s="89" t="str">
        <f t="shared" si="19"/>
        <v>100 m</v>
      </c>
      <c r="D114" s="90" t="str">
        <f t="shared" si="19"/>
        <v>CFP</v>
      </c>
      <c r="E114" s="108">
        <f t="shared" si="20"/>
        <v>1422.7039686825053</v>
      </c>
      <c r="F114" s="108">
        <f t="shared" si="20"/>
        <v>1273.3986691740201</v>
      </c>
      <c r="G114" s="108" t="str">
        <f t="shared" si="20"/>
        <v/>
      </c>
      <c r="H114" s="108" t="str">
        <f t="shared" si="21"/>
        <v/>
      </c>
      <c r="I114" s="108" t="str">
        <f t="shared" si="21"/>
        <v/>
      </c>
      <c r="J114" s="108" t="str">
        <f t="shared" si="21"/>
        <v/>
      </c>
      <c r="K114" s="108" t="str">
        <f t="shared" si="21"/>
        <v/>
      </c>
      <c r="L114" s="363" t="str">
        <f t="shared" si="21"/>
        <v/>
      </c>
      <c r="M114" s="363" t="str">
        <f t="shared" si="21"/>
        <v/>
      </c>
      <c r="N114" s="363" t="str">
        <f t="shared" si="21"/>
        <v/>
      </c>
      <c r="O114" s="363" t="str">
        <f t="shared" si="21"/>
        <v/>
      </c>
    </row>
    <row r="115" spans="2:15">
      <c r="B115" s="96" t="str">
        <f t="shared" si="19"/>
        <v>100G SR4</v>
      </c>
      <c r="C115" s="97" t="str">
        <f t="shared" si="19"/>
        <v>100 m</v>
      </c>
      <c r="D115" s="98" t="str">
        <f t="shared" si="19"/>
        <v>CFP2/4</v>
      </c>
      <c r="E115" s="110">
        <f t="shared" si="20"/>
        <v>1204.7629951912068</v>
      </c>
      <c r="F115" s="110">
        <f t="shared" si="20"/>
        <v>1092.608197443808</v>
      </c>
      <c r="G115" s="110" t="str">
        <f t="shared" si="20"/>
        <v/>
      </c>
      <c r="H115" s="110" t="str">
        <f t="shared" si="21"/>
        <v/>
      </c>
      <c r="I115" s="110" t="str">
        <f t="shared" si="21"/>
        <v/>
      </c>
      <c r="J115" s="110" t="str">
        <f t="shared" si="21"/>
        <v/>
      </c>
      <c r="K115" s="110" t="str">
        <f t="shared" si="21"/>
        <v/>
      </c>
      <c r="L115" s="111" t="str">
        <f t="shared" si="21"/>
        <v/>
      </c>
      <c r="M115" s="111" t="str">
        <f t="shared" si="21"/>
        <v/>
      </c>
      <c r="N115" s="111" t="str">
        <f t="shared" si="21"/>
        <v/>
      </c>
      <c r="O115" s="111" t="str">
        <f t="shared" si="21"/>
        <v/>
      </c>
    </row>
    <row r="116" spans="2:15">
      <c r="B116" s="96" t="str">
        <f t="shared" si="19"/>
        <v>100G SR4</v>
      </c>
      <c r="C116" s="97" t="str">
        <f t="shared" si="19"/>
        <v>100 m</v>
      </c>
      <c r="D116" s="98" t="str">
        <f t="shared" si="19"/>
        <v>QSFP28</v>
      </c>
      <c r="E116" s="110">
        <f t="shared" si="20"/>
        <v>258.09426618771823</v>
      </c>
      <c r="F116" s="110">
        <f t="shared" si="20"/>
        <v>182.02277386466108</v>
      </c>
      <c r="G116" s="110" t="str">
        <f t="shared" si="20"/>
        <v/>
      </c>
      <c r="H116" s="110" t="str">
        <f t="shared" si="21"/>
        <v/>
      </c>
      <c r="I116" s="110" t="str">
        <f t="shared" si="21"/>
        <v/>
      </c>
      <c r="J116" s="110" t="str">
        <f t="shared" si="21"/>
        <v/>
      </c>
      <c r="K116" s="110" t="str">
        <f t="shared" si="21"/>
        <v/>
      </c>
      <c r="L116" s="111" t="str">
        <f t="shared" si="21"/>
        <v/>
      </c>
      <c r="M116" s="111" t="str">
        <f t="shared" si="21"/>
        <v/>
      </c>
      <c r="N116" s="111" t="str">
        <f t="shared" si="21"/>
        <v/>
      </c>
      <c r="O116" s="111" t="str">
        <f t="shared" si="21"/>
        <v/>
      </c>
    </row>
    <row r="117" spans="2:15">
      <c r="B117" s="96" t="str">
        <f t="shared" si="19"/>
        <v>100G SR2</v>
      </c>
      <c r="C117" s="97" t="str">
        <f t="shared" si="19"/>
        <v>100 m</v>
      </c>
      <c r="D117" s="98" t="str">
        <f t="shared" si="19"/>
        <v>All</v>
      </c>
      <c r="E117" s="110" t="str">
        <f t="shared" si="20"/>
        <v/>
      </c>
      <c r="F117" s="110" t="str">
        <f t="shared" si="20"/>
        <v/>
      </c>
      <c r="G117" s="110" t="str">
        <f t="shared" si="20"/>
        <v/>
      </c>
      <c r="H117" s="110" t="str">
        <f t="shared" si="21"/>
        <v/>
      </c>
      <c r="I117" s="110" t="str">
        <f t="shared" si="21"/>
        <v/>
      </c>
      <c r="J117" s="110" t="str">
        <f t="shared" si="21"/>
        <v/>
      </c>
      <c r="K117" s="110" t="str">
        <f t="shared" si="21"/>
        <v/>
      </c>
      <c r="L117" s="111" t="str">
        <f t="shared" si="21"/>
        <v/>
      </c>
      <c r="M117" s="111" t="str">
        <f t="shared" si="21"/>
        <v/>
      </c>
      <c r="N117" s="111" t="str">
        <f t="shared" si="21"/>
        <v/>
      </c>
      <c r="O117" s="111" t="str">
        <f t="shared" si="21"/>
        <v/>
      </c>
    </row>
    <row r="118" spans="2:15">
      <c r="B118" s="96" t="str">
        <f t="shared" si="19"/>
        <v>100G MM Duplex</v>
      </c>
      <c r="C118" s="97" t="str">
        <f t="shared" si="19"/>
        <v>100 - 300 m</v>
      </c>
      <c r="D118" s="98" t="str">
        <f t="shared" si="19"/>
        <v>QSFP28</v>
      </c>
      <c r="E118" s="110" t="str">
        <f t="shared" si="20"/>
        <v/>
      </c>
      <c r="F118" s="110" t="str">
        <f t="shared" si="20"/>
        <v/>
      </c>
      <c r="G118" s="110" t="str">
        <f t="shared" si="20"/>
        <v/>
      </c>
      <c r="H118" s="110" t="str">
        <f t="shared" si="21"/>
        <v/>
      </c>
      <c r="I118" s="110" t="str">
        <f t="shared" si="21"/>
        <v/>
      </c>
      <c r="J118" s="110" t="str">
        <f t="shared" si="21"/>
        <v/>
      </c>
      <c r="K118" s="110" t="str">
        <f t="shared" si="21"/>
        <v/>
      </c>
      <c r="L118" s="111" t="str">
        <f t="shared" si="21"/>
        <v/>
      </c>
      <c r="M118" s="111" t="str">
        <f t="shared" si="21"/>
        <v/>
      </c>
      <c r="N118" s="111" t="str">
        <f t="shared" si="21"/>
        <v/>
      </c>
      <c r="O118" s="111" t="str">
        <f t="shared" si="21"/>
        <v/>
      </c>
    </row>
    <row r="119" spans="2:15">
      <c r="B119" s="96" t="str">
        <f t="shared" si="19"/>
        <v>100G eSR4</v>
      </c>
      <c r="C119" s="97" t="str">
        <f t="shared" si="19"/>
        <v>300 m</v>
      </c>
      <c r="D119" s="98" t="str">
        <f t="shared" si="19"/>
        <v>QSFP28</v>
      </c>
      <c r="E119" s="110" t="str">
        <f t="shared" si="20"/>
        <v/>
      </c>
      <c r="F119" s="110" t="str">
        <f t="shared" si="20"/>
        <v/>
      </c>
      <c r="G119" s="110" t="str">
        <f t="shared" si="20"/>
        <v/>
      </c>
      <c r="H119" s="110" t="str">
        <f t="shared" ref="H119:O128" si="22">IF(H44=0,"",H194*10^6/H44)</f>
        <v/>
      </c>
      <c r="I119" s="110" t="str">
        <f t="shared" si="22"/>
        <v/>
      </c>
      <c r="J119" s="110" t="str">
        <f t="shared" si="22"/>
        <v/>
      </c>
      <c r="K119" s="110" t="str">
        <f t="shared" si="22"/>
        <v/>
      </c>
      <c r="L119" s="111" t="str">
        <f t="shared" si="22"/>
        <v/>
      </c>
      <c r="M119" s="111" t="str">
        <f t="shared" si="22"/>
        <v/>
      </c>
      <c r="N119" s="111" t="str">
        <f t="shared" si="22"/>
        <v/>
      </c>
      <c r="O119" s="111" t="str">
        <f t="shared" si="22"/>
        <v/>
      </c>
    </row>
    <row r="120" spans="2:15">
      <c r="B120" s="96" t="str">
        <f t="shared" si="19"/>
        <v>100G PSM4</v>
      </c>
      <c r="C120" s="97" t="str">
        <f t="shared" si="19"/>
        <v>500 m</v>
      </c>
      <c r="D120" s="98" t="str">
        <f t="shared" si="19"/>
        <v>QSFP28</v>
      </c>
      <c r="E120" s="110">
        <f t="shared" si="20"/>
        <v>337.41687156790022</v>
      </c>
      <c r="F120" s="110">
        <f t="shared" si="20"/>
        <v>222.65569307558187</v>
      </c>
      <c r="G120" s="110" t="str">
        <f t="shared" si="20"/>
        <v/>
      </c>
      <c r="H120" s="110" t="str">
        <f t="shared" si="22"/>
        <v/>
      </c>
      <c r="I120" s="110" t="str">
        <f t="shared" si="22"/>
        <v/>
      </c>
      <c r="J120" s="110" t="str">
        <f t="shared" si="22"/>
        <v/>
      </c>
      <c r="K120" s="110" t="str">
        <f t="shared" si="22"/>
        <v/>
      </c>
      <c r="L120" s="111" t="str">
        <f t="shared" si="22"/>
        <v/>
      </c>
      <c r="M120" s="111" t="str">
        <f t="shared" si="22"/>
        <v/>
      </c>
      <c r="N120" s="111" t="str">
        <f t="shared" si="22"/>
        <v/>
      </c>
      <c r="O120" s="111" t="str">
        <f t="shared" si="22"/>
        <v/>
      </c>
    </row>
    <row r="121" spans="2:15">
      <c r="B121" s="96" t="str">
        <f t="shared" si="19"/>
        <v>100G DR/DR+</v>
      </c>
      <c r="C121" s="97" t="str">
        <f t="shared" si="19"/>
        <v>500m, 2km</v>
      </c>
      <c r="D121" s="98" t="str">
        <f t="shared" si="19"/>
        <v>QSFP28</v>
      </c>
      <c r="E121" s="110" t="str">
        <f t="shared" si="20"/>
        <v/>
      </c>
      <c r="F121" s="110" t="str">
        <f t="shared" si="20"/>
        <v/>
      </c>
      <c r="G121" s="110" t="str">
        <f t="shared" si="20"/>
        <v/>
      </c>
      <c r="H121" s="110" t="str">
        <f t="shared" si="22"/>
        <v/>
      </c>
      <c r="I121" s="110" t="str">
        <f t="shared" si="22"/>
        <v/>
      </c>
      <c r="J121" s="110" t="str">
        <f t="shared" si="22"/>
        <v/>
      </c>
      <c r="K121" s="110" t="str">
        <f t="shared" si="22"/>
        <v/>
      </c>
      <c r="L121" s="111" t="str">
        <f t="shared" si="22"/>
        <v/>
      </c>
      <c r="M121" s="111" t="str">
        <f t="shared" si="22"/>
        <v/>
      </c>
      <c r="N121" s="111" t="str">
        <f t="shared" si="22"/>
        <v/>
      </c>
      <c r="O121" s="111" t="str">
        <f t="shared" si="22"/>
        <v/>
      </c>
    </row>
    <row r="122" spans="2:15">
      <c r="B122" s="96" t="str">
        <f t="shared" si="19"/>
        <v>100G CWDM4-subspec</v>
      </c>
      <c r="C122" s="97" t="str">
        <f t="shared" si="19"/>
        <v>500 m</v>
      </c>
      <c r="D122" s="98" t="str">
        <f t="shared" si="19"/>
        <v>QSFP28</v>
      </c>
      <c r="E122" s="110">
        <f t="shared" si="20"/>
        <v>625</v>
      </c>
      <c r="F122" s="110">
        <f t="shared" si="20"/>
        <v>450</v>
      </c>
      <c r="G122" s="110" t="str">
        <f t="shared" si="20"/>
        <v/>
      </c>
      <c r="H122" s="110" t="str">
        <f t="shared" si="22"/>
        <v/>
      </c>
      <c r="I122" s="110" t="str">
        <f t="shared" si="22"/>
        <v/>
      </c>
      <c r="J122" s="110" t="str">
        <f t="shared" si="22"/>
        <v/>
      </c>
      <c r="K122" s="110" t="str">
        <f t="shared" si="22"/>
        <v/>
      </c>
      <c r="L122" s="110" t="str">
        <f t="shared" si="22"/>
        <v/>
      </c>
      <c r="M122" s="110" t="str">
        <f t="shared" si="22"/>
        <v/>
      </c>
      <c r="N122" s="110" t="str">
        <f t="shared" si="22"/>
        <v/>
      </c>
      <c r="O122" s="110" t="str">
        <f t="shared" si="22"/>
        <v/>
      </c>
    </row>
    <row r="123" spans="2:15">
      <c r="B123" s="96" t="str">
        <f t="shared" si="19"/>
        <v>100G CWDM4</v>
      </c>
      <c r="C123" s="97" t="str">
        <f t="shared" si="19"/>
        <v>2 km</v>
      </c>
      <c r="D123" s="98" t="str">
        <f t="shared" si="19"/>
        <v>QSFP28</v>
      </c>
      <c r="E123" s="110">
        <f t="shared" si="20"/>
        <v>825</v>
      </c>
      <c r="F123" s="110">
        <f t="shared" si="20"/>
        <v>650</v>
      </c>
      <c r="G123" s="110" t="str">
        <f t="shared" si="20"/>
        <v/>
      </c>
      <c r="H123" s="110" t="str">
        <f t="shared" si="22"/>
        <v/>
      </c>
      <c r="I123" s="110" t="str">
        <f t="shared" si="22"/>
        <v/>
      </c>
      <c r="J123" s="110" t="str">
        <f t="shared" si="22"/>
        <v/>
      </c>
      <c r="K123" s="110" t="str">
        <f t="shared" si="22"/>
        <v/>
      </c>
      <c r="L123" s="111" t="str">
        <f t="shared" si="22"/>
        <v/>
      </c>
      <c r="M123" s="111" t="str">
        <f t="shared" si="22"/>
        <v/>
      </c>
      <c r="N123" s="111" t="str">
        <f t="shared" si="22"/>
        <v/>
      </c>
      <c r="O123" s="111" t="str">
        <f t="shared" si="22"/>
        <v/>
      </c>
    </row>
    <row r="124" spans="2:15">
      <c r="B124" s="96" t="str">
        <f t="shared" ref="B124:D143" si="23">B49</f>
        <v>100G FR1</v>
      </c>
      <c r="C124" s="97" t="str">
        <f t="shared" si="23"/>
        <v>2 km</v>
      </c>
      <c r="D124" s="98" t="str">
        <f t="shared" si="23"/>
        <v>QSFP28</v>
      </c>
      <c r="E124" s="110" t="str">
        <f t="shared" si="20"/>
        <v/>
      </c>
      <c r="F124" s="110" t="str">
        <f t="shared" si="20"/>
        <v/>
      </c>
      <c r="G124" s="110" t="str">
        <f t="shared" si="20"/>
        <v/>
      </c>
      <c r="H124" s="110" t="str">
        <f t="shared" si="22"/>
        <v/>
      </c>
      <c r="I124" s="110" t="str">
        <f t="shared" si="22"/>
        <v/>
      </c>
      <c r="J124" s="110" t="str">
        <f t="shared" si="22"/>
        <v/>
      </c>
      <c r="K124" s="110" t="str">
        <f t="shared" si="22"/>
        <v/>
      </c>
      <c r="L124" s="111" t="str">
        <f t="shared" si="22"/>
        <v/>
      </c>
      <c r="M124" s="111" t="str">
        <f t="shared" si="22"/>
        <v/>
      </c>
      <c r="N124" s="111" t="str">
        <f t="shared" si="22"/>
        <v/>
      </c>
      <c r="O124" s="111" t="str">
        <f t="shared" si="22"/>
        <v/>
      </c>
    </row>
    <row r="125" spans="2:15">
      <c r="B125" s="96" t="str">
        <f t="shared" si="23"/>
        <v>100G LR4</v>
      </c>
      <c r="C125" s="97" t="str">
        <f t="shared" si="23"/>
        <v>10 km</v>
      </c>
      <c r="D125" s="98" t="str">
        <f t="shared" si="23"/>
        <v>CFP</v>
      </c>
      <c r="E125" s="110">
        <f t="shared" si="20"/>
        <v>3527.8709620331333</v>
      </c>
      <c r="F125" s="110">
        <f t="shared" si="20"/>
        <v>2768.0701132780364</v>
      </c>
      <c r="G125" s="110" t="str">
        <f t="shared" si="20"/>
        <v/>
      </c>
      <c r="H125" s="110" t="str">
        <f t="shared" si="22"/>
        <v/>
      </c>
      <c r="I125" s="110" t="str">
        <f t="shared" si="22"/>
        <v/>
      </c>
      <c r="J125" s="110" t="str">
        <f t="shared" si="22"/>
        <v/>
      </c>
      <c r="K125" s="110" t="str">
        <f t="shared" si="22"/>
        <v/>
      </c>
      <c r="L125" s="110" t="str">
        <f t="shared" si="22"/>
        <v/>
      </c>
      <c r="M125" s="110" t="str">
        <f t="shared" si="22"/>
        <v/>
      </c>
      <c r="N125" s="110" t="str">
        <f t="shared" si="22"/>
        <v/>
      </c>
      <c r="O125" s="110" t="str">
        <f t="shared" si="22"/>
        <v/>
      </c>
    </row>
    <row r="126" spans="2:15" ht="14.5" customHeight="1">
      <c r="B126" s="96" t="str">
        <f t="shared" si="23"/>
        <v>100G LR4</v>
      </c>
      <c r="C126" s="97" t="str">
        <f t="shared" si="23"/>
        <v>10 km</v>
      </c>
      <c r="D126" s="98" t="str">
        <f t="shared" si="23"/>
        <v>CFP2/4</v>
      </c>
      <c r="E126" s="110">
        <f t="shared" si="20"/>
        <v>2882.5268681316725</v>
      </c>
      <c r="F126" s="110">
        <f t="shared" si="20"/>
        <v>2140.3307221126156</v>
      </c>
      <c r="G126" s="110" t="str">
        <f t="shared" si="20"/>
        <v/>
      </c>
      <c r="H126" s="110" t="str">
        <f t="shared" si="22"/>
        <v/>
      </c>
      <c r="I126" s="110" t="str">
        <f t="shared" si="22"/>
        <v/>
      </c>
      <c r="J126" s="110" t="str">
        <f t="shared" si="22"/>
        <v/>
      </c>
      <c r="K126" s="110" t="str">
        <f t="shared" si="22"/>
        <v/>
      </c>
      <c r="L126" s="110" t="str">
        <f t="shared" si="22"/>
        <v/>
      </c>
      <c r="M126" s="110" t="str">
        <f t="shared" si="22"/>
        <v/>
      </c>
      <c r="N126" s="110" t="str">
        <f t="shared" si="22"/>
        <v/>
      </c>
      <c r="O126" s="110" t="str">
        <f t="shared" si="22"/>
        <v/>
      </c>
    </row>
    <row r="127" spans="2:15">
      <c r="B127" s="96" t="str">
        <f t="shared" si="23"/>
        <v>100G LR4 and LR1</v>
      </c>
      <c r="C127" s="97" t="str">
        <f t="shared" si="23"/>
        <v>10 km</v>
      </c>
      <c r="D127" s="98" t="str">
        <f t="shared" si="23"/>
        <v>QSFP28</v>
      </c>
      <c r="E127" s="110">
        <f t="shared" si="20"/>
        <v>1938.1501024552811</v>
      </c>
      <c r="F127" s="110">
        <f t="shared" si="20"/>
        <v>1200</v>
      </c>
      <c r="G127" s="110" t="str">
        <f t="shared" si="20"/>
        <v/>
      </c>
      <c r="H127" s="110" t="str">
        <f t="shared" si="22"/>
        <v/>
      </c>
      <c r="I127" s="110" t="str">
        <f t="shared" si="22"/>
        <v/>
      </c>
      <c r="J127" s="110" t="str">
        <f t="shared" si="22"/>
        <v/>
      </c>
      <c r="K127" s="110" t="str">
        <f t="shared" si="22"/>
        <v/>
      </c>
      <c r="L127" s="110" t="str">
        <f t="shared" si="22"/>
        <v/>
      </c>
      <c r="M127" s="110" t="str">
        <f t="shared" si="22"/>
        <v/>
      </c>
      <c r="N127" s="110" t="str">
        <f t="shared" si="22"/>
        <v/>
      </c>
      <c r="O127" s="110" t="str">
        <f t="shared" si="22"/>
        <v/>
      </c>
    </row>
    <row r="128" spans="2:15">
      <c r="B128" s="96" t="str">
        <f t="shared" si="23"/>
        <v>100G 4WDM10</v>
      </c>
      <c r="C128" s="97" t="str">
        <f t="shared" si="23"/>
        <v>10 km</v>
      </c>
      <c r="D128" s="98" t="str">
        <f t="shared" si="23"/>
        <v>QSFP28</v>
      </c>
      <c r="E128" s="110" t="str">
        <f t="shared" ref="E128:G147" si="24">IF(E53=0,"",E203*10^6/E53)</f>
        <v/>
      </c>
      <c r="F128" s="110">
        <f t="shared" si="24"/>
        <v>500</v>
      </c>
      <c r="G128" s="110" t="str">
        <f t="shared" si="24"/>
        <v/>
      </c>
      <c r="H128" s="110" t="str">
        <f t="shared" si="22"/>
        <v/>
      </c>
      <c r="I128" s="110" t="str">
        <f t="shared" si="22"/>
        <v/>
      </c>
      <c r="J128" s="110" t="str">
        <f t="shared" si="22"/>
        <v/>
      </c>
      <c r="K128" s="110" t="str">
        <f t="shared" si="22"/>
        <v/>
      </c>
      <c r="L128" s="110" t="str">
        <f t="shared" si="22"/>
        <v/>
      </c>
      <c r="M128" s="110" t="str">
        <f t="shared" si="22"/>
        <v/>
      </c>
      <c r="N128" s="110" t="str">
        <f t="shared" si="22"/>
        <v/>
      </c>
      <c r="O128" s="110" t="str">
        <f t="shared" si="22"/>
        <v/>
      </c>
    </row>
    <row r="129" spans="2:15">
      <c r="B129" s="96" t="str">
        <f t="shared" si="23"/>
        <v>100G 4WDM20</v>
      </c>
      <c r="C129" s="97" t="str">
        <f t="shared" si="23"/>
        <v>20 km</v>
      </c>
      <c r="D129" s="98" t="str">
        <f t="shared" si="23"/>
        <v>QSFP28</v>
      </c>
      <c r="E129" s="110" t="str">
        <f t="shared" si="24"/>
        <v/>
      </c>
      <c r="F129" s="110" t="str">
        <f t="shared" si="24"/>
        <v/>
      </c>
      <c r="G129" s="110" t="str">
        <f t="shared" si="24"/>
        <v/>
      </c>
      <c r="H129" s="110" t="str">
        <f t="shared" ref="H129:O138" si="25">IF(H54=0,"",H204*10^6/H54)</f>
        <v/>
      </c>
      <c r="I129" s="110" t="str">
        <f t="shared" si="25"/>
        <v/>
      </c>
      <c r="J129" s="110" t="str">
        <f t="shared" si="25"/>
        <v/>
      </c>
      <c r="K129" s="110" t="str">
        <f t="shared" si="25"/>
        <v/>
      </c>
      <c r="L129" s="110" t="str">
        <f t="shared" si="25"/>
        <v/>
      </c>
      <c r="M129" s="110" t="str">
        <f t="shared" si="25"/>
        <v/>
      </c>
      <c r="N129" s="110" t="str">
        <f t="shared" si="25"/>
        <v/>
      </c>
      <c r="O129" s="110" t="str">
        <f t="shared" si="25"/>
        <v/>
      </c>
    </row>
    <row r="130" spans="2:15">
      <c r="B130" s="96" t="str">
        <f t="shared" si="23"/>
        <v>100G ER4-Lite</v>
      </c>
      <c r="C130" s="97" t="str">
        <f t="shared" si="23"/>
        <v>30 km</v>
      </c>
      <c r="D130" s="98" t="str">
        <f t="shared" si="23"/>
        <v>QSFP28</v>
      </c>
      <c r="E130" s="110" t="str">
        <f t="shared" si="24"/>
        <v/>
      </c>
      <c r="F130" s="110">
        <f t="shared" si="24"/>
        <v>3487.2423945044161</v>
      </c>
      <c r="G130" s="110" t="str">
        <f t="shared" si="24"/>
        <v/>
      </c>
      <c r="H130" s="110" t="str">
        <f t="shared" si="25"/>
        <v/>
      </c>
      <c r="I130" s="110" t="str">
        <f t="shared" si="25"/>
        <v/>
      </c>
      <c r="J130" s="110" t="str">
        <f t="shared" si="25"/>
        <v/>
      </c>
      <c r="K130" s="110" t="str">
        <f t="shared" si="25"/>
        <v/>
      </c>
      <c r="L130" s="110" t="str">
        <f t="shared" si="25"/>
        <v/>
      </c>
      <c r="M130" s="110" t="str">
        <f t="shared" si="25"/>
        <v/>
      </c>
      <c r="N130" s="110" t="str">
        <f t="shared" si="25"/>
        <v/>
      </c>
      <c r="O130" s="110" t="str">
        <f t="shared" si="25"/>
        <v/>
      </c>
    </row>
    <row r="131" spans="2:15">
      <c r="B131" s="96" t="str">
        <f t="shared" si="23"/>
        <v>100G ER4</v>
      </c>
      <c r="C131" s="97" t="str">
        <f t="shared" si="23"/>
        <v>40 km</v>
      </c>
      <c r="D131" s="98" t="str">
        <f t="shared" si="23"/>
        <v>QSFP28</v>
      </c>
      <c r="E131" s="110">
        <f t="shared" si="24"/>
        <v>8992.3604525403425</v>
      </c>
      <c r="F131" s="110">
        <f t="shared" si="24"/>
        <v>6675.4855675304152</v>
      </c>
      <c r="G131" s="110" t="str">
        <f t="shared" si="24"/>
        <v/>
      </c>
      <c r="H131" s="110" t="str">
        <f t="shared" si="25"/>
        <v/>
      </c>
      <c r="I131" s="110" t="str">
        <f t="shared" si="25"/>
        <v/>
      </c>
      <c r="J131" s="110" t="str">
        <f t="shared" si="25"/>
        <v/>
      </c>
      <c r="K131" s="110" t="str">
        <f t="shared" si="25"/>
        <v/>
      </c>
      <c r="L131" s="110" t="str">
        <f t="shared" si="25"/>
        <v/>
      </c>
      <c r="M131" s="110" t="str">
        <f t="shared" si="25"/>
        <v/>
      </c>
      <c r="N131" s="110" t="str">
        <f t="shared" si="25"/>
        <v/>
      </c>
      <c r="O131" s="110" t="str">
        <f t="shared" si="25"/>
        <v/>
      </c>
    </row>
    <row r="132" spans="2:15">
      <c r="B132" s="92" t="str">
        <f t="shared" si="23"/>
        <v>100G ZR4</v>
      </c>
      <c r="C132" s="93" t="str">
        <f t="shared" si="23"/>
        <v>80 km</v>
      </c>
      <c r="D132" s="94" t="str">
        <f t="shared" si="23"/>
        <v>QSFP28</v>
      </c>
      <c r="E132" s="109" t="str">
        <f t="shared" si="24"/>
        <v/>
      </c>
      <c r="F132" s="109" t="str">
        <f t="shared" si="24"/>
        <v/>
      </c>
      <c r="G132" s="109" t="str">
        <f t="shared" si="24"/>
        <v/>
      </c>
      <c r="H132" s="109" t="str">
        <f t="shared" si="25"/>
        <v/>
      </c>
      <c r="I132" s="109" t="str">
        <f t="shared" si="25"/>
        <v/>
      </c>
      <c r="J132" s="109" t="str">
        <f t="shared" si="25"/>
        <v/>
      </c>
      <c r="K132" s="109" t="str">
        <f t="shared" si="25"/>
        <v/>
      </c>
      <c r="L132" s="109" t="str">
        <f t="shared" si="25"/>
        <v/>
      </c>
      <c r="M132" s="109" t="str">
        <f t="shared" si="25"/>
        <v/>
      </c>
      <c r="N132" s="109" t="str">
        <f t="shared" si="25"/>
        <v/>
      </c>
      <c r="O132" s="109" t="str">
        <f t="shared" si="25"/>
        <v/>
      </c>
    </row>
    <row r="133" spans="2:15">
      <c r="B133" s="236" t="str">
        <f t="shared" si="23"/>
        <v>200G SR4</v>
      </c>
      <c r="C133" s="235" t="str">
        <f t="shared" si="23"/>
        <v>100 m</v>
      </c>
      <c r="D133" s="234" t="str">
        <f t="shared" si="23"/>
        <v>QSFP56</v>
      </c>
      <c r="E133" s="108"/>
      <c r="F133" s="108"/>
      <c r="G133" s="108" t="str">
        <f t="shared" ref="G133:G153" si="26">IF(G58=0,"",G208*10^6/G58)</f>
        <v/>
      </c>
      <c r="H133" s="108" t="str">
        <f t="shared" si="25"/>
        <v/>
      </c>
      <c r="I133" s="108" t="str">
        <f t="shared" si="25"/>
        <v/>
      </c>
      <c r="J133" s="108" t="str">
        <f t="shared" si="25"/>
        <v/>
      </c>
      <c r="K133" s="108" t="str">
        <f t="shared" si="25"/>
        <v/>
      </c>
      <c r="L133" s="108" t="str">
        <f t="shared" si="25"/>
        <v/>
      </c>
      <c r="M133" s="108" t="str">
        <f t="shared" si="25"/>
        <v/>
      </c>
      <c r="N133" s="108" t="str">
        <f t="shared" si="25"/>
        <v/>
      </c>
      <c r="O133" s="108" t="str">
        <f t="shared" si="25"/>
        <v/>
      </c>
    </row>
    <row r="134" spans="2:15">
      <c r="B134" s="54" t="str">
        <f t="shared" si="23"/>
        <v>2x200 (400G-SR8)</v>
      </c>
      <c r="C134" s="55" t="str">
        <f t="shared" si="23"/>
        <v>100 m</v>
      </c>
      <c r="D134" s="56" t="str">
        <f t="shared" si="23"/>
        <v>OSFP, QSFP-DD</v>
      </c>
      <c r="E134" s="110"/>
      <c r="F134" s="110"/>
      <c r="G134" s="110" t="str">
        <f t="shared" si="26"/>
        <v/>
      </c>
      <c r="H134" s="110" t="str">
        <f t="shared" si="25"/>
        <v/>
      </c>
      <c r="I134" s="110" t="str">
        <f t="shared" si="25"/>
        <v/>
      </c>
      <c r="J134" s="110" t="str">
        <f t="shared" si="25"/>
        <v/>
      </c>
      <c r="K134" s="110" t="str">
        <f t="shared" si="25"/>
        <v/>
      </c>
      <c r="L134" s="110" t="str">
        <f t="shared" si="25"/>
        <v/>
      </c>
      <c r="M134" s="110" t="str">
        <f t="shared" si="25"/>
        <v/>
      </c>
      <c r="N134" s="110" t="str">
        <f t="shared" si="25"/>
        <v/>
      </c>
      <c r="O134" s="110" t="str">
        <f t="shared" si="25"/>
        <v/>
      </c>
    </row>
    <row r="135" spans="2:15">
      <c r="B135" s="54" t="str">
        <f t="shared" si="23"/>
        <v>200G FR4</v>
      </c>
      <c r="C135" s="55" t="str">
        <f t="shared" si="23"/>
        <v>3 km</v>
      </c>
      <c r="D135" s="56" t="str">
        <f t="shared" si="23"/>
        <v>QSFP56</v>
      </c>
      <c r="E135" s="110"/>
      <c r="F135" s="110"/>
      <c r="G135" s="110" t="str">
        <f t="shared" si="26"/>
        <v/>
      </c>
      <c r="H135" s="110" t="str">
        <f t="shared" si="25"/>
        <v/>
      </c>
      <c r="I135" s="110" t="str">
        <f t="shared" si="25"/>
        <v/>
      </c>
      <c r="J135" s="110" t="str">
        <f t="shared" si="25"/>
        <v/>
      </c>
      <c r="K135" s="110" t="str">
        <f t="shared" si="25"/>
        <v/>
      </c>
      <c r="L135" s="110" t="str">
        <f t="shared" si="25"/>
        <v/>
      </c>
      <c r="M135" s="110" t="str">
        <f t="shared" si="25"/>
        <v/>
      </c>
      <c r="N135" s="110" t="str">
        <f t="shared" si="25"/>
        <v/>
      </c>
      <c r="O135" s="110" t="str">
        <f t="shared" si="25"/>
        <v/>
      </c>
    </row>
    <row r="136" spans="2:15">
      <c r="B136" s="57" t="str">
        <f t="shared" si="23"/>
        <v>2x(200G FR4)</v>
      </c>
      <c r="C136" s="58" t="str">
        <f t="shared" si="23"/>
        <v>2 km</v>
      </c>
      <c r="D136" s="59" t="str">
        <f t="shared" si="23"/>
        <v>OSFP</v>
      </c>
      <c r="E136" s="109"/>
      <c r="F136" s="109"/>
      <c r="G136" s="109" t="str">
        <f t="shared" si="26"/>
        <v/>
      </c>
      <c r="H136" s="109" t="str">
        <f t="shared" si="25"/>
        <v/>
      </c>
      <c r="I136" s="109" t="str">
        <f t="shared" si="25"/>
        <v/>
      </c>
      <c r="J136" s="109" t="str">
        <f t="shared" si="25"/>
        <v/>
      </c>
      <c r="K136" s="109" t="str">
        <f t="shared" si="25"/>
        <v/>
      </c>
      <c r="L136" s="109" t="str">
        <f t="shared" si="25"/>
        <v/>
      </c>
      <c r="M136" s="109" t="str">
        <f t="shared" si="25"/>
        <v/>
      </c>
      <c r="N136" s="109" t="str">
        <f t="shared" si="25"/>
        <v/>
      </c>
      <c r="O136" s="109" t="str">
        <f t="shared" si="25"/>
        <v/>
      </c>
    </row>
    <row r="137" spans="2:15">
      <c r="B137" s="236" t="str">
        <f t="shared" si="23"/>
        <v>400G SR4.2, SR4</v>
      </c>
      <c r="C137" s="235" t="str">
        <f t="shared" si="23"/>
        <v>100 m</v>
      </c>
      <c r="D137" s="234" t="str">
        <f t="shared" si="23"/>
        <v>OSFP, QSFP-DD, QSFP112</v>
      </c>
      <c r="E137" s="108"/>
      <c r="F137" s="108"/>
      <c r="G137" s="108" t="str">
        <f t="shared" si="26"/>
        <v/>
      </c>
      <c r="H137" s="108" t="str">
        <f t="shared" si="25"/>
        <v/>
      </c>
      <c r="I137" s="108" t="str">
        <f t="shared" si="25"/>
        <v/>
      </c>
      <c r="J137" s="108" t="str">
        <f t="shared" si="25"/>
        <v/>
      </c>
      <c r="K137" s="108" t="str">
        <f t="shared" si="25"/>
        <v/>
      </c>
      <c r="L137" s="108" t="str">
        <f t="shared" si="25"/>
        <v/>
      </c>
      <c r="M137" s="108" t="str">
        <f t="shared" si="25"/>
        <v/>
      </c>
      <c r="N137" s="108" t="str">
        <f t="shared" si="25"/>
        <v/>
      </c>
      <c r="O137" s="108" t="str">
        <f t="shared" si="25"/>
        <v/>
      </c>
    </row>
    <row r="138" spans="2:15">
      <c r="B138" s="54" t="str">
        <f t="shared" si="23"/>
        <v>400G DR4</v>
      </c>
      <c r="C138" s="55" t="str">
        <f t="shared" si="23"/>
        <v>500 m</v>
      </c>
      <c r="D138" s="56" t="str">
        <f t="shared" si="23"/>
        <v>OSFP, QSFP-DD, QSFP112</v>
      </c>
      <c r="E138" s="110"/>
      <c r="F138" s="110"/>
      <c r="G138" s="110" t="str">
        <f t="shared" si="26"/>
        <v/>
      </c>
      <c r="H138" s="110" t="str">
        <f t="shared" si="25"/>
        <v/>
      </c>
      <c r="I138" s="110" t="str">
        <f t="shared" si="25"/>
        <v/>
      </c>
      <c r="J138" s="110" t="str">
        <f t="shared" si="25"/>
        <v/>
      </c>
      <c r="K138" s="110" t="str">
        <f t="shared" si="25"/>
        <v/>
      </c>
      <c r="L138" s="110" t="str">
        <f t="shared" si="25"/>
        <v/>
      </c>
      <c r="M138" s="110" t="str">
        <f t="shared" si="25"/>
        <v/>
      </c>
      <c r="N138" s="110" t="str">
        <f t="shared" si="25"/>
        <v/>
      </c>
      <c r="O138" s="110" t="str">
        <f t="shared" si="25"/>
        <v/>
      </c>
    </row>
    <row r="139" spans="2:15">
      <c r="B139" s="54" t="str">
        <f t="shared" si="23"/>
        <v>400G FR4</v>
      </c>
      <c r="C139" s="55" t="str">
        <f t="shared" si="23"/>
        <v>2 km</v>
      </c>
      <c r="D139" s="56" t="str">
        <f t="shared" si="23"/>
        <v>OSFP, QSFP-DD, QSFP112</v>
      </c>
      <c r="E139" s="110"/>
      <c r="F139" s="110">
        <f>IF(F64=0,"",F214*10^6/F64)</f>
        <v>11614.285714285714</v>
      </c>
      <c r="G139" s="110" t="str">
        <f t="shared" si="26"/>
        <v/>
      </c>
      <c r="H139" s="110" t="str">
        <f t="shared" ref="H139:O148" si="27">IF(H64=0,"",H214*10^6/H64)</f>
        <v/>
      </c>
      <c r="I139" s="110" t="str">
        <f t="shared" si="27"/>
        <v/>
      </c>
      <c r="J139" s="110" t="str">
        <f t="shared" si="27"/>
        <v/>
      </c>
      <c r="K139" s="110" t="str">
        <f t="shared" si="27"/>
        <v/>
      </c>
      <c r="L139" s="110" t="str">
        <f t="shared" si="27"/>
        <v/>
      </c>
      <c r="M139" s="110" t="str">
        <f t="shared" si="27"/>
        <v/>
      </c>
      <c r="N139" s="110" t="str">
        <f t="shared" si="27"/>
        <v/>
      </c>
      <c r="O139" s="110" t="str">
        <f t="shared" si="27"/>
        <v/>
      </c>
    </row>
    <row r="140" spans="2:15">
      <c r="B140" s="57" t="str">
        <f t="shared" si="23"/>
        <v>400G LR4, LR8</v>
      </c>
      <c r="C140" s="58" t="str">
        <f t="shared" si="23"/>
        <v>10 km</v>
      </c>
      <c r="D140" s="59" t="str">
        <f t="shared" si="23"/>
        <v>OSFP, QSFP-DD, QSFP112</v>
      </c>
      <c r="E140" s="109"/>
      <c r="F140" s="109">
        <f>IF(F65=0,"",F215*10^6/F65)</f>
        <v>15451.219512195123</v>
      </c>
      <c r="G140" s="109" t="str">
        <f t="shared" si="26"/>
        <v/>
      </c>
      <c r="H140" s="109" t="str">
        <f t="shared" si="27"/>
        <v/>
      </c>
      <c r="I140" s="109" t="str">
        <f t="shared" si="27"/>
        <v/>
      </c>
      <c r="J140" s="109" t="str">
        <f t="shared" si="27"/>
        <v/>
      </c>
      <c r="K140" s="109" t="str">
        <f t="shared" si="27"/>
        <v/>
      </c>
      <c r="L140" s="109" t="str">
        <f t="shared" si="27"/>
        <v/>
      </c>
      <c r="M140" s="109" t="str">
        <f t="shared" si="27"/>
        <v/>
      </c>
      <c r="N140" s="109" t="str">
        <f t="shared" si="27"/>
        <v/>
      </c>
      <c r="O140" s="109" t="str">
        <f t="shared" si="27"/>
        <v/>
      </c>
    </row>
    <row r="141" spans="2:15">
      <c r="B141" s="236" t="str">
        <f t="shared" si="23"/>
        <v>800G SR8</v>
      </c>
      <c r="C141" s="235" t="str">
        <f t="shared" si="23"/>
        <v>50 m</v>
      </c>
      <c r="D141" s="234" t="str">
        <f t="shared" si="23"/>
        <v>OSFP, QSFP-DD800</v>
      </c>
      <c r="E141" s="108"/>
      <c r="F141" s="108"/>
      <c r="G141" s="108" t="str">
        <f t="shared" si="26"/>
        <v/>
      </c>
      <c r="H141" s="108" t="str">
        <f t="shared" si="27"/>
        <v/>
      </c>
      <c r="I141" s="108" t="str">
        <f t="shared" si="27"/>
        <v/>
      </c>
      <c r="J141" s="108" t="str">
        <f t="shared" si="27"/>
        <v/>
      </c>
      <c r="K141" s="108" t="str">
        <f t="shared" si="27"/>
        <v/>
      </c>
      <c r="L141" s="108" t="str">
        <f t="shared" si="27"/>
        <v/>
      </c>
      <c r="M141" s="108" t="str">
        <f t="shared" si="27"/>
        <v/>
      </c>
      <c r="N141" s="108" t="str">
        <f t="shared" si="27"/>
        <v/>
      </c>
      <c r="O141" s="108" t="str">
        <f t="shared" si="27"/>
        <v/>
      </c>
    </row>
    <row r="142" spans="2:15">
      <c r="B142" s="54" t="str">
        <f t="shared" si="23"/>
        <v>800G PSM8</v>
      </c>
      <c r="C142" s="55" t="str">
        <f t="shared" si="23"/>
        <v>500 m</v>
      </c>
      <c r="D142" s="56" t="str">
        <f t="shared" si="23"/>
        <v>OSFP, QSFP-DD800</v>
      </c>
      <c r="E142" s="110"/>
      <c r="F142" s="110"/>
      <c r="G142" s="110" t="str">
        <f t="shared" si="26"/>
        <v/>
      </c>
      <c r="H142" s="110" t="str">
        <f t="shared" si="27"/>
        <v/>
      </c>
      <c r="I142" s="110" t="str">
        <f t="shared" si="27"/>
        <v/>
      </c>
      <c r="J142" s="110" t="str">
        <f t="shared" si="27"/>
        <v/>
      </c>
      <c r="K142" s="110" t="str">
        <f t="shared" si="27"/>
        <v/>
      </c>
      <c r="L142" s="110" t="str">
        <f t="shared" si="27"/>
        <v/>
      </c>
      <c r="M142" s="110" t="str">
        <f t="shared" si="27"/>
        <v/>
      </c>
      <c r="N142" s="110" t="str">
        <f t="shared" si="27"/>
        <v/>
      </c>
      <c r="O142" s="110" t="str">
        <f t="shared" si="27"/>
        <v/>
      </c>
    </row>
    <row r="143" spans="2:15">
      <c r="B143" s="54" t="str">
        <f t="shared" si="23"/>
        <v>2x(400G FR4)</v>
      </c>
      <c r="C143" s="55" t="str">
        <f t="shared" si="23"/>
        <v>2 km</v>
      </c>
      <c r="D143" s="56" t="str">
        <f t="shared" si="23"/>
        <v>OSFP, QSFP-DD800</v>
      </c>
      <c r="E143" s="110"/>
      <c r="F143" s="110"/>
      <c r="G143" s="110" t="str">
        <f t="shared" si="26"/>
        <v/>
      </c>
      <c r="H143" s="110" t="str">
        <f t="shared" si="27"/>
        <v/>
      </c>
      <c r="I143" s="110" t="str">
        <f t="shared" si="27"/>
        <v/>
      </c>
      <c r="J143" s="110" t="str">
        <f t="shared" si="27"/>
        <v/>
      </c>
      <c r="K143" s="110" t="str">
        <f t="shared" si="27"/>
        <v/>
      </c>
      <c r="L143" s="110" t="str">
        <f t="shared" si="27"/>
        <v/>
      </c>
      <c r="M143" s="110" t="str">
        <f t="shared" si="27"/>
        <v/>
      </c>
      <c r="N143" s="110" t="str">
        <f t="shared" si="27"/>
        <v/>
      </c>
      <c r="O143" s="110" t="str">
        <f t="shared" si="27"/>
        <v/>
      </c>
    </row>
    <row r="144" spans="2:15">
      <c r="B144" s="57"/>
      <c r="C144" s="58"/>
      <c r="D144" s="59"/>
      <c r="E144" s="109"/>
      <c r="F144" s="109"/>
      <c r="G144" s="110" t="str">
        <f t="shared" si="26"/>
        <v/>
      </c>
      <c r="H144" s="109"/>
      <c r="I144" s="109"/>
      <c r="J144" s="109"/>
      <c r="K144" s="109"/>
      <c r="L144" s="109"/>
      <c r="M144" s="109"/>
      <c r="N144" s="109"/>
      <c r="O144" s="109"/>
    </row>
    <row r="145" spans="2:15">
      <c r="B145" s="44" t="s">
        <v>20</v>
      </c>
      <c r="C145" s="45"/>
      <c r="D145" s="46"/>
      <c r="E145" s="113">
        <f t="shared" ref="E145:F153" si="28">IF(E70=0,"",E220*10^6/E70)</f>
        <v>73.767871576990061</v>
      </c>
      <c r="F145" s="113">
        <f t="shared" si="28"/>
        <v>83.41567206501368</v>
      </c>
      <c r="G145" s="113" t="str">
        <f t="shared" si="26"/>
        <v/>
      </c>
      <c r="H145" s="113" t="str">
        <f t="shared" ref="H145:O153" si="29">IF(H70=0,"",H220*10^6/H70)</f>
        <v/>
      </c>
      <c r="I145" s="113" t="str">
        <f t="shared" si="29"/>
        <v/>
      </c>
      <c r="J145" s="113" t="str">
        <f t="shared" si="29"/>
        <v/>
      </c>
      <c r="K145" s="113" t="str">
        <f t="shared" si="29"/>
        <v/>
      </c>
      <c r="L145" s="113" t="str">
        <f t="shared" si="29"/>
        <v/>
      </c>
      <c r="M145" s="113" t="str">
        <f t="shared" si="29"/>
        <v/>
      </c>
      <c r="N145" s="113" t="str">
        <f t="shared" si="29"/>
        <v/>
      </c>
      <c r="O145" s="113" t="str">
        <f t="shared" si="29"/>
        <v/>
      </c>
    </row>
    <row r="146" spans="2:15">
      <c r="B146" s="54" t="str">
        <f t="shared" ref="B146:D151" si="30">B71</f>
        <v>10G total</v>
      </c>
      <c r="C146" s="55" t="str">
        <f t="shared" si="30"/>
        <v>All</v>
      </c>
      <c r="D146" s="56" t="str">
        <f t="shared" si="30"/>
        <v>All</v>
      </c>
      <c r="E146" s="282">
        <f t="shared" si="28"/>
        <v>32.039077608346737</v>
      </c>
      <c r="F146" s="282">
        <f t="shared" si="28"/>
        <v>24.482448081862429</v>
      </c>
      <c r="G146" s="282" t="str">
        <f t="shared" si="26"/>
        <v/>
      </c>
      <c r="H146" s="282" t="str">
        <f t="shared" si="29"/>
        <v/>
      </c>
      <c r="I146" s="282" t="str">
        <f t="shared" si="29"/>
        <v/>
      </c>
      <c r="J146" s="282" t="str">
        <f t="shared" si="29"/>
        <v/>
      </c>
      <c r="K146" s="282" t="str">
        <f t="shared" si="29"/>
        <v/>
      </c>
      <c r="L146" s="111" t="str">
        <f t="shared" si="29"/>
        <v/>
      </c>
      <c r="M146" s="111" t="str">
        <f t="shared" si="29"/>
        <v/>
      </c>
      <c r="N146" s="111" t="str">
        <f t="shared" si="29"/>
        <v/>
      </c>
      <c r="O146" s="111" t="str">
        <f t="shared" si="29"/>
        <v/>
      </c>
    </row>
    <row r="147" spans="2:15">
      <c r="B147" s="54" t="str">
        <f t="shared" si="30"/>
        <v>25G total</v>
      </c>
      <c r="C147" s="55" t="str">
        <f t="shared" si="30"/>
        <v>All</v>
      </c>
      <c r="D147" s="56" t="str">
        <f t="shared" si="30"/>
        <v>All</v>
      </c>
      <c r="E147" s="282">
        <f t="shared" si="28"/>
        <v>291.79972635539593</v>
      </c>
      <c r="F147" s="282">
        <f t="shared" si="28"/>
        <v>169.30718458014624</v>
      </c>
      <c r="G147" s="282" t="str">
        <f t="shared" si="26"/>
        <v/>
      </c>
      <c r="H147" s="282" t="str">
        <f t="shared" si="29"/>
        <v/>
      </c>
      <c r="I147" s="282" t="str">
        <f t="shared" si="29"/>
        <v/>
      </c>
      <c r="J147" s="282" t="str">
        <f t="shared" si="29"/>
        <v/>
      </c>
      <c r="K147" s="282" t="str">
        <f t="shared" si="29"/>
        <v/>
      </c>
      <c r="L147" s="111" t="str">
        <f t="shared" si="29"/>
        <v/>
      </c>
      <c r="M147" s="111" t="str">
        <f t="shared" si="29"/>
        <v/>
      </c>
      <c r="N147" s="111" t="str">
        <f t="shared" si="29"/>
        <v/>
      </c>
      <c r="O147" s="111" t="str">
        <f t="shared" si="29"/>
        <v/>
      </c>
    </row>
    <row r="148" spans="2:15">
      <c r="B148" s="54" t="str">
        <f t="shared" si="30"/>
        <v>40G total</v>
      </c>
      <c r="C148" s="55" t="str">
        <f t="shared" si="30"/>
        <v>All</v>
      </c>
      <c r="D148" s="56" t="str">
        <f t="shared" si="30"/>
        <v>All</v>
      </c>
      <c r="E148" s="282">
        <f t="shared" si="28"/>
        <v>249.89406196509381</v>
      </c>
      <c r="F148" s="282">
        <f t="shared" si="28"/>
        <v>234.01658203651027</v>
      </c>
      <c r="G148" s="282" t="str">
        <f t="shared" si="26"/>
        <v/>
      </c>
      <c r="H148" s="282" t="str">
        <f t="shared" si="29"/>
        <v/>
      </c>
      <c r="I148" s="282" t="str">
        <f t="shared" si="29"/>
        <v/>
      </c>
      <c r="J148" s="282" t="str">
        <f t="shared" si="29"/>
        <v/>
      </c>
      <c r="K148" s="282" t="str">
        <f t="shared" si="29"/>
        <v/>
      </c>
      <c r="L148" s="111" t="str">
        <f t="shared" si="29"/>
        <v/>
      </c>
      <c r="M148" s="111" t="str">
        <f t="shared" si="29"/>
        <v/>
      </c>
      <c r="N148" s="111" t="str">
        <f t="shared" si="29"/>
        <v/>
      </c>
      <c r="O148" s="111" t="str">
        <f t="shared" si="29"/>
        <v/>
      </c>
    </row>
    <row r="149" spans="2:15">
      <c r="B149" s="54" t="str">
        <f t="shared" si="30"/>
        <v>50G total</v>
      </c>
      <c r="C149" s="55" t="str">
        <f t="shared" si="30"/>
        <v>All</v>
      </c>
      <c r="D149" s="56" t="str">
        <f t="shared" si="30"/>
        <v>All</v>
      </c>
      <c r="E149" s="282" t="str">
        <f t="shared" si="28"/>
        <v/>
      </c>
      <c r="F149" s="282" t="str">
        <f t="shared" si="28"/>
        <v/>
      </c>
      <c r="G149" s="282" t="str">
        <f t="shared" si="26"/>
        <v/>
      </c>
      <c r="H149" s="282" t="str">
        <f t="shared" si="29"/>
        <v/>
      </c>
      <c r="I149" s="282" t="str">
        <f t="shared" si="29"/>
        <v/>
      </c>
      <c r="J149" s="282" t="str">
        <f t="shared" si="29"/>
        <v/>
      </c>
      <c r="K149" s="282" t="str">
        <f t="shared" si="29"/>
        <v/>
      </c>
      <c r="L149" s="111" t="str">
        <f t="shared" si="29"/>
        <v/>
      </c>
      <c r="M149" s="111" t="str">
        <f t="shared" si="29"/>
        <v/>
      </c>
      <c r="N149" s="111" t="str">
        <f t="shared" si="29"/>
        <v/>
      </c>
      <c r="O149" s="111" t="str">
        <f t="shared" si="29"/>
        <v/>
      </c>
    </row>
    <row r="150" spans="2:15">
      <c r="B150" s="54" t="str">
        <f t="shared" si="30"/>
        <v>100G total</v>
      </c>
      <c r="C150" s="55" t="str">
        <f t="shared" si="30"/>
        <v>All</v>
      </c>
      <c r="D150" s="56" t="str">
        <f t="shared" si="30"/>
        <v>All</v>
      </c>
      <c r="E150" s="282">
        <f t="shared" si="28"/>
        <v>1243.4155600788019</v>
      </c>
      <c r="F150" s="282">
        <f t="shared" si="28"/>
        <v>573.99969875798752</v>
      </c>
      <c r="G150" s="282" t="str">
        <f t="shared" si="26"/>
        <v/>
      </c>
      <c r="H150" s="282" t="str">
        <f t="shared" si="29"/>
        <v/>
      </c>
      <c r="I150" s="282" t="str">
        <f t="shared" si="29"/>
        <v/>
      </c>
      <c r="J150" s="282" t="str">
        <f t="shared" si="29"/>
        <v/>
      </c>
      <c r="K150" s="282" t="str">
        <f t="shared" si="29"/>
        <v/>
      </c>
      <c r="L150" s="111" t="str">
        <f t="shared" si="29"/>
        <v/>
      </c>
      <c r="M150" s="111" t="str">
        <f t="shared" si="29"/>
        <v/>
      </c>
      <c r="N150" s="111" t="str">
        <f t="shared" si="29"/>
        <v/>
      </c>
      <c r="O150" s="111" t="str">
        <f t="shared" si="29"/>
        <v/>
      </c>
    </row>
    <row r="151" spans="2:15">
      <c r="B151" s="54" t="str">
        <f t="shared" si="30"/>
        <v>200G total</v>
      </c>
      <c r="C151" s="55" t="str">
        <f t="shared" si="30"/>
        <v>All</v>
      </c>
      <c r="D151" s="56" t="str">
        <f t="shared" si="30"/>
        <v>All</v>
      </c>
      <c r="E151" s="282" t="str">
        <f t="shared" si="28"/>
        <v/>
      </c>
      <c r="F151" s="282" t="str">
        <f t="shared" si="28"/>
        <v/>
      </c>
      <c r="G151" s="282" t="str">
        <f t="shared" si="26"/>
        <v/>
      </c>
      <c r="H151" s="282" t="str">
        <f t="shared" si="29"/>
        <v/>
      </c>
      <c r="I151" s="282" t="str">
        <f t="shared" si="29"/>
        <v/>
      </c>
      <c r="J151" s="282" t="str">
        <f t="shared" si="29"/>
        <v/>
      </c>
      <c r="K151" s="282" t="str">
        <f t="shared" si="29"/>
        <v/>
      </c>
      <c r="L151" s="111" t="str">
        <f t="shared" si="29"/>
        <v/>
      </c>
      <c r="M151" s="111" t="str">
        <f t="shared" si="29"/>
        <v/>
      </c>
      <c r="N151" s="111" t="str">
        <f t="shared" si="29"/>
        <v/>
      </c>
      <c r="O151" s="111" t="str">
        <f t="shared" si="29"/>
        <v/>
      </c>
    </row>
    <row r="152" spans="2:15">
      <c r="B152" s="54" t="str">
        <f t="shared" ref="B152:D153" si="31">B227</f>
        <v>400G total</v>
      </c>
      <c r="C152" s="271" t="str">
        <f t="shared" si="31"/>
        <v>All</v>
      </c>
      <c r="D152" s="541" t="str">
        <f t="shared" si="31"/>
        <v>All</v>
      </c>
      <c r="E152" s="282" t="str">
        <f t="shared" si="28"/>
        <v/>
      </c>
      <c r="F152" s="282">
        <f t="shared" si="28"/>
        <v>15149.438202247189</v>
      </c>
      <c r="G152" s="282" t="str">
        <f t="shared" si="26"/>
        <v/>
      </c>
      <c r="H152" s="282" t="str">
        <f t="shared" si="29"/>
        <v/>
      </c>
      <c r="I152" s="282" t="str">
        <f t="shared" si="29"/>
        <v/>
      </c>
      <c r="J152" s="282" t="str">
        <f t="shared" si="29"/>
        <v/>
      </c>
      <c r="K152" s="282" t="str">
        <f t="shared" si="29"/>
        <v/>
      </c>
      <c r="L152" s="111" t="str">
        <f t="shared" si="29"/>
        <v/>
      </c>
      <c r="M152" s="111" t="str">
        <f t="shared" si="29"/>
        <v/>
      </c>
      <c r="N152" s="111" t="str">
        <f t="shared" si="29"/>
        <v/>
      </c>
      <c r="O152" s="111" t="str">
        <f t="shared" si="29"/>
        <v/>
      </c>
    </row>
    <row r="153" spans="2:15">
      <c r="B153" s="57" t="str">
        <f t="shared" si="31"/>
        <v>800G total</v>
      </c>
      <c r="C153" s="579" t="str">
        <f t="shared" si="31"/>
        <v>All</v>
      </c>
      <c r="D153" s="537" t="str">
        <f t="shared" si="31"/>
        <v>All</v>
      </c>
      <c r="E153" s="109" t="str">
        <f t="shared" si="28"/>
        <v/>
      </c>
      <c r="F153" s="109" t="str">
        <f t="shared" si="28"/>
        <v/>
      </c>
      <c r="G153" s="109" t="str">
        <f t="shared" si="26"/>
        <v/>
      </c>
      <c r="H153" s="109" t="str">
        <f t="shared" si="29"/>
        <v/>
      </c>
      <c r="I153" s="109" t="str">
        <f t="shared" si="29"/>
        <v/>
      </c>
      <c r="J153" s="109" t="str">
        <f t="shared" si="29"/>
        <v/>
      </c>
      <c r="K153" s="109" t="str">
        <f t="shared" si="29"/>
        <v/>
      </c>
      <c r="L153" s="457" t="str">
        <f t="shared" si="29"/>
        <v/>
      </c>
      <c r="M153" s="457" t="str">
        <f t="shared" si="29"/>
        <v/>
      </c>
      <c r="N153" s="457" t="str">
        <f t="shared" si="29"/>
        <v/>
      </c>
      <c r="O153" s="457" t="str">
        <f t="shared" si="29"/>
        <v/>
      </c>
    </row>
    <row r="155" spans="2:15">
      <c r="E155" s="237"/>
      <c r="F155" s="237"/>
      <c r="G155" s="237"/>
      <c r="H155" s="237"/>
      <c r="I155" s="237"/>
      <c r="J155" s="237"/>
      <c r="K155" s="237"/>
      <c r="L155" s="458"/>
      <c r="M155" s="458"/>
      <c r="N155" s="458"/>
      <c r="O155" s="458"/>
    </row>
    <row r="157" spans="2:15" ht="21">
      <c r="B157" s="15" t="s">
        <v>15</v>
      </c>
      <c r="C157" s="14"/>
      <c r="D157" s="14"/>
    </row>
    <row r="158" spans="2:15">
      <c r="B158" s="86" t="str">
        <f>B6</f>
        <v>Data Rate</v>
      </c>
      <c r="C158" s="86" t="str">
        <f>C6</f>
        <v>Reach</v>
      </c>
      <c r="D158" s="86" t="str">
        <f>D6</f>
        <v>Form Factor</v>
      </c>
      <c r="E158" s="87">
        <v>2016</v>
      </c>
      <c r="F158" s="87">
        <v>2017</v>
      </c>
      <c r="G158" s="87">
        <v>2018</v>
      </c>
      <c r="H158" s="87">
        <v>2019</v>
      </c>
      <c r="I158" s="87">
        <v>2020</v>
      </c>
      <c r="J158" s="87">
        <v>2021</v>
      </c>
      <c r="K158" s="87">
        <v>2022</v>
      </c>
      <c r="L158" s="87">
        <v>2023</v>
      </c>
      <c r="M158" s="87">
        <v>2024</v>
      </c>
      <c r="N158" s="87">
        <v>2025</v>
      </c>
      <c r="O158" s="87">
        <v>2026</v>
      </c>
    </row>
    <row r="159" spans="2:15">
      <c r="B159" s="88" t="str">
        <f t="shared" ref="B159:D178" si="32">B9</f>
        <v>1G</v>
      </c>
      <c r="C159" s="89" t="str">
        <f t="shared" si="32"/>
        <v>500 m</v>
      </c>
      <c r="D159" s="90" t="str">
        <f t="shared" si="32"/>
        <v>SFP</v>
      </c>
      <c r="E159" s="117">
        <v>45.763121065</v>
      </c>
      <c r="F159" s="117">
        <v>38.398107000000003</v>
      </c>
      <c r="G159" s="117"/>
      <c r="H159" s="117"/>
      <c r="I159" s="117"/>
      <c r="J159" s="117"/>
      <c r="K159" s="117"/>
      <c r="L159" s="193"/>
      <c r="M159" s="193"/>
      <c r="N159" s="193"/>
      <c r="O159" s="193"/>
    </row>
    <row r="160" spans="2:15">
      <c r="B160" s="96" t="str">
        <f t="shared" si="32"/>
        <v>1G</v>
      </c>
      <c r="C160" s="97" t="str">
        <f t="shared" si="32"/>
        <v>10 km</v>
      </c>
      <c r="D160" s="98" t="str">
        <f t="shared" si="32"/>
        <v>SFP</v>
      </c>
      <c r="E160" s="117">
        <v>94.956878455999998</v>
      </c>
      <c r="F160" s="117">
        <v>62.377160200233909</v>
      </c>
      <c r="G160" s="117"/>
      <c r="H160" s="117"/>
      <c r="I160" s="117"/>
      <c r="J160" s="117"/>
      <c r="K160" s="117"/>
      <c r="L160" s="193"/>
      <c r="M160" s="193"/>
      <c r="N160" s="193"/>
      <c r="O160" s="193"/>
    </row>
    <row r="161" spans="2:15">
      <c r="B161" s="96" t="str">
        <f t="shared" si="32"/>
        <v>1G</v>
      </c>
      <c r="C161" s="97" t="str">
        <f t="shared" si="32"/>
        <v>40 km</v>
      </c>
      <c r="D161" s="98" t="str">
        <f t="shared" si="32"/>
        <v>SFP</v>
      </c>
      <c r="E161" s="117">
        <v>8.0014830827197496</v>
      </c>
      <c r="F161" s="117">
        <v>5.3816953356267128</v>
      </c>
      <c r="G161" s="117"/>
      <c r="H161" s="117"/>
      <c r="I161" s="117"/>
      <c r="J161" s="117"/>
      <c r="K161" s="117"/>
      <c r="L161" s="193"/>
      <c r="M161" s="193"/>
      <c r="N161" s="193"/>
      <c r="O161" s="193"/>
    </row>
    <row r="162" spans="2:15">
      <c r="B162" s="96" t="str">
        <f t="shared" si="32"/>
        <v>1G</v>
      </c>
      <c r="C162" s="97" t="str">
        <f t="shared" si="32"/>
        <v>80 km</v>
      </c>
      <c r="D162" s="98" t="str">
        <f t="shared" si="32"/>
        <v>SFP</v>
      </c>
      <c r="E162" s="117">
        <v>5.4436485260342007</v>
      </c>
      <c r="F162" s="117">
        <v>4.4704450954117947</v>
      </c>
      <c r="G162" s="117"/>
      <c r="H162" s="117"/>
      <c r="I162" s="117"/>
      <c r="J162" s="117"/>
      <c r="K162" s="117"/>
      <c r="L162" s="193"/>
      <c r="M162" s="193"/>
      <c r="N162" s="193"/>
      <c r="O162" s="193"/>
    </row>
    <row r="163" spans="2:15">
      <c r="B163" s="92" t="str">
        <f t="shared" si="32"/>
        <v>G &amp; Fast Ethernet</v>
      </c>
      <c r="C163" s="93" t="str">
        <f t="shared" si="32"/>
        <v>Various</v>
      </c>
      <c r="D163" s="94" t="str">
        <f t="shared" si="32"/>
        <v>Legacy/discontinued</v>
      </c>
      <c r="E163" s="116">
        <v>3.6</v>
      </c>
      <c r="F163" s="116"/>
      <c r="G163" s="116"/>
      <c r="H163" s="116"/>
      <c r="I163" s="116"/>
      <c r="J163" s="116"/>
      <c r="K163" s="116"/>
      <c r="L163" s="459"/>
      <c r="M163" s="459"/>
      <c r="N163" s="459"/>
      <c r="O163" s="459"/>
    </row>
    <row r="164" spans="2:15">
      <c r="B164" s="96" t="str">
        <f t="shared" si="32"/>
        <v>10G</v>
      </c>
      <c r="C164" s="97" t="str">
        <f t="shared" si="32"/>
        <v>300 m</v>
      </c>
      <c r="D164" s="98" t="str">
        <f t="shared" si="32"/>
        <v>XFP</v>
      </c>
      <c r="E164" s="117">
        <v>7.6676450000000003</v>
      </c>
      <c r="F164" s="117">
        <v>4.9103659999999998</v>
      </c>
      <c r="G164" s="117"/>
      <c r="H164" s="117"/>
      <c r="I164" s="117"/>
      <c r="J164" s="117"/>
      <c r="K164" s="117"/>
      <c r="L164" s="193"/>
      <c r="M164" s="193"/>
      <c r="N164" s="193"/>
      <c r="O164" s="193"/>
    </row>
    <row r="165" spans="2:15">
      <c r="B165" s="96" t="str">
        <f t="shared" si="32"/>
        <v>10G</v>
      </c>
      <c r="C165" s="97" t="str">
        <f t="shared" si="32"/>
        <v>300 m</v>
      </c>
      <c r="D165" s="98" t="str">
        <f t="shared" si="32"/>
        <v>SFP+</v>
      </c>
      <c r="E165" s="117">
        <v>202.35770202004551</v>
      </c>
      <c r="F165" s="117">
        <v>188.72114215935508</v>
      </c>
      <c r="G165" s="117"/>
      <c r="H165" s="117"/>
      <c r="I165" s="117"/>
      <c r="J165" s="117"/>
      <c r="K165" s="117"/>
      <c r="L165" s="193"/>
      <c r="M165" s="193"/>
      <c r="N165" s="193"/>
      <c r="O165" s="193"/>
    </row>
    <row r="166" spans="2:15">
      <c r="B166" s="96" t="str">
        <f t="shared" si="32"/>
        <v>10G LRM</v>
      </c>
      <c r="C166" s="97" t="str">
        <f t="shared" si="32"/>
        <v>220 m</v>
      </c>
      <c r="D166" s="98" t="str">
        <f t="shared" si="32"/>
        <v>SFP+</v>
      </c>
      <c r="E166" s="117">
        <v>9.5352954367439988</v>
      </c>
      <c r="F166" s="117">
        <v>7.2161380000000008</v>
      </c>
      <c r="G166" s="117"/>
      <c r="H166" s="117"/>
      <c r="I166" s="117"/>
      <c r="J166" s="117"/>
      <c r="K166" s="117"/>
      <c r="L166" s="193"/>
      <c r="M166" s="193"/>
      <c r="N166" s="193"/>
      <c r="O166" s="193"/>
    </row>
    <row r="167" spans="2:15">
      <c r="B167" s="96" t="str">
        <f t="shared" si="32"/>
        <v>10G</v>
      </c>
      <c r="C167" s="97" t="str">
        <f t="shared" si="32"/>
        <v>10 km</v>
      </c>
      <c r="D167" s="98" t="str">
        <f t="shared" si="32"/>
        <v>XFP</v>
      </c>
      <c r="E167" s="117">
        <v>8.2627039704398832</v>
      </c>
      <c r="F167" s="117">
        <v>3.3792872222713641</v>
      </c>
      <c r="G167" s="117"/>
      <c r="H167" s="117"/>
      <c r="I167" s="117"/>
      <c r="J167" s="117"/>
      <c r="K167" s="117"/>
      <c r="L167" s="193"/>
      <c r="M167" s="193"/>
      <c r="N167" s="193"/>
      <c r="O167" s="193"/>
    </row>
    <row r="168" spans="2:15">
      <c r="B168" s="96" t="str">
        <f t="shared" si="32"/>
        <v>10G</v>
      </c>
      <c r="C168" s="97" t="str">
        <f t="shared" si="32"/>
        <v>10 km</v>
      </c>
      <c r="D168" s="98" t="str">
        <f t="shared" si="32"/>
        <v>SFP+</v>
      </c>
      <c r="E168" s="117">
        <v>246.18213319313497</v>
      </c>
      <c r="F168" s="117">
        <v>205.875</v>
      </c>
      <c r="G168" s="117"/>
      <c r="H168" s="117"/>
      <c r="I168" s="117"/>
      <c r="J168" s="117"/>
      <c r="K168" s="117"/>
      <c r="L168" s="193"/>
      <c r="M168" s="193"/>
      <c r="N168" s="193"/>
      <c r="O168" s="193"/>
    </row>
    <row r="169" spans="2:15">
      <c r="B169" s="96" t="str">
        <f t="shared" si="32"/>
        <v>10G</v>
      </c>
      <c r="C169" s="97" t="str">
        <f t="shared" si="32"/>
        <v>40 km</v>
      </c>
      <c r="D169" s="98" t="str">
        <f t="shared" si="32"/>
        <v>XFP</v>
      </c>
      <c r="E169" s="117">
        <v>30.978895627515001</v>
      </c>
      <c r="F169" s="117">
        <v>14.956408213872029</v>
      </c>
      <c r="G169" s="117"/>
      <c r="H169" s="117"/>
      <c r="I169" s="117"/>
      <c r="J169" s="117"/>
      <c r="K169" s="117"/>
      <c r="L169" s="193"/>
      <c r="M169" s="193"/>
      <c r="N169" s="193"/>
      <c r="O169" s="193"/>
    </row>
    <row r="170" spans="2:15">
      <c r="B170" s="96" t="str">
        <f t="shared" si="32"/>
        <v>10G</v>
      </c>
      <c r="C170" s="97" t="str">
        <f t="shared" si="32"/>
        <v>40 km</v>
      </c>
      <c r="D170" s="98" t="str">
        <f t="shared" si="32"/>
        <v>SFP+</v>
      </c>
      <c r="E170" s="117">
        <v>49.314255569719556</v>
      </c>
      <c r="F170" s="117">
        <v>40.24149581356366</v>
      </c>
      <c r="G170" s="117"/>
      <c r="H170" s="117"/>
      <c r="I170" s="117"/>
      <c r="J170" s="117"/>
      <c r="K170" s="117"/>
      <c r="L170" s="193"/>
      <c r="M170" s="193"/>
      <c r="N170" s="193"/>
      <c r="O170" s="193"/>
    </row>
    <row r="171" spans="2:15">
      <c r="B171" s="96" t="str">
        <f t="shared" si="32"/>
        <v>10G</v>
      </c>
      <c r="C171" s="97" t="str">
        <f t="shared" si="32"/>
        <v>80 km</v>
      </c>
      <c r="D171" s="98" t="str">
        <f t="shared" si="32"/>
        <v>XFP</v>
      </c>
      <c r="E171" s="117">
        <v>18.705963697892301</v>
      </c>
      <c r="F171" s="117">
        <v>2.6384714875083346</v>
      </c>
      <c r="G171" s="117"/>
      <c r="H171" s="117"/>
      <c r="I171" s="117"/>
      <c r="J171" s="117"/>
      <c r="K171" s="117"/>
      <c r="L171" s="193"/>
      <c r="M171" s="193"/>
      <c r="N171" s="193"/>
      <c r="O171" s="193"/>
    </row>
    <row r="172" spans="2:15">
      <c r="B172" s="96" t="str">
        <f t="shared" si="32"/>
        <v>10G</v>
      </c>
      <c r="C172" s="97" t="str">
        <f t="shared" si="32"/>
        <v>80 km</v>
      </c>
      <c r="D172" s="98" t="str">
        <f t="shared" si="32"/>
        <v>SFP+</v>
      </c>
      <c r="E172" s="117">
        <v>15.89513332813862</v>
      </c>
      <c r="F172" s="117">
        <v>18.666526637661988</v>
      </c>
      <c r="G172" s="117"/>
      <c r="H172" s="117"/>
      <c r="I172" s="117"/>
      <c r="J172" s="117"/>
      <c r="K172" s="117"/>
      <c r="L172" s="193"/>
      <c r="M172" s="193"/>
      <c r="N172" s="193"/>
      <c r="O172" s="193"/>
    </row>
    <row r="173" spans="2:15">
      <c r="B173" s="92" t="str">
        <f t="shared" si="32"/>
        <v>10G</v>
      </c>
      <c r="C173" s="93" t="str">
        <f t="shared" si="32"/>
        <v>Various</v>
      </c>
      <c r="D173" s="94" t="str">
        <f t="shared" si="32"/>
        <v>Legacy/discontinued</v>
      </c>
      <c r="E173" s="116">
        <v>6.4463090300000001</v>
      </c>
      <c r="F173" s="116">
        <v>2.2937660000000006</v>
      </c>
      <c r="G173" s="116"/>
      <c r="H173" s="116"/>
      <c r="I173" s="116"/>
      <c r="J173" s="116"/>
      <c r="K173" s="116"/>
      <c r="L173" s="459"/>
      <c r="M173" s="459"/>
      <c r="N173" s="459"/>
      <c r="O173" s="459"/>
    </row>
    <row r="174" spans="2:15">
      <c r="B174" s="88" t="str">
        <f t="shared" si="32"/>
        <v>25G SR, eSR</v>
      </c>
      <c r="C174" s="89" t="str">
        <f t="shared" si="32"/>
        <v>100 - 300 m</v>
      </c>
      <c r="D174" s="90" t="str">
        <f t="shared" si="32"/>
        <v>SFP28</v>
      </c>
      <c r="E174" s="115">
        <v>1.3373250000000001</v>
      </c>
      <c r="F174" s="115">
        <v>13.527578999999998</v>
      </c>
      <c r="G174" s="115"/>
      <c r="H174" s="115"/>
      <c r="I174" s="115"/>
      <c r="J174" s="115"/>
      <c r="K174" s="115"/>
      <c r="L174" s="460"/>
      <c r="M174" s="460"/>
      <c r="N174" s="460"/>
      <c r="O174" s="460"/>
    </row>
    <row r="175" spans="2:15">
      <c r="B175" s="96" t="str">
        <f t="shared" si="32"/>
        <v>25G LR</v>
      </c>
      <c r="C175" s="97" t="str">
        <f t="shared" si="32"/>
        <v>10 km</v>
      </c>
      <c r="D175" s="98" t="str">
        <f t="shared" si="32"/>
        <v>SFP28</v>
      </c>
      <c r="E175" s="117">
        <v>2.0749810000000002</v>
      </c>
      <c r="F175" s="117">
        <v>5.6594963069142326</v>
      </c>
      <c r="G175" s="117"/>
      <c r="H175" s="117"/>
      <c r="I175" s="117"/>
      <c r="J175" s="117"/>
      <c r="K175" s="117"/>
      <c r="L175" s="193"/>
      <c r="M175" s="193"/>
      <c r="N175" s="193"/>
      <c r="O175" s="193"/>
    </row>
    <row r="176" spans="2:15">
      <c r="B176" s="96" t="str">
        <f t="shared" si="32"/>
        <v>25G ER</v>
      </c>
      <c r="C176" s="97" t="str">
        <f t="shared" si="32"/>
        <v>40 km</v>
      </c>
      <c r="D176" s="98" t="str">
        <f t="shared" si="32"/>
        <v>SFP28</v>
      </c>
      <c r="E176" s="117">
        <v>0</v>
      </c>
      <c r="F176" s="117">
        <v>0</v>
      </c>
      <c r="G176" s="603"/>
      <c r="H176" s="117"/>
      <c r="I176" s="117"/>
      <c r="J176" s="117"/>
      <c r="K176" s="117"/>
      <c r="L176" s="193"/>
      <c r="M176" s="193"/>
      <c r="N176" s="193"/>
      <c r="O176" s="193"/>
    </row>
    <row r="177" spans="2:15">
      <c r="B177" s="88" t="str">
        <f t="shared" si="32"/>
        <v>40G SR4</v>
      </c>
      <c r="C177" s="89" t="str">
        <f t="shared" si="32"/>
        <v>100 m</v>
      </c>
      <c r="D177" s="90" t="str">
        <f t="shared" si="32"/>
        <v>QSFP+</v>
      </c>
      <c r="E177" s="115">
        <v>61.814562208888887</v>
      </c>
      <c r="F177" s="115">
        <v>63.806447873340716</v>
      </c>
      <c r="G177" s="115"/>
      <c r="H177" s="115"/>
      <c r="I177" s="115"/>
      <c r="J177" s="115"/>
      <c r="K177" s="115"/>
      <c r="L177" s="460"/>
      <c r="M177" s="460"/>
      <c r="N177" s="460"/>
      <c r="O177" s="460"/>
    </row>
    <row r="178" spans="2:15">
      <c r="B178" s="96" t="str">
        <f t="shared" si="32"/>
        <v>40G MM duplex</v>
      </c>
      <c r="C178" s="97" t="str">
        <f t="shared" si="32"/>
        <v>100 m</v>
      </c>
      <c r="D178" s="98" t="str">
        <f t="shared" si="32"/>
        <v>QSFP+</v>
      </c>
      <c r="E178" s="117">
        <v>153.5735</v>
      </c>
      <c r="F178" s="117">
        <v>180.12456</v>
      </c>
      <c r="G178" s="117"/>
      <c r="H178" s="117"/>
      <c r="I178" s="117"/>
      <c r="J178" s="117"/>
      <c r="K178" s="117"/>
      <c r="L178" s="193"/>
      <c r="M178" s="193"/>
      <c r="N178" s="193"/>
      <c r="O178" s="193"/>
    </row>
    <row r="179" spans="2:15">
      <c r="B179" s="96" t="str">
        <f t="shared" ref="B179:D198" si="33">B29</f>
        <v>40G eSR4</v>
      </c>
      <c r="C179" s="97" t="str">
        <f t="shared" si="33"/>
        <v>300 m</v>
      </c>
      <c r="D179" s="98" t="str">
        <f t="shared" si="33"/>
        <v>QSFP+</v>
      </c>
      <c r="E179" s="117">
        <v>29.361883310000003</v>
      </c>
      <c r="F179" s="117">
        <v>37.789000000000001</v>
      </c>
      <c r="G179" s="117"/>
      <c r="H179" s="117"/>
      <c r="I179" s="117"/>
      <c r="J179" s="117"/>
      <c r="K179" s="117"/>
      <c r="L179" s="193"/>
      <c r="M179" s="193"/>
      <c r="N179" s="193"/>
      <c r="O179" s="193"/>
    </row>
    <row r="180" spans="2:15">
      <c r="B180" s="96" t="str">
        <f t="shared" si="33"/>
        <v xml:space="preserve">40G PSM4 </v>
      </c>
      <c r="C180" s="97" t="str">
        <f t="shared" si="33"/>
        <v>500 m</v>
      </c>
      <c r="D180" s="98" t="str">
        <f t="shared" si="33"/>
        <v>QSFP+</v>
      </c>
      <c r="E180" s="193">
        <v>206.04404776999999</v>
      </c>
      <c r="F180" s="193">
        <v>161.25879399999999</v>
      </c>
      <c r="G180" s="193"/>
      <c r="H180" s="193"/>
      <c r="I180" s="193"/>
      <c r="J180" s="193"/>
      <c r="K180" s="193"/>
      <c r="L180" s="193"/>
      <c r="M180" s="193"/>
      <c r="N180" s="193"/>
      <c r="O180" s="193"/>
    </row>
    <row r="181" spans="2:15">
      <c r="B181" s="96" t="str">
        <f t="shared" si="33"/>
        <v>40G (FR)</v>
      </c>
      <c r="C181" s="97" t="str">
        <f t="shared" si="33"/>
        <v>2 km</v>
      </c>
      <c r="D181" s="98" t="str">
        <f t="shared" si="33"/>
        <v>CFP</v>
      </c>
      <c r="E181" s="117">
        <v>3.6147868986222087</v>
      </c>
      <c r="F181" s="117">
        <v>2.1111758458730683</v>
      </c>
      <c r="G181" s="117"/>
      <c r="H181" s="117"/>
      <c r="I181" s="117"/>
      <c r="J181" s="117"/>
      <c r="K181" s="117"/>
      <c r="L181" s="193"/>
      <c r="M181" s="193"/>
      <c r="N181" s="193"/>
      <c r="O181" s="193"/>
    </row>
    <row r="182" spans="2:15">
      <c r="B182" s="96" t="str">
        <f t="shared" si="33"/>
        <v>40G (LR4 subspec)</v>
      </c>
      <c r="C182" s="97" t="str">
        <f t="shared" si="33"/>
        <v>2 km</v>
      </c>
      <c r="D182" s="98" t="str">
        <f t="shared" si="33"/>
        <v>QSFP+</v>
      </c>
      <c r="E182" s="117">
        <v>177.55117799999999</v>
      </c>
      <c r="F182" s="117">
        <v>277.09314268000003</v>
      </c>
      <c r="G182" s="117"/>
      <c r="H182" s="117"/>
      <c r="I182" s="117"/>
      <c r="J182" s="117"/>
      <c r="K182" s="117"/>
      <c r="L182" s="193"/>
      <c r="M182" s="193"/>
      <c r="N182" s="193"/>
      <c r="O182" s="193"/>
    </row>
    <row r="183" spans="2:15">
      <c r="B183" s="96" t="str">
        <f t="shared" si="33"/>
        <v>40G</v>
      </c>
      <c r="C183" s="97" t="str">
        <f t="shared" si="33"/>
        <v>10 km</v>
      </c>
      <c r="D183" s="98" t="str">
        <f t="shared" si="33"/>
        <v>CFP</v>
      </c>
      <c r="E183" s="117">
        <v>7.8193956068084791</v>
      </c>
      <c r="F183" s="117">
        <v>3.8446607087985556</v>
      </c>
      <c r="G183" s="117"/>
      <c r="H183" s="117"/>
      <c r="I183" s="117"/>
      <c r="J183" s="117"/>
      <c r="K183" s="117"/>
      <c r="L183" s="193"/>
      <c r="M183" s="193"/>
      <c r="N183" s="193"/>
      <c r="O183" s="193"/>
    </row>
    <row r="184" spans="2:15">
      <c r="B184" s="96" t="str">
        <f t="shared" si="33"/>
        <v>40G</v>
      </c>
      <c r="C184" s="97" t="str">
        <f t="shared" si="33"/>
        <v>10 km</v>
      </c>
      <c r="D184" s="98" t="str">
        <f t="shared" si="33"/>
        <v>QSFP+</v>
      </c>
      <c r="E184" s="117">
        <v>139.9656742823521</v>
      </c>
      <c r="F184" s="117">
        <v>170.32318072539266</v>
      </c>
      <c r="G184" s="117"/>
      <c r="H184" s="117"/>
      <c r="I184" s="117"/>
      <c r="J184" s="117"/>
      <c r="K184" s="117"/>
      <c r="L184" s="193"/>
      <c r="M184" s="193"/>
      <c r="N184" s="193"/>
      <c r="O184" s="193"/>
    </row>
    <row r="185" spans="2:15">
      <c r="B185" s="92" t="str">
        <f t="shared" si="33"/>
        <v>40G</v>
      </c>
      <c r="C185" s="93" t="str">
        <f t="shared" si="33"/>
        <v>40 km</v>
      </c>
      <c r="D185" s="94" t="str">
        <f t="shared" si="33"/>
        <v>QSFP+</v>
      </c>
      <c r="E185" s="116">
        <v>8.1879420954829136</v>
      </c>
      <c r="F185" s="116">
        <v>7.9265538087967364</v>
      </c>
      <c r="G185" s="116"/>
      <c r="H185" s="116"/>
      <c r="I185" s="116"/>
      <c r="J185" s="116"/>
      <c r="K185" s="116"/>
      <c r="L185" s="459"/>
      <c r="M185" s="459"/>
      <c r="N185" s="459"/>
      <c r="O185" s="459"/>
    </row>
    <row r="186" spans="2:15">
      <c r="B186" s="240" t="str">
        <f t="shared" si="33"/>
        <v xml:space="preserve">50G </v>
      </c>
      <c r="C186" s="241" t="str">
        <f t="shared" si="33"/>
        <v>100 m</v>
      </c>
      <c r="D186" s="242" t="str">
        <f t="shared" si="33"/>
        <v>all</v>
      </c>
      <c r="E186" s="115">
        <v>0</v>
      </c>
      <c r="F186" s="115">
        <v>0</v>
      </c>
      <c r="G186" s="115"/>
      <c r="H186" s="115"/>
      <c r="I186" s="115"/>
      <c r="J186" s="115"/>
      <c r="K186" s="115"/>
      <c r="L186" s="460"/>
      <c r="M186" s="460"/>
      <c r="N186" s="460"/>
      <c r="O186" s="460"/>
    </row>
    <row r="187" spans="2:15">
      <c r="B187" s="243" t="str">
        <f t="shared" si="33"/>
        <v xml:space="preserve">50G </v>
      </c>
      <c r="C187" s="244" t="str">
        <f t="shared" si="33"/>
        <v>2 km</v>
      </c>
      <c r="D187" s="245" t="str">
        <f t="shared" si="33"/>
        <v>all</v>
      </c>
      <c r="E187" s="193"/>
      <c r="F187" s="193"/>
      <c r="G187" s="117"/>
      <c r="H187" s="117"/>
      <c r="I187" s="117"/>
      <c r="J187" s="117"/>
      <c r="K187" s="117"/>
      <c r="L187" s="193"/>
      <c r="M187" s="193"/>
      <c r="N187" s="193"/>
      <c r="O187" s="193"/>
    </row>
    <row r="188" spans="2:15">
      <c r="B188" s="243" t="str">
        <f t="shared" si="33"/>
        <v xml:space="preserve">50G </v>
      </c>
      <c r="C188" s="244" t="str">
        <f t="shared" si="33"/>
        <v>10 km</v>
      </c>
      <c r="D188" s="245" t="str">
        <f t="shared" si="33"/>
        <v>all</v>
      </c>
      <c r="E188" s="193"/>
      <c r="F188" s="193"/>
      <c r="G188" s="117"/>
      <c r="H188" s="117"/>
      <c r="I188" s="117"/>
      <c r="J188" s="117"/>
      <c r="K188" s="117"/>
      <c r="L188" s="193"/>
      <c r="M188" s="193"/>
      <c r="N188" s="193"/>
      <c r="O188" s="193"/>
    </row>
    <row r="189" spans="2:15">
      <c r="B189" s="88" t="str">
        <f t="shared" si="33"/>
        <v>100G SR4</v>
      </c>
      <c r="C189" s="89" t="str">
        <f t="shared" si="33"/>
        <v>100 m</v>
      </c>
      <c r="D189" s="90" t="str">
        <f t="shared" si="33"/>
        <v>CFP</v>
      </c>
      <c r="E189" s="115">
        <v>21.078782</v>
      </c>
      <c r="F189" s="115">
        <v>8.8030050000000024</v>
      </c>
      <c r="G189" s="115"/>
      <c r="H189" s="115"/>
      <c r="I189" s="115"/>
      <c r="J189" s="115"/>
      <c r="K189" s="115"/>
      <c r="L189" s="460"/>
      <c r="M189" s="460"/>
      <c r="N189" s="460"/>
      <c r="O189" s="460"/>
    </row>
    <row r="190" spans="2:15">
      <c r="B190" s="96" t="str">
        <f t="shared" si="33"/>
        <v>100G SR4</v>
      </c>
      <c r="C190" s="97" t="str">
        <f t="shared" si="33"/>
        <v>100 m</v>
      </c>
      <c r="D190" s="98" t="str">
        <f t="shared" si="33"/>
        <v>CFP2/4</v>
      </c>
      <c r="E190" s="117">
        <v>5.2611999999999997</v>
      </c>
      <c r="F190" s="117">
        <v>2.4791280000000007</v>
      </c>
      <c r="G190" s="117"/>
      <c r="H190" s="117"/>
      <c r="I190" s="117"/>
      <c r="J190" s="117"/>
      <c r="K190" s="117"/>
      <c r="L190" s="117"/>
      <c r="M190" s="117"/>
      <c r="N190" s="117"/>
      <c r="O190" s="117"/>
    </row>
    <row r="191" spans="2:15">
      <c r="B191" s="96" t="str">
        <f t="shared" si="33"/>
        <v>100G SR4</v>
      </c>
      <c r="C191" s="97" t="str">
        <f t="shared" si="33"/>
        <v>100 m</v>
      </c>
      <c r="D191" s="98" t="str">
        <f t="shared" si="33"/>
        <v>QSFP28</v>
      </c>
      <c r="E191" s="117">
        <v>72.281363999999996</v>
      </c>
      <c r="F191" s="117">
        <v>113.36232738072</v>
      </c>
      <c r="G191" s="117"/>
      <c r="H191" s="117"/>
      <c r="I191" s="117"/>
      <c r="J191" s="117"/>
      <c r="K191" s="117"/>
      <c r="L191" s="193"/>
      <c r="M191" s="193"/>
      <c r="N191" s="193"/>
      <c r="O191" s="193"/>
    </row>
    <row r="192" spans="2:15">
      <c r="B192" s="96" t="str">
        <f t="shared" si="33"/>
        <v>100G SR2</v>
      </c>
      <c r="C192" s="97" t="str">
        <f t="shared" si="33"/>
        <v>100 m</v>
      </c>
      <c r="D192" s="98" t="str">
        <f t="shared" si="33"/>
        <v>All</v>
      </c>
      <c r="E192" s="117">
        <v>0</v>
      </c>
      <c r="F192" s="117">
        <v>0</v>
      </c>
      <c r="G192" s="117"/>
      <c r="H192" s="117"/>
      <c r="I192" s="117"/>
      <c r="J192" s="117"/>
      <c r="K192" s="117"/>
      <c r="L192" s="193"/>
      <c r="M192" s="193"/>
      <c r="N192" s="193"/>
      <c r="O192" s="193"/>
    </row>
    <row r="193" spans="2:15">
      <c r="B193" s="96" t="str">
        <f t="shared" si="33"/>
        <v>100G MM Duplex</v>
      </c>
      <c r="C193" s="97" t="str">
        <f t="shared" si="33"/>
        <v>100 - 300 m</v>
      </c>
      <c r="D193" s="98" t="str">
        <f t="shared" si="33"/>
        <v>QSFP28</v>
      </c>
      <c r="E193" s="117">
        <v>0</v>
      </c>
      <c r="F193" s="117">
        <v>0</v>
      </c>
      <c r="G193" s="117"/>
      <c r="H193" s="117"/>
      <c r="I193" s="117"/>
      <c r="J193" s="117"/>
      <c r="K193" s="117"/>
      <c r="L193" s="193"/>
      <c r="M193" s="193"/>
      <c r="N193" s="193"/>
      <c r="O193" s="193"/>
    </row>
    <row r="194" spans="2:15">
      <c r="B194" s="96" t="str">
        <f t="shared" si="33"/>
        <v>100G eSR4</v>
      </c>
      <c r="C194" s="97" t="str">
        <f t="shared" si="33"/>
        <v>300 m</v>
      </c>
      <c r="D194" s="98" t="str">
        <f t="shared" si="33"/>
        <v>QSFP28</v>
      </c>
      <c r="E194" s="117">
        <v>0</v>
      </c>
      <c r="F194" s="117">
        <v>0</v>
      </c>
      <c r="G194" s="117"/>
      <c r="H194" s="117"/>
      <c r="I194" s="117"/>
      <c r="J194" s="117"/>
      <c r="K194" s="117"/>
      <c r="L194" s="193"/>
      <c r="M194" s="193"/>
      <c r="N194" s="193"/>
      <c r="O194" s="193"/>
    </row>
    <row r="195" spans="2:15">
      <c r="B195" s="96" t="str">
        <f t="shared" si="33"/>
        <v>100G PSM4</v>
      </c>
      <c r="C195" s="97" t="str">
        <f t="shared" si="33"/>
        <v>500 m</v>
      </c>
      <c r="D195" s="98" t="str">
        <f t="shared" si="33"/>
        <v>QSFP28</v>
      </c>
      <c r="E195" s="117">
        <v>67.773890240000014</v>
      </c>
      <c r="F195" s="117">
        <v>158.09400299999999</v>
      </c>
      <c r="G195" s="117"/>
      <c r="H195" s="117"/>
      <c r="I195" s="117"/>
      <c r="J195" s="117"/>
      <c r="K195" s="117"/>
      <c r="L195" s="193"/>
      <c r="M195" s="193"/>
      <c r="N195" s="193"/>
      <c r="O195" s="193"/>
    </row>
    <row r="196" spans="2:15">
      <c r="B196" s="96" t="str">
        <f t="shared" si="33"/>
        <v>100G DR/DR+</v>
      </c>
      <c r="C196" s="97" t="str">
        <f t="shared" si="33"/>
        <v>500m, 2km</v>
      </c>
      <c r="D196" s="98" t="str">
        <f t="shared" si="33"/>
        <v>QSFP28</v>
      </c>
      <c r="E196" s="117">
        <v>0</v>
      </c>
      <c r="F196" s="117">
        <v>0</v>
      </c>
      <c r="G196" s="193"/>
      <c r="H196" s="117"/>
      <c r="I196" s="117"/>
      <c r="J196" s="117"/>
      <c r="K196" s="117"/>
      <c r="L196" s="193"/>
      <c r="M196" s="193"/>
      <c r="N196" s="193"/>
      <c r="O196" s="193"/>
    </row>
    <row r="197" spans="2:15">
      <c r="B197" s="96" t="str">
        <f t="shared" si="33"/>
        <v>100G CWDM4-subspec</v>
      </c>
      <c r="C197" s="97" t="str">
        <f t="shared" si="33"/>
        <v>500 m</v>
      </c>
      <c r="D197" s="98" t="str">
        <f t="shared" si="33"/>
        <v>QSFP28</v>
      </c>
      <c r="E197" s="117">
        <v>55.125374999999998</v>
      </c>
      <c r="F197" s="117">
        <v>307.53544499999998</v>
      </c>
      <c r="G197" s="193"/>
      <c r="H197" s="117"/>
      <c r="I197" s="117"/>
      <c r="J197" s="117"/>
      <c r="K197" s="117"/>
      <c r="L197" s="193"/>
      <c r="M197" s="193"/>
      <c r="N197" s="193"/>
      <c r="O197" s="193"/>
    </row>
    <row r="198" spans="2:15">
      <c r="B198" s="96" t="str">
        <f t="shared" si="33"/>
        <v>100G CWDM4</v>
      </c>
      <c r="C198" s="97" t="str">
        <f t="shared" si="33"/>
        <v>2 km</v>
      </c>
      <c r="D198" s="98" t="str">
        <f t="shared" si="33"/>
        <v>QSFP28</v>
      </c>
      <c r="E198" s="117">
        <v>25.566254999999995</v>
      </c>
      <c r="F198" s="117">
        <v>190.37908500000003</v>
      </c>
      <c r="G198" s="193"/>
      <c r="H198" s="117"/>
      <c r="I198" s="117"/>
      <c r="J198" s="117"/>
      <c r="K198" s="117"/>
      <c r="L198" s="193"/>
      <c r="M198" s="193"/>
      <c r="N198" s="193"/>
      <c r="O198" s="193"/>
    </row>
    <row r="199" spans="2:15">
      <c r="B199" s="96" t="str">
        <f t="shared" ref="B199:D218" si="34">B49</f>
        <v>100G FR1</v>
      </c>
      <c r="C199" s="97" t="str">
        <f t="shared" si="34"/>
        <v>2 km</v>
      </c>
      <c r="D199" s="98" t="str">
        <f t="shared" si="34"/>
        <v>QSFP28</v>
      </c>
      <c r="E199" s="117">
        <v>0</v>
      </c>
      <c r="F199" s="117">
        <v>0</v>
      </c>
      <c r="G199" s="117"/>
      <c r="H199" s="117"/>
      <c r="I199" s="117"/>
      <c r="J199" s="117"/>
      <c r="K199" s="117"/>
      <c r="L199" s="193"/>
      <c r="M199" s="193"/>
      <c r="N199" s="193"/>
      <c r="O199" s="193"/>
    </row>
    <row r="200" spans="2:15">
      <c r="B200" s="96" t="str">
        <f t="shared" si="34"/>
        <v>100G LR4</v>
      </c>
      <c r="C200" s="97" t="str">
        <f t="shared" si="34"/>
        <v>10 km</v>
      </c>
      <c r="D200" s="98" t="str">
        <f t="shared" si="34"/>
        <v>CFP</v>
      </c>
      <c r="E200" s="117">
        <v>387.84002208207454</v>
      </c>
      <c r="F200" s="117">
        <v>186.42675405916248</v>
      </c>
      <c r="G200" s="117"/>
      <c r="H200" s="117"/>
      <c r="I200" s="117"/>
      <c r="J200" s="117"/>
      <c r="K200" s="117"/>
      <c r="L200" s="193"/>
      <c r="M200" s="193"/>
      <c r="N200" s="193"/>
      <c r="O200" s="193"/>
    </row>
    <row r="201" spans="2:15">
      <c r="B201" s="96" t="str">
        <f t="shared" si="34"/>
        <v>100G LR4</v>
      </c>
      <c r="C201" s="97" t="str">
        <f t="shared" si="34"/>
        <v>10 km</v>
      </c>
      <c r="D201" s="98" t="str">
        <f t="shared" si="34"/>
        <v>CFP2/4</v>
      </c>
      <c r="E201" s="117">
        <v>265.89292589706986</v>
      </c>
      <c r="F201" s="117">
        <v>167.37814313065076</v>
      </c>
      <c r="G201" s="117"/>
      <c r="H201" s="117"/>
      <c r="I201" s="117"/>
      <c r="J201" s="117"/>
      <c r="K201" s="117"/>
      <c r="L201" s="193"/>
      <c r="M201" s="193"/>
      <c r="N201" s="193"/>
      <c r="O201" s="193"/>
    </row>
    <row r="202" spans="2:15">
      <c r="B202" s="96" t="str">
        <f t="shared" si="34"/>
        <v>100G LR4 and LR1</v>
      </c>
      <c r="C202" s="97" t="str">
        <f t="shared" si="34"/>
        <v>10 km</v>
      </c>
      <c r="D202" s="98" t="str">
        <f t="shared" si="34"/>
        <v>QSFP28</v>
      </c>
      <c r="E202" s="117">
        <v>175.29210971636297</v>
      </c>
      <c r="F202" s="117">
        <v>434.82240000000002</v>
      </c>
      <c r="G202" s="117"/>
      <c r="H202" s="117"/>
      <c r="I202" s="117"/>
      <c r="J202" s="117"/>
      <c r="K202" s="117"/>
      <c r="L202" s="193"/>
      <c r="M202" s="193"/>
      <c r="N202" s="193"/>
      <c r="O202" s="193"/>
    </row>
    <row r="203" spans="2:15">
      <c r="B203" s="96" t="str">
        <f t="shared" si="34"/>
        <v>100G 4WDM10</v>
      </c>
      <c r="C203" s="97" t="str">
        <f t="shared" si="34"/>
        <v>10 km</v>
      </c>
      <c r="D203" s="98" t="str">
        <f t="shared" si="34"/>
        <v>QSFP28</v>
      </c>
      <c r="E203" s="117">
        <v>0</v>
      </c>
      <c r="F203" s="117">
        <v>22.5</v>
      </c>
      <c r="G203" s="117"/>
      <c r="H203" s="117"/>
      <c r="I203" s="117"/>
      <c r="J203" s="117"/>
      <c r="K203" s="117"/>
      <c r="L203" s="193"/>
      <c r="M203" s="193"/>
      <c r="N203" s="193"/>
      <c r="O203" s="193"/>
    </row>
    <row r="204" spans="2:15">
      <c r="B204" s="96" t="str">
        <f t="shared" si="34"/>
        <v>100G 4WDM20</v>
      </c>
      <c r="C204" s="97" t="str">
        <f t="shared" si="34"/>
        <v>20 km</v>
      </c>
      <c r="D204" s="98" t="str">
        <f t="shared" si="34"/>
        <v>QSFP28</v>
      </c>
      <c r="E204" s="117">
        <v>0</v>
      </c>
      <c r="F204" s="117">
        <v>0</v>
      </c>
      <c r="G204" s="117"/>
      <c r="H204" s="117"/>
      <c r="I204" s="117"/>
      <c r="J204" s="117"/>
      <c r="K204" s="117"/>
      <c r="L204" s="193"/>
      <c r="M204" s="193"/>
      <c r="N204" s="193"/>
      <c r="O204" s="193"/>
    </row>
    <row r="205" spans="2:15">
      <c r="B205" s="96" t="str">
        <f t="shared" si="34"/>
        <v>100G ER4-Lite</v>
      </c>
      <c r="C205" s="97" t="str">
        <f t="shared" si="34"/>
        <v>30 km</v>
      </c>
      <c r="D205" s="98" t="str">
        <f t="shared" si="34"/>
        <v>QSFP28</v>
      </c>
      <c r="E205" s="117" t="s">
        <v>95</v>
      </c>
      <c r="F205" s="117">
        <v>6.9744847890088328</v>
      </c>
      <c r="G205" s="117"/>
      <c r="H205" s="117"/>
      <c r="I205" s="117"/>
      <c r="J205" s="117"/>
      <c r="K205" s="117"/>
      <c r="L205" s="193"/>
      <c r="M205" s="193"/>
      <c r="N205" s="193"/>
      <c r="O205" s="193"/>
    </row>
    <row r="206" spans="2:15">
      <c r="B206" s="96" t="str">
        <f t="shared" si="34"/>
        <v>100G ER4</v>
      </c>
      <c r="C206" s="97" t="str">
        <f t="shared" si="34"/>
        <v>40 km</v>
      </c>
      <c r="D206" s="98" t="str">
        <f t="shared" si="34"/>
        <v>QSFP28</v>
      </c>
      <c r="E206" s="117">
        <v>67.047039534140794</v>
      </c>
      <c r="F206" s="117">
        <v>55.219616614611596</v>
      </c>
      <c r="G206" s="117"/>
      <c r="H206" s="117"/>
      <c r="I206" s="117"/>
      <c r="J206" s="117"/>
      <c r="K206" s="117"/>
      <c r="L206" s="193"/>
      <c r="M206" s="193"/>
      <c r="N206" s="193"/>
      <c r="O206" s="193"/>
    </row>
    <row r="207" spans="2:15">
      <c r="B207" s="96" t="str">
        <f t="shared" si="34"/>
        <v>100G ZR4</v>
      </c>
      <c r="C207" s="97" t="str">
        <f t="shared" si="34"/>
        <v>80 km</v>
      </c>
      <c r="D207" s="98" t="str">
        <f t="shared" si="34"/>
        <v>QSFP28</v>
      </c>
      <c r="E207" s="117" t="s">
        <v>95</v>
      </c>
      <c r="F207" s="117" t="s">
        <v>95</v>
      </c>
      <c r="G207" s="117"/>
      <c r="H207" s="117"/>
      <c r="I207" s="117"/>
      <c r="J207" s="117"/>
      <c r="K207" s="117"/>
      <c r="L207" s="193"/>
      <c r="M207" s="193"/>
      <c r="N207" s="193"/>
      <c r="O207" s="193"/>
    </row>
    <row r="208" spans="2:15">
      <c r="B208" s="236" t="str">
        <f t="shared" si="34"/>
        <v>200G SR4</v>
      </c>
      <c r="C208" s="235" t="str">
        <f t="shared" si="34"/>
        <v>100 m</v>
      </c>
      <c r="D208" s="234" t="str">
        <f t="shared" si="34"/>
        <v>QSFP56</v>
      </c>
      <c r="E208" s="115">
        <v>0</v>
      </c>
      <c r="F208" s="115">
        <v>0</v>
      </c>
      <c r="G208" s="115"/>
      <c r="H208" s="115"/>
      <c r="I208" s="115"/>
      <c r="J208" s="115"/>
      <c r="K208" s="115"/>
      <c r="L208" s="460"/>
      <c r="M208" s="460"/>
      <c r="N208" s="460"/>
      <c r="O208" s="460"/>
    </row>
    <row r="209" spans="2:15">
      <c r="B209" s="54" t="str">
        <f t="shared" si="34"/>
        <v>2x200 (400G-SR8)</v>
      </c>
      <c r="C209" s="55" t="str">
        <f t="shared" si="34"/>
        <v>100 m</v>
      </c>
      <c r="D209" s="56" t="str">
        <f t="shared" si="34"/>
        <v>OSFP, QSFP-DD</v>
      </c>
      <c r="E209" s="117">
        <v>0</v>
      </c>
      <c r="F209" s="117">
        <v>0</v>
      </c>
      <c r="G209" s="117"/>
      <c r="H209" s="117"/>
      <c r="I209" s="117"/>
      <c r="J209" s="117"/>
      <c r="K209" s="117"/>
      <c r="L209" s="193"/>
      <c r="M209" s="193"/>
      <c r="N209" s="193"/>
      <c r="O209" s="193"/>
    </row>
    <row r="210" spans="2:15">
      <c r="B210" s="54" t="str">
        <f t="shared" si="34"/>
        <v>200G FR4</v>
      </c>
      <c r="C210" s="55" t="str">
        <f t="shared" si="34"/>
        <v>3 km</v>
      </c>
      <c r="D210" s="56" t="str">
        <f t="shared" si="34"/>
        <v>QSFP56</v>
      </c>
      <c r="E210" s="117">
        <v>0</v>
      </c>
      <c r="F210" s="117">
        <v>0</v>
      </c>
      <c r="G210" s="117"/>
      <c r="H210" s="117"/>
      <c r="I210" s="117"/>
      <c r="J210" s="117"/>
      <c r="K210" s="117"/>
      <c r="L210" s="193"/>
      <c r="M210" s="193"/>
      <c r="N210" s="193"/>
      <c r="O210" s="193"/>
    </row>
    <row r="211" spans="2:15">
      <c r="B211" s="57" t="str">
        <f t="shared" si="34"/>
        <v>2x(200G FR4)</v>
      </c>
      <c r="C211" s="58" t="str">
        <f t="shared" si="34"/>
        <v>2 km</v>
      </c>
      <c r="D211" s="59" t="str">
        <f t="shared" si="34"/>
        <v>OSFP</v>
      </c>
      <c r="E211" s="116">
        <v>0</v>
      </c>
      <c r="F211" s="116">
        <v>0</v>
      </c>
      <c r="G211" s="116"/>
      <c r="H211" s="116"/>
      <c r="I211" s="116"/>
      <c r="J211" s="116"/>
      <c r="K211" s="116"/>
      <c r="L211" s="459"/>
      <c r="M211" s="459"/>
      <c r="N211" s="459"/>
      <c r="O211" s="459"/>
    </row>
    <row r="212" spans="2:15">
      <c r="B212" s="236" t="str">
        <f t="shared" si="34"/>
        <v>400G SR4.2, SR4</v>
      </c>
      <c r="C212" s="235" t="str">
        <f t="shared" si="34"/>
        <v>100 m</v>
      </c>
      <c r="D212" s="234" t="str">
        <f t="shared" si="34"/>
        <v>OSFP, QSFP-DD, QSFP112</v>
      </c>
      <c r="E212" s="115">
        <v>0</v>
      </c>
      <c r="F212" s="115">
        <v>0</v>
      </c>
      <c r="G212" s="115"/>
      <c r="H212" s="115"/>
      <c r="I212" s="115"/>
      <c r="J212" s="115"/>
      <c r="K212" s="115"/>
      <c r="L212" s="460"/>
      <c r="M212" s="460"/>
      <c r="N212" s="460"/>
      <c r="O212" s="460"/>
    </row>
    <row r="213" spans="2:15">
      <c r="B213" s="54" t="str">
        <f t="shared" si="34"/>
        <v>400G DR4</v>
      </c>
      <c r="C213" s="55" t="str">
        <f t="shared" si="34"/>
        <v>500 m</v>
      </c>
      <c r="D213" s="56" t="str">
        <f t="shared" si="34"/>
        <v>OSFP, QSFP-DD, QSFP112</v>
      </c>
      <c r="E213" s="117">
        <v>0</v>
      </c>
      <c r="F213" s="117">
        <v>0</v>
      </c>
      <c r="G213" s="117"/>
      <c r="H213" s="117"/>
      <c r="I213" s="117"/>
      <c r="J213" s="117"/>
      <c r="K213" s="117"/>
      <c r="L213" s="193"/>
      <c r="M213" s="193"/>
      <c r="N213" s="193"/>
      <c r="O213" s="193"/>
    </row>
    <row r="214" spans="2:15">
      <c r="B214" s="54" t="str">
        <f t="shared" si="34"/>
        <v>400G FR4</v>
      </c>
      <c r="C214" s="55" t="str">
        <f t="shared" si="34"/>
        <v>2 km</v>
      </c>
      <c r="D214" s="56" t="str">
        <f t="shared" si="34"/>
        <v>OSFP, QSFP-DD, QSFP112</v>
      </c>
      <c r="E214" s="117">
        <v>0</v>
      </c>
      <c r="F214" s="117">
        <v>8.1299999999999997E-2</v>
      </c>
      <c r="G214" s="117"/>
      <c r="H214" s="117"/>
      <c r="I214" s="117"/>
      <c r="J214" s="117"/>
      <c r="K214" s="117"/>
      <c r="L214" s="193"/>
      <c r="M214" s="193"/>
      <c r="N214" s="193"/>
      <c r="O214" s="193"/>
    </row>
    <row r="215" spans="2:15">
      <c r="B215" s="57" t="str">
        <f t="shared" si="34"/>
        <v>400G LR4, LR8</v>
      </c>
      <c r="C215" s="58" t="str">
        <f t="shared" si="34"/>
        <v>10 km</v>
      </c>
      <c r="D215" s="59" t="str">
        <f t="shared" si="34"/>
        <v>OSFP, QSFP-DD, QSFP112</v>
      </c>
      <c r="E215" s="116">
        <v>0</v>
      </c>
      <c r="F215" s="116">
        <v>1.2669999999999999</v>
      </c>
      <c r="G215" s="116"/>
      <c r="H215" s="116"/>
      <c r="I215" s="116"/>
      <c r="J215" s="116"/>
      <c r="K215" s="116"/>
      <c r="L215" s="459"/>
      <c r="M215" s="459"/>
      <c r="N215" s="459"/>
      <c r="O215" s="459"/>
    </row>
    <row r="216" spans="2:15">
      <c r="B216" s="236" t="str">
        <f t="shared" si="34"/>
        <v>800G SR8</v>
      </c>
      <c r="C216" s="235" t="str">
        <f t="shared" si="34"/>
        <v>50 m</v>
      </c>
      <c r="D216" s="234" t="str">
        <f t="shared" si="34"/>
        <v>OSFP, QSFP-DD800</v>
      </c>
      <c r="E216" s="115"/>
      <c r="F216" s="115"/>
      <c r="G216" s="115"/>
      <c r="H216" s="115"/>
      <c r="I216" s="115"/>
      <c r="J216" s="115"/>
      <c r="K216" s="115"/>
      <c r="L216" s="460"/>
      <c r="M216" s="460"/>
      <c r="N216" s="460"/>
      <c r="O216" s="460"/>
    </row>
    <row r="217" spans="2:15">
      <c r="B217" s="54" t="str">
        <f t="shared" si="34"/>
        <v>800G PSM8</v>
      </c>
      <c r="C217" s="55" t="str">
        <f t="shared" si="34"/>
        <v>500 m</v>
      </c>
      <c r="D217" s="56" t="str">
        <f t="shared" si="34"/>
        <v>OSFP, QSFP-DD800</v>
      </c>
      <c r="E217" s="117"/>
      <c r="F217" s="117"/>
      <c r="G217" s="117"/>
      <c r="H217" s="117"/>
      <c r="I217" s="117"/>
      <c r="J217" s="117"/>
      <c r="K217" s="117"/>
      <c r="L217" s="193"/>
      <c r="M217" s="193"/>
      <c r="N217" s="193"/>
      <c r="O217" s="193"/>
    </row>
    <row r="218" spans="2:15">
      <c r="B218" s="54" t="str">
        <f t="shared" si="34"/>
        <v>2x(400G FR4)</v>
      </c>
      <c r="C218" s="55" t="str">
        <f t="shared" si="34"/>
        <v>2 km</v>
      </c>
      <c r="D218" s="56" t="str">
        <f t="shared" si="34"/>
        <v>OSFP, QSFP-DD800</v>
      </c>
      <c r="E218" s="117"/>
      <c r="F218" s="117"/>
      <c r="G218" s="117"/>
      <c r="H218" s="117"/>
      <c r="I218" s="117"/>
      <c r="J218" s="117"/>
      <c r="K218" s="117"/>
      <c r="L218" s="193"/>
      <c r="M218" s="193"/>
      <c r="N218" s="193"/>
      <c r="O218" s="193"/>
    </row>
    <row r="219" spans="2:15">
      <c r="B219" s="57"/>
      <c r="C219" s="58"/>
      <c r="D219" s="59"/>
      <c r="E219" s="116"/>
      <c r="F219" s="116"/>
      <c r="G219" s="116"/>
      <c r="H219" s="116"/>
      <c r="I219" s="116"/>
      <c r="J219" s="116"/>
      <c r="K219" s="116"/>
      <c r="L219" s="459"/>
      <c r="M219" s="459"/>
      <c r="N219" s="459"/>
      <c r="O219" s="459"/>
    </row>
    <row r="220" spans="2:15">
      <c r="B220" s="51" t="s">
        <v>20</v>
      </c>
      <c r="C220" s="52"/>
      <c r="D220" s="53"/>
      <c r="E220" s="109">
        <f t="shared" ref="E220:O220" si="35">SUM(E159:E219)</f>
        <v>2687.6154076451867</v>
      </c>
      <c r="F220" s="109">
        <f t="shared" si="35"/>
        <v>3178.3132920887738</v>
      </c>
      <c r="G220" s="109">
        <f t="shared" si="35"/>
        <v>0</v>
      </c>
      <c r="H220" s="109">
        <f t="shared" si="35"/>
        <v>0</v>
      </c>
      <c r="I220" s="109">
        <f t="shared" si="35"/>
        <v>0</v>
      </c>
      <c r="J220" s="109">
        <f t="shared" si="35"/>
        <v>0</v>
      </c>
      <c r="K220" s="109">
        <f t="shared" si="35"/>
        <v>0</v>
      </c>
      <c r="L220" s="457">
        <f t="shared" si="35"/>
        <v>0</v>
      </c>
      <c r="M220" s="457">
        <f t="shared" si="35"/>
        <v>0</v>
      </c>
      <c r="N220" s="457">
        <f t="shared" si="35"/>
        <v>0</v>
      </c>
      <c r="O220" s="457">
        <f t="shared" si="35"/>
        <v>0</v>
      </c>
    </row>
    <row r="221" spans="2:15">
      <c r="B221" s="236" t="s">
        <v>360</v>
      </c>
      <c r="C221" s="543" t="s">
        <v>50</v>
      </c>
      <c r="D221" s="577" t="s">
        <v>50</v>
      </c>
      <c r="E221" s="539">
        <f t="shared" ref="E221:O221" si="36">SUM(E164:E173)</f>
        <v>595.34603687362983</v>
      </c>
      <c r="F221" s="539">
        <f t="shared" si="36"/>
        <v>488.89860153423245</v>
      </c>
      <c r="G221" s="539">
        <f t="shared" si="36"/>
        <v>0</v>
      </c>
      <c r="H221" s="539">
        <f t="shared" si="36"/>
        <v>0</v>
      </c>
      <c r="I221" s="539">
        <f t="shared" si="36"/>
        <v>0</v>
      </c>
      <c r="J221" s="539">
        <f t="shared" si="36"/>
        <v>0</v>
      </c>
      <c r="K221" s="539">
        <f t="shared" si="36"/>
        <v>0</v>
      </c>
      <c r="L221" s="539">
        <f t="shared" si="36"/>
        <v>0</v>
      </c>
      <c r="M221" s="539">
        <f t="shared" si="36"/>
        <v>0</v>
      </c>
      <c r="N221" s="539">
        <f t="shared" si="36"/>
        <v>0</v>
      </c>
      <c r="O221" s="539">
        <f t="shared" si="36"/>
        <v>0</v>
      </c>
    </row>
    <row r="222" spans="2:15">
      <c r="B222" s="54" t="str">
        <f t="shared" ref="B222:D228" si="37">B72</f>
        <v>25G total</v>
      </c>
      <c r="C222" s="271" t="str">
        <f t="shared" si="37"/>
        <v>All</v>
      </c>
      <c r="D222" s="541" t="str">
        <f t="shared" si="37"/>
        <v>All</v>
      </c>
      <c r="E222" s="282">
        <f t="shared" ref="E222:O222" si="38">SUM(E174:E176)</f>
        <v>3.4123060000000001</v>
      </c>
      <c r="F222" s="282">
        <f t="shared" si="38"/>
        <v>19.187075306914231</v>
      </c>
      <c r="G222" s="282">
        <f t="shared" si="38"/>
        <v>0</v>
      </c>
      <c r="H222" s="284">
        <f t="shared" si="38"/>
        <v>0</v>
      </c>
      <c r="I222" s="284">
        <f t="shared" si="38"/>
        <v>0</v>
      </c>
      <c r="J222" s="284">
        <f t="shared" si="38"/>
        <v>0</v>
      </c>
      <c r="K222" s="284">
        <f t="shared" si="38"/>
        <v>0</v>
      </c>
      <c r="L222" s="111">
        <f t="shared" si="38"/>
        <v>0</v>
      </c>
      <c r="M222" s="111">
        <f t="shared" si="38"/>
        <v>0</v>
      </c>
      <c r="N222" s="111">
        <f t="shared" si="38"/>
        <v>0</v>
      </c>
      <c r="O222" s="111">
        <f t="shared" si="38"/>
        <v>0</v>
      </c>
    </row>
    <row r="223" spans="2:15">
      <c r="B223" s="54" t="str">
        <f t="shared" si="37"/>
        <v>40G total</v>
      </c>
      <c r="C223" s="271" t="str">
        <f t="shared" si="37"/>
        <v>All</v>
      </c>
      <c r="D223" s="541" t="str">
        <f t="shared" si="37"/>
        <v>All</v>
      </c>
      <c r="E223" s="175">
        <f t="shared" ref="E223:O223" si="39">SUM(E177:E185)</f>
        <v>787.93297017215446</v>
      </c>
      <c r="F223" s="175">
        <f t="shared" si="39"/>
        <v>904.27751564220159</v>
      </c>
      <c r="G223" s="175">
        <f t="shared" si="39"/>
        <v>0</v>
      </c>
      <c r="H223" s="175">
        <f t="shared" si="39"/>
        <v>0</v>
      </c>
      <c r="I223" s="175">
        <f t="shared" si="39"/>
        <v>0</v>
      </c>
      <c r="J223" s="175">
        <f t="shared" si="39"/>
        <v>0</v>
      </c>
      <c r="K223" s="175">
        <f t="shared" si="39"/>
        <v>0</v>
      </c>
      <c r="L223" s="111">
        <f t="shared" si="39"/>
        <v>0</v>
      </c>
      <c r="M223" s="111">
        <f t="shared" si="39"/>
        <v>0</v>
      </c>
      <c r="N223" s="111">
        <f t="shared" si="39"/>
        <v>0</v>
      </c>
      <c r="O223" s="111">
        <f t="shared" si="39"/>
        <v>0</v>
      </c>
    </row>
    <row r="224" spans="2:15">
      <c r="B224" s="54" t="str">
        <f t="shared" si="37"/>
        <v>50G total</v>
      </c>
      <c r="C224" s="271" t="str">
        <f t="shared" si="37"/>
        <v>All</v>
      </c>
      <c r="D224" s="541" t="str">
        <f t="shared" si="37"/>
        <v>All</v>
      </c>
      <c r="E224" s="111">
        <f t="shared" ref="E224:O224" si="40">SUM(E186:E188)</f>
        <v>0</v>
      </c>
      <c r="F224" s="111">
        <f t="shared" si="40"/>
        <v>0</v>
      </c>
      <c r="G224" s="111">
        <f t="shared" si="40"/>
        <v>0</v>
      </c>
      <c r="H224" s="111">
        <f t="shared" si="40"/>
        <v>0</v>
      </c>
      <c r="I224" s="111">
        <f t="shared" si="40"/>
        <v>0</v>
      </c>
      <c r="J224" s="111">
        <f t="shared" si="40"/>
        <v>0</v>
      </c>
      <c r="K224" s="111">
        <f t="shared" si="40"/>
        <v>0</v>
      </c>
      <c r="L224" s="111">
        <f t="shared" si="40"/>
        <v>0</v>
      </c>
      <c r="M224" s="111">
        <f t="shared" si="40"/>
        <v>0</v>
      </c>
      <c r="N224" s="111">
        <f t="shared" si="40"/>
        <v>0</v>
      </c>
      <c r="O224" s="111">
        <f t="shared" si="40"/>
        <v>0</v>
      </c>
    </row>
    <row r="225" spans="2:15">
      <c r="B225" s="54" t="str">
        <f t="shared" si="37"/>
        <v>100G total</v>
      </c>
      <c r="C225" s="271" t="str">
        <f t="shared" si="37"/>
        <v>All</v>
      </c>
      <c r="D225" s="541" t="str">
        <f t="shared" si="37"/>
        <v>All</v>
      </c>
      <c r="E225" s="175">
        <f t="shared" ref="E225:M225" si="41">SUM(E189:E207)</f>
        <v>1143.1589634696481</v>
      </c>
      <c r="F225" s="175">
        <f t="shared" si="41"/>
        <v>1653.9743919741536</v>
      </c>
      <c r="G225" s="175">
        <f t="shared" si="41"/>
        <v>0</v>
      </c>
      <c r="H225" s="175">
        <f t="shared" si="41"/>
        <v>0</v>
      </c>
      <c r="I225" s="175">
        <f t="shared" si="41"/>
        <v>0</v>
      </c>
      <c r="J225" s="175">
        <f t="shared" si="41"/>
        <v>0</v>
      </c>
      <c r="K225" s="175">
        <f t="shared" si="41"/>
        <v>0</v>
      </c>
      <c r="L225" s="111">
        <f t="shared" si="41"/>
        <v>0</v>
      </c>
      <c r="M225" s="111">
        <f t="shared" si="41"/>
        <v>0</v>
      </c>
      <c r="N225" s="111">
        <f>SUM(N189:N207)</f>
        <v>0</v>
      </c>
      <c r="O225" s="111">
        <f>SUM(O189:O207)</f>
        <v>0</v>
      </c>
    </row>
    <row r="226" spans="2:15">
      <c r="B226" s="54" t="str">
        <f t="shared" si="37"/>
        <v>200G total</v>
      </c>
      <c r="C226" s="271" t="str">
        <f t="shared" si="37"/>
        <v>All</v>
      </c>
      <c r="D226" s="541" t="str">
        <f t="shared" si="37"/>
        <v>All</v>
      </c>
      <c r="E226" s="272">
        <f>E208+E210</f>
        <v>0</v>
      </c>
      <c r="F226" s="272">
        <f t="shared" ref="F226:N226" si="42">F208+F210</f>
        <v>0</v>
      </c>
      <c r="G226" s="272">
        <f t="shared" si="42"/>
        <v>0</v>
      </c>
      <c r="H226" s="272">
        <f t="shared" si="42"/>
        <v>0</v>
      </c>
      <c r="I226" s="272">
        <f t="shared" si="42"/>
        <v>0</v>
      </c>
      <c r="J226" s="272">
        <f t="shared" si="42"/>
        <v>0</v>
      </c>
      <c r="K226" s="175">
        <f t="shared" si="42"/>
        <v>0</v>
      </c>
      <c r="L226" s="111">
        <f t="shared" si="42"/>
        <v>0</v>
      </c>
      <c r="M226" s="111">
        <f t="shared" si="42"/>
        <v>0</v>
      </c>
      <c r="N226" s="111">
        <f t="shared" si="42"/>
        <v>0</v>
      </c>
      <c r="O226" s="111">
        <f t="shared" ref="O226" si="43">O208+O210</f>
        <v>0</v>
      </c>
    </row>
    <row r="227" spans="2:15">
      <c r="B227" s="54" t="str">
        <f t="shared" si="37"/>
        <v>400G total</v>
      </c>
      <c r="C227" s="271" t="str">
        <f t="shared" si="37"/>
        <v>All</v>
      </c>
      <c r="D227" s="541" t="str">
        <f t="shared" si="37"/>
        <v>All</v>
      </c>
      <c r="E227" s="175">
        <f>SUM(E211:E215)+E209</f>
        <v>0</v>
      </c>
      <c r="F227" s="175">
        <f t="shared" ref="F227:N227" si="44">SUM(F211:F215)+F209</f>
        <v>1.3482999999999998</v>
      </c>
      <c r="G227" s="175">
        <f>SUM(G211:G215)+G209</f>
        <v>0</v>
      </c>
      <c r="H227" s="175">
        <f t="shared" si="44"/>
        <v>0</v>
      </c>
      <c r="I227" s="175">
        <f t="shared" si="44"/>
        <v>0</v>
      </c>
      <c r="J227" s="175">
        <f t="shared" si="44"/>
        <v>0</v>
      </c>
      <c r="K227" s="175">
        <f t="shared" si="44"/>
        <v>0</v>
      </c>
      <c r="L227" s="111">
        <f t="shared" si="44"/>
        <v>0</v>
      </c>
      <c r="M227" s="111">
        <f t="shared" si="44"/>
        <v>0</v>
      </c>
      <c r="N227" s="111">
        <f t="shared" si="44"/>
        <v>0</v>
      </c>
      <c r="O227" s="111">
        <f t="shared" ref="O227" si="45">SUM(O211:O215)+O209</f>
        <v>0</v>
      </c>
    </row>
    <row r="228" spans="2:15">
      <c r="B228" s="57" t="str">
        <f t="shared" si="37"/>
        <v>800G total</v>
      </c>
      <c r="C228" s="579" t="str">
        <f t="shared" si="37"/>
        <v>All</v>
      </c>
      <c r="D228" s="537" t="str">
        <f t="shared" si="37"/>
        <v>All</v>
      </c>
      <c r="E228" s="457">
        <f t="shared" ref="E228:M228" si="46">SUM(E216:E219)</f>
        <v>0</v>
      </c>
      <c r="F228" s="457">
        <f t="shared" si="46"/>
        <v>0</v>
      </c>
      <c r="G228" s="457">
        <f t="shared" si="46"/>
        <v>0</v>
      </c>
      <c r="H228" s="457">
        <f t="shared" si="46"/>
        <v>0</v>
      </c>
      <c r="I228" s="457">
        <f t="shared" si="46"/>
        <v>0</v>
      </c>
      <c r="J228" s="457">
        <f t="shared" si="46"/>
        <v>0</v>
      </c>
      <c r="K228" s="457">
        <f t="shared" si="46"/>
        <v>0</v>
      </c>
      <c r="L228" s="457">
        <f t="shared" si="46"/>
        <v>0</v>
      </c>
      <c r="M228" s="457">
        <f t="shared" si="46"/>
        <v>0</v>
      </c>
      <c r="N228" s="457">
        <f>SUM(N216:N219)</f>
        <v>0</v>
      </c>
      <c r="O228" s="457">
        <f>SUM(O216:O219)</f>
        <v>0</v>
      </c>
    </row>
    <row r="230" spans="2:15">
      <c r="L230" s="83"/>
      <c r="M230" s="83"/>
      <c r="N230" s="83"/>
      <c r="O230" s="83"/>
    </row>
    <row r="231" spans="2:15">
      <c r="L231" s="83"/>
      <c r="M231" s="83"/>
      <c r="N231" s="83"/>
      <c r="O231" s="83"/>
    </row>
    <row r="232" spans="2:15">
      <c r="L232" s="83"/>
      <c r="M232" s="83"/>
      <c r="N232" s="83"/>
      <c r="O232" s="83"/>
    </row>
  </sheetData>
  <pageMargins left="0.7" right="0.7" top="0.75" bottom="0.75" header="0.3" footer="0.3"/>
  <pageSetup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U202"/>
  <sheetViews>
    <sheetView showGridLines="0" zoomScale="70" zoomScaleNormal="70" zoomScalePageLayoutView="70" workbookViewId="0">
      <pane xSplit="4" ySplit="6" topLeftCell="E176" activePane="bottomRight" state="frozen"/>
      <selection activeCell="T29" sqref="T29"/>
      <selection pane="topRight" activeCell="T29" sqref="T29"/>
      <selection pane="bottomLeft" activeCell="T29" sqref="T29"/>
      <selection pane="bottomRight" activeCell="G141" sqref="G141:O202"/>
    </sheetView>
  </sheetViews>
  <sheetFormatPr defaultColWidth="8.81640625" defaultRowHeight="13"/>
  <cols>
    <col min="1" max="1" width="4.453125" style="83" customWidth="1"/>
    <col min="2" max="2" width="17.81640625" style="83" customWidth="1"/>
    <col min="3" max="3" width="12.453125" style="83" customWidth="1"/>
    <col min="4" max="4" width="17.1796875" style="83" customWidth="1"/>
    <col min="5" max="6" width="13.453125" style="83" bestFit="1" customWidth="1"/>
    <col min="7" max="15" width="12" style="83" customWidth="1"/>
    <col min="16" max="16" width="27.81640625" style="83" customWidth="1"/>
    <col min="17" max="17" width="22.1796875" style="83" customWidth="1"/>
    <col min="18" max="18" width="10.81640625" style="83" bestFit="1" customWidth="1"/>
    <col min="19" max="23" width="8.81640625" style="83"/>
    <col min="24" max="31" width="10.453125" style="83" customWidth="1"/>
    <col min="32" max="16384" width="8.81640625" style="83"/>
  </cols>
  <sheetData>
    <row r="2" spans="2:21" ht="23.5">
      <c r="B2" s="6" t="str">
        <f>Introduction!$B$2</f>
        <v>LightCounting Ethernet Transceivers Forecast</v>
      </c>
      <c r="C2" s="62"/>
      <c r="D2" s="62"/>
      <c r="P2" s="83" t="s">
        <v>14</v>
      </c>
      <c r="T2" s="12"/>
      <c r="U2" s="12"/>
    </row>
    <row r="3" spans="2:21" ht="15.5">
      <c r="B3" s="43" t="str">
        <f>Introduction!$B$3</f>
        <v xml:space="preserve">Sample template for forecast published 31 March 2021 </v>
      </c>
    </row>
    <row r="4" spans="2:21" ht="18.5">
      <c r="B4" s="6" t="s">
        <v>98</v>
      </c>
      <c r="C4" s="62"/>
      <c r="D4" s="62"/>
      <c r="E4" s="85"/>
      <c r="F4" s="85"/>
      <c r="G4" s="85"/>
      <c r="H4" s="85"/>
      <c r="I4" s="85"/>
      <c r="J4" s="85"/>
      <c r="K4" s="85"/>
      <c r="L4" s="85"/>
      <c r="M4" s="85"/>
      <c r="N4" s="85"/>
      <c r="O4" s="85"/>
    </row>
    <row r="5" spans="2:21" ht="14.5">
      <c r="B5" s="84"/>
    </row>
    <row r="6" spans="2:21">
      <c r="B6" s="258" t="s">
        <v>33</v>
      </c>
      <c r="C6" s="259" t="s">
        <v>32</v>
      </c>
      <c r="D6" s="260" t="s">
        <v>34</v>
      </c>
      <c r="E6" s="161">
        <v>2016</v>
      </c>
      <c r="F6" s="161">
        <v>2017</v>
      </c>
      <c r="G6" s="161">
        <v>2018</v>
      </c>
      <c r="H6" s="161">
        <v>2019</v>
      </c>
      <c r="I6" s="161">
        <v>2020</v>
      </c>
      <c r="J6" s="161">
        <v>2021</v>
      </c>
      <c r="K6" s="161">
        <v>2022</v>
      </c>
      <c r="L6" s="161">
        <v>2023</v>
      </c>
      <c r="M6" s="161">
        <v>2024</v>
      </c>
      <c r="N6" s="161">
        <v>2025</v>
      </c>
      <c r="O6" s="161">
        <v>2026</v>
      </c>
    </row>
    <row r="7" spans="2:21" ht="21">
      <c r="B7" s="14" t="s">
        <v>18</v>
      </c>
      <c r="E7" s="13" t="s">
        <v>17</v>
      </c>
    </row>
    <row r="8" spans="2:21">
      <c r="B8" s="86" t="s">
        <v>33</v>
      </c>
      <c r="C8" s="86" t="s">
        <v>32</v>
      </c>
      <c r="D8" s="86" t="s">
        <v>34</v>
      </c>
      <c r="E8" s="87">
        <v>2016</v>
      </c>
      <c r="F8" s="87">
        <v>2017</v>
      </c>
      <c r="G8" s="87">
        <v>2018</v>
      </c>
      <c r="H8" s="87">
        <v>2019</v>
      </c>
      <c r="I8" s="87">
        <v>2020</v>
      </c>
      <c r="J8" s="87">
        <v>2021</v>
      </c>
      <c r="K8" s="87">
        <v>2022</v>
      </c>
      <c r="L8" s="87">
        <v>2023</v>
      </c>
      <c r="M8" s="87">
        <v>2024</v>
      </c>
      <c r="N8" s="87">
        <v>2025</v>
      </c>
      <c r="O8" s="87">
        <v>2026</v>
      </c>
      <c r="P8" s="82" t="s">
        <v>65</v>
      </c>
    </row>
    <row r="9" spans="2:21">
      <c r="B9" s="88" t="str">
        <f>Products!B36</f>
        <v>1G</v>
      </c>
      <c r="C9" s="89" t="str">
        <f>Products!C36</f>
        <v>500 m</v>
      </c>
      <c r="D9" s="90" t="str">
        <f>Products!D36</f>
        <v>SFP</v>
      </c>
      <c r="E9" s="91">
        <v>0</v>
      </c>
      <c r="F9" s="91">
        <v>0</v>
      </c>
      <c r="G9" s="91"/>
      <c r="H9" s="91"/>
      <c r="I9" s="91"/>
      <c r="J9" s="91"/>
      <c r="K9" s="91"/>
      <c r="L9" s="91"/>
      <c r="M9" s="91"/>
      <c r="N9" s="91"/>
      <c r="O9" s="91"/>
      <c r="P9" s="47" t="str">
        <f>B9&amp;"_"&amp;C9&amp;"_"&amp;D9</f>
        <v>1G_500 m_SFP</v>
      </c>
    </row>
    <row r="10" spans="2:21">
      <c r="B10" s="96" t="str">
        <f>Products!B37</f>
        <v>1G</v>
      </c>
      <c r="C10" s="97" t="str">
        <f>Products!C37</f>
        <v>10 km</v>
      </c>
      <c r="D10" s="98" t="str">
        <f>Products!D37</f>
        <v>SFP</v>
      </c>
      <c r="E10" s="99">
        <v>1930504.0524000004</v>
      </c>
      <c r="F10" s="99">
        <v>1538916.2400000002</v>
      </c>
      <c r="G10" s="99"/>
      <c r="H10" s="99"/>
      <c r="I10" s="99"/>
      <c r="J10" s="99"/>
      <c r="K10" s="99"/>
      <c r="L10" s="99"/>
      <c r="M10" s="99"/>
      <c r="N10" s="99"/>
      <c r="O10" s="99"/>
      <c r="P10" s="47" t="str">
        <f t="shared" ref="P10:P12" si="0">B10&amp;"_"&amp;C10&amp;"_"&amp;D10</f>
        <v>1G_10 km_SFP</v>
      </c>
    </row>
    <row r="11" spans="2:21">
      <c r="B11" s="96" t="str">
        <f>Products!B38</f>
        <v>1G</v>
      </c>
      <c r="C11" s="97" t="str">
        <f>Products!C38</f>
        <v>40 km</v>
      </c>
      <c r="D11" s="98" t="str">
        <f>Products!D38</f>
        <v>SFP</v>
      </c>
      <c r="E11" s="99">
        <v>281281.8125</v>
      </c>
      <c r="F11" s="99">
        <v>238750.2</v>
      </c>
      <c r="G11" s="99"/>
      <c r="H11" s="99"/>
      <c r="I11" s="99"/>
      <c r="J11" s="99"/>
      <c r="K11" s="99"/>
      <c r="L11" s="99"/>
      <c r="M11" s="99"/>
      <c r="N11" s="99"/>
      <c r="O11" s="99"/>
      <c r="P11" s="47" t="str">
        <f t="shared" si="0"/>
        <v>1G_40 km_SFP</v>
      </c>
    </row>
    <row r="12" spans="2:21">
      <c r="B12" s="96" t="str">
        <f>Products!B39</f>
        <v>1G</v>
      </c>
      <c r="C12" s="97" t="str">
        <f>Products!C39</f>
        <v>80 km</v>
      </c>
      <c r="D12" s="98" t="str">
        <f>Products!D39</f>
        <v>SFP</v>
      </c>
      <c r="E12" s="99">
        <v>115175.5</v>
      </c>
      <c r="F12" s="99">
        <v>105559.64999999997</v>
      </c>
      <c r="G12" s="99"/>
      <c r="H12" s="99"/>
      <c r="I12" s="99"/>
      <c r="J12" s="99"/>
      <c r="K12" s="99"/>
      <c r="L12" s="99"/>
      <c r="M12" s="99"/>
      <c r="N12" s="99"/>
      <c r="O12" s="99"/>
      <c r="P12" s="47" t="str">
        <f t="shared" si="0"/>
        <v>1G_80 km_SFP</v>
      </c>
    </row>
    <row r="13" spans="2:21">
      <c r="B13" s="425" t="str">
        <f>Products!B40</f>
        <v>1G &amp; Fast Ethernet</v>
      </c>
      <c r="C13" s="93" t="str">
        <f>Products!C40</f>
        <v>Various</v>
      </c>
      <c r="D13" s="94" t="str">
        <f>Products!D40</f>
        <v>Legacy/discontinued</v>
      </c>
      <c r="E13" s="95"/>
      <c r="F13" s="95"/>
      <c r="G13" s="95"/>
      <c r="H13" s="95"/>
      <c r="I13" s="95"/>
      <c r="J13" s="95"/>
      <c r="K13" s="95"/>
      <c r="L13" s="95"/>
      <c r="M13" s="95"/>
      <c r="N13" s="95"/>
      <c r="O13" s="95"/>
      <c r="P13" s="64"/>
    </row>
    <row r="14" spans="2:21">
      <c r="B14" s="96" t="str">
        <f>Products!B41</f>
        <v>10G</v>
      </c>
      <c r="C14" s="97" t="str">
        <f>Products!C41</f>
        <v>300 m</v>
      </c>
      <c r="D14" s="97" t="str">
        <f>Products!D41</f>
        <v>XFP</v>
      </c>
      <c r="E14" s="99">
        <v>0</v>
      </c>
      <c r="F14" s="99">
        <v>0</v>
      </c>
      <c r="G14" s="99"/>
      <c r="H14" s="99"/>
      <c r="I14" s="99"/>
      <c r="J14" s="99"/>
      <c r="K14" s="99"/>
      <c r="L14" s="99"/>
      <c r="M14" s="99"/>
      <c r="N14" s="99"/>
      <c r="O14" s="99"/>
      <c r="P14" s="47" t="str">
        <f t="shared" ref="P14:P22" si="1">B14&amp;"_"&amp;C14&amp;"_"&amp;D14</f>
        <v>10G_300 m_XFP</v>
      </c>
    </row>
    <row r="15" spans="2:21">
      <c r="B15" s="96" t="str">
        <f>Products!B42</f>
        <v>10G</v>
      </c>
      <c r="C15" s="97" t="str">
        <f>Products!C42</f>
        <v>300 m</v>
      </c>
      <c r="D15" s="97" t="str">
        <f>Products!D42</f>
        <v>SFP+</v>
      </c>
      <c r="E15" s="99">
        <v>0</v>
      </c>
      <c r="F15" s="99">
        <v>0</v>
      </c>
      <c r="G15" s="99"/>
      <c r="H15" s="99"/>
      <c r="I15" s="99"/>
      <c r="J15" s="99"/>
      <c r="K15" s="99"/>
      <c r="L15" s="99"/>
      <c r="M15" s="99"/>
      <c r="N15" s="99"/>
      <c r="O15" s="99"/>
      <c r="P15" s="47" t="str">
        <f t="shared" si="1"/>
        <v>10G_300 m_SFP+</v>
      </c>
    </row>
    <row r="16" spans="2:21">
      <c r="B16" s="96" t="str">
        <f>Products!B43</f>
        <v>10G LRM</v>
      </c>
      <c r="C16" s="97" t="str">
        <f>Products!C43</f>
        <v>220 m</v>
      </c>
      <c r="D16" s="97" t="str">
        <f>Products!D43</f>
        <v>SFP+</v>
      </c>
      <c r="E16" s="99">
        <v>0</v>
      </c>
      <c r="F16" s="99">
        <v>0</v>
      </c>
      <c r="G16" s="99"/>
      <c r="H16" s="99"/>
      <c r="I16" s="99"/>
      <c r="J16" s="99"/>
      <c r="K16" s="99"/>
      <c r="L16" s="99"/>
      <c r="M16" s="99"/>
      <c r="N16" s="99"/>
      <c r="O16" s="99"/>
      <c r="P16" s="47" t="str">
        <f t="shared" si="1"/>
        <v>10G LRM_220 m_SFP+</v>
      </c>
    </row>
    <row r="17" spans="2:16">
      <c r="B17" s="96" t="str">
        <f>Products!B44</f>
        <v>10G</v>
      </c>
      <c r="C17" s="97" t="str">
        <f>Products!C44</f>
        <v>10 km</v>
      </c>
      <c r="D17" s="97" t="str">
        <f>Products!D44</f>
        <v>XFP</v>
      </c>
      <c r="E17" s="99">
        <v>85589.7</v>
      </c>
      <c r="F17" s="99">
        <v>45666.6</v>
      </c>
      <c r="G17" s="99"/>
      <c r="H17" s="99"/>
      <c r="I17" s="99"/>
      <c r="J17" s="99"/>
      <c r="K17" s="99"/>
      <c r="L17" s="99"/>
      <c r="M17" s="99"/>
      <c r="N17" s="99"/>
      <c r="O17" s="99"/>
      <c r="P17" s="47" t="str">
        <f t="shared" si="1"/>
        <v>10G_10 km_XFP</v>
      </c>
    </row>
    <row r="18" spans="2:16">
      <c r="B18" s="96" t="str">
        <f>Products!B45</f>
        <v>10G</v>
      </c>
      <c r="C18" s="97" t="str">
        <f>Products!C45</f>
        <v>10 km</v>
      </c>
      <c r="D18" s="97" t="str">
        <f>Products!D45</f>
        <v>SFP+</v>
      </c>
      <c r="E18" s="99">
        <v>1235201.9136132007</v>
      </c>
      <c r="F18" s="99">
        <v>1277680.9784692547</v>
      </c>
      <c r="G18" s="99"/>
      <c r="H18" s="99"/>
      <c r="I18" s="99"/>
      <c r="J18" s="99"/>
      <c r="K18" s="99"/>
      <c r="L18" s="99"/>
      <c r="M18" s="99"/>
      <c r="N18" s="99"/>
      <c r="O18" s="99"/>
      <c r="P18" s="47" t="str">
        <f t="shared" si="1"/>
        <v>10G_10 km_SFP+</v>
      </c>
    </row>
    <row r="19" spans="2:16">
      <c r="B19" s="96" t="str">
        <f>Products!B46</f>
        <v>10G</v>
      </c>
      <c r="C19" s="97" t="str">
        <f>Products!C46</f>
        <v>40 km</v>
      </c>
      <c r="D19" s="97" t="str">
        <f>Products!D46</f>
        <v>XFP</v>
      </c>
      <c r="E19" s="99">
        <v>122103.20000000001</v>
      </c>
      <c r="F19" s="99">
        <v>85787.200000000012</v>
      </c>
      <c r="G19" s="99"/>
      <c r="H19" s="99"/>
      <c r="I19" s="99"/>
      <c r="J19" s="99"/>
      <c r="K19" s="99"/>
      <c r="L19" s="99"/>
      <c r="M19" s="99"/>
      <c r="N19" s="99"/>
      <c r="O19" s="99"/>
      <c r="P19" s="47" t="str">
        <f t="shared" si="1"/>
        <v>10G_40 km_XFP</v>
      </c>
    </row>
    <row r="20" spans="2:16">
      <c r="B20" s="96" t="str">
        <f>Products!B47</f>
        <v>10G</v>
      </c>
      <c r="C20" s="97" t="str">
        <f>Products!C47</f>
        <v>40 km</v>
      </c>
      <c r="D20" s="97" t="str">
        <f>Products!D47</f>
        <v>SFP+</v>
      </c>
      <c r="E20" s="99">
        <v>180536.47499999998</v>
      </c>
      <c r="F20" s="99">
        <v>180823.01999999996</v>
      </c>
      <c r="G20" s="99"/>
      <c r="H20" s="99"/>
      <c r="I20" s="99"/>
      <c r="J20" s="99"/>
      <c r="K20" s="99"/>
      <c r="L20" s="99"/>
      <c r="M20" s="99"/>
      <c r="N20" s="99"/>
      <c r="O20" s="99"/>
      <c r="P20" s="47" t="str">
        <f t="shared" si="1"/>
        <v>10G_40 km_SFP+</v>
      </c>
    </row>
    <row r="21" spans="2:16">
      <c r="B21" s="96" t="str">
        <f>Products!B48</f>
        <v>10G</v>
      </c>
      <c r="C21" s="97" t="str">
        <f>Products!C48</f>
        <v>80 km</v>
      </c>
      <c r="D21" s="97" t="str">
        <f>Products!D48</f>
        <v>XFP</v>
      </c>
      <c r="E21" s="99">
        <v>68753</v>
      </c>
      <c r="F21" s="99">
        <v>9455</v>
      </c>
      <c r="G21" s="99"/>
      <c r="H21" s="99"/>
      <c r="I21" s="99"/>
      <c r="J21" s="99"/>
      <c r="K21" s="99"/>
      <c r="L21" s="99"/>
      <c r="M21" s="99"/>
      <c r="N21" s="99"/>
      <c r="O21" s="99"/>
      <c r="P21" s="47" t="str">
        <f t="shared" si="1"/>
        <v>10G_80 km_XFP</v>
      </c>
    </row>
    <row r="22" spans="2:16">
      <c r="B22" s="96" t="str">
        <f>Products!B49</f>
        <v>10G</v>
      </c>
      <c r="C22" s="97" t="str">
        <f>Products!C49</f>
        <v>80 km</v>
      </c>
      <c r="D22" s="97" t="str">
        <f>Products!D49</f>
        <v>SFP+</v>
      </c>
      <c r="E22" s="99">
        <v>43870.75</v>
      </c>
      <c r="F22" s="99">
        <v>63032.5</v>
      </c>
      <c r="G22" s="99"/>
      <c r="H22" s="99"/>
      <c r="I22" s="99"/>
      <c r="J22" s="99"/>
      <c r="K22" s="99"/>
      <c r="L22" s="99"/>
      <c r="M22" s="99"/>
      <c r="N22" s="99"/>
      <c r="O22" s="99"/>
      <c r="P22" s="47" t="str">
        <f t="shared" si="1"/>
        <v>10G_80 km_SFP+</v>
      </c>
    </row>
    <row r="23" spans="2:16">
      <c r="B23" s="96" t="str">
        <f>Products!B50</f>
        <v>10G</v>
      </c>
      <c r="C23" s="97" t="str">
        <f>Products!C50</f>
        <v>Various</v>
      </c>
      <c r="D23" s="97" t="str">
        <f>Products!D50</f>
        <v>Legacy/discontinued</v>
      </c>
      <c r="E23" s="99">
        <v>0</v>
      </c>
      <c r="F23" s="99">
        <v>0</v>
      </c>
      <c r="G23" s="99"/>
      <c r="H23" s="99"/>
      <c r="I23" s="99"/>
      <c r="J23" s="99"/>
      <c r="K23" s="99"/>
      <c r="L23" s="99"/>
      <c r="M23" s="99"/>
      <c r="N23" s="99"/>
      <c r="O23" s="99"/>
      <c r="P23" s="64"/>
    </row>
    <row r="24" spans="2:16">
      <c r="B24" s="88" t="str">
        <f>Products!B51</f>
        <v>25G SR, eSR</v>
      </c>
      <c r="C24" s="89" t="str">
        <f>Products!C51</f>
        <v>100 - 300 m</v>
      </c>
      <c r="D24" s="90" t="str">
        <f>Products!D51</f>
        <v>SFP28</v>
      </c>
      <c r="E24" s="265">
        <v>0</v>
      </c>
      <c r="F24" s="265">
        <v>0</v>
      </c>
      <c r="G24" s="265"/>
      <c r="H24" s="265"/>
      <c r="I24" s="265"/>
      <c r="J24" s="265"/>
      <c r="K24" s="265"/>
      <c r="L24" s="265"/>
      <c r="M24" s="265"/>
      <c r="N24" s="265"/>
      <c r="O24" s="265"/>
      <c r="P24" s="63" t="str">
        <f t="shared" ref="P24:P68" si="2">B24&amp;"_"&amp;C24&amp;"_"&amp;D24</f>
        <v>25G SR, eSR_100 - 300 m_SFP28</v>
      </c>
    </row>
    <row r="25" spans="2:16">
      <c r="B25" s="96" t="str">
        <f>Products!B52</f>
        <v>25G LR</v>
      </c>
      <c r="C25" s="97" t="str">
        <f>Products!C52</f>
        <v>10 km</v>
      </c>
      <c r="D25" s="98" t="str">
        <f>Products!D52</f>
        <v>SFP28</v>
      </c>
      <c r="E25" s="266">
        <v>1364.3999999999999</v>
      </c>
      <c r="F25" s="266">
        <v>5238.5999999999995</v>
      </c>
      <c r="G25" s="266"/>
      <c r="H25" s="266"/>
      <c r="I25" s="266"/>
      <c r="J25" s="266"/>
      <c r="K25" s="266"/>
      <c r="L25" s="266"/>
      <c r="M25" s="266"/>
      <c r="N25" s="266"/>
      <c r="O25" s="266"/>
      <c r="P25" s="47" t="str">
        <f t="shared" si="2"/>
        <v>25G LR_10 km_SFP28</v>
      </c>
    </row>
    <row r="26" spans="2:16">
      <c r="B26" s="92" t="str">
        <f>Products!B53</f>
        <v>25G ER</v>
      </c>
      <c r="C26" s="93" t="str">
        <f>Products!C53</f>
        <v>40 km</v>
      </c>
      <c r="D26" s="94" t="str">
        <f>Products!D53</f>
        <v>SFP28</v>
      </c>
      <c r="E26" s="267">
        <v>0</v>
      </c>
      <c r="F26" s="267">
        <v>0</v>
      </c>
      <c r="G26" s="267"/>
      <c r="H26" s="267"/>
      <c r="I26" s="267"/>
      <c r="J26" s="267"/>
      <c r="K26" s="267"/>
      <c r="L26" s="267"/>
      <c r="M26" s="267"/>
      <c r="N26" s="267"/>
      <c r="O26" s="267"/>
      <c r="P26" s="64" t="str">
        <f t="shared" si="2"/>
        <v>25G ER_40 km_SFP28</v>
      </c>
    </row>
    <row r="27" spans="2:16">
      <c r="B27" s="96" t="str">
        <f>Products!B54</f>
        <v>40G SR4</v>
      </c>
      <c r="C27" s="97" t="str">
        <f>Products!C54</f>
        <v>100 m</v>
      </c>
      <c r="D27" s="98" t="str">
        <f>Products!D54</f>
        <v>QSFP+</v>
      </c>
      <c r="E27" s="91">
        <v>31996.75</v>
      </c>
      <c r="F27" s="91">
        <v>39690.600000000006</v>
      </c>
      <c r="G27" s="91"/>
      <c r="H27" s="91"/>
      <c r="I27" s="91"/>
      <c r="J27" s="91"/>
      <c r="K27" s="91"/>
      <c r="L27" s="91"/>
      <c r="M27" s="91"/>
      <c r="N27" s="91"/>
      <c r="O27" s="91"/>
      <c r="P27" s="47" t="str">
        <f t="shared" si="2"/>
        <v>40G SR4_100 m_QSFP+</v>
      </c>
    </row>
    <row r="28" spans="2:16">
      <c r="B28" s="96" t="str">
        <f>Products!B55</f>
        <v>40G MM duplex</v>
      </c>
      <c r="C28" s="97" t="str">
        <f>Products!C55</f>
        <v>100 m</v>
      </c>
      <c r="D28" s="98" t="str">
        <f>Products!D55</f>
        <v>QSFP+</v>
      </c>
      <c r="E28" s="99">
        <v>0</v>
      </c>
      <c r="F28" s="99">
        <v>0</v>
      </c>
      <c r="G28" s="99"/>
      <c r="H28" s="99"/>
      <c r="I28" s="99"/>
      <c r="J28" s="99"/>
      <c r="K28" s="99"/>
      <c r="L28" s="99"/>
      <c r="M28" s="99"/>
      <c r="N28" s="99"/>
      <c r="O28" s="99"/>
      <c r="P28" s="47" t="str">
        <f t="shared" si="2"/>
        <v>40G MM duplex_100 m_QSFP+</v>
      </c>
    </row>
    <row r="29" spans="2:16">
      <c r="B29" s="96" t="str">
        <f>Products!B56</f>
        <v>40G eSR4</v>
      </c>
      <c r="C29" s="97" t="str">
        <f>Products!C56</f>
        <v>300 m</v>
      </c>
      <c r="D29" s="98" t="str">
        <f>Products!D56</f>
        <v>QSFP+</v>
      </c>
      <c r="E29" s="99">
        <v>13763.45</v>
      </c>
      <c r="F29" s="99">
        <v>23326.75</v>
      </c>
      <c r="G29" s="99"/>
      <c r="H29" s="99"/>
      <c r="I29" s="99"/>
      <c r="J29" s="99"/>
      <c r="K29" s="99"/>
      <c r="L29" s="99"/>
      <c r="M29" s="99"/>
      <c r="N29" s="99"/>
      <c r="O29" s="99"/>
      <c r="P29" s="47" t="str">
        <f t="shared" si="2"/>
        <v>40G eSR4_300 m_QSFP+</v>
      </c>
    </row>
    <row r="30" spans="2:16">
      <c r="B30" s="96" t="s">
        <v>287</v>
      </c>
      <c r="C30" s="97" t="s">
        <v>45</v>
      </c>
      <c r="D30" s="98" t="s">
        <v>94</v>
      </c>
      <c r="E30" s="192">
        <v>0</v>
      </c>
      <c r="F30" s="192">
        <v>0</v>
      </c>
      <c r="G30" s="192"/>
      <c r="H30" s="192"/>
      <c r="I30" s="192"/>
      <c r="J30" s="192"/>
      <c r="K30" s="192"/>
      <c r="L30" s="192"/>
      <c r="M30" s="192"/>
      <c r="N30" s="192"/>
      <c r="O30" s="192"/>
      <c r="P30" s="47" t="str">
        <f t="shared" si="2"/>
        <v>40 G PSM4_500 m_QSFP+</v>
      </c>
    </row>
    <row r="31" spans="2:16">
      <c r="B31" s="96" t="str">
        <f>Products!B58</f>
        <v>40G (FR)</v>
      </c>
      <c r="C31" s="97" t="str">
        <f>Products!C58</f>
        <v>2 km</v>
      </c>
      <c r="D31" s="98" t="str">
        <f>Products!D58</f>
        <v>CFP</v>
      </c>
      <c r="E31" s="99">
        <v>791</v>
      </c>
      <c r="F31" s="99">
        <v>402</v>
      </c>
      <c r="G31" s="99"/>
      <c r="H31" s="99"/>
      <c r="I31" s="99"/>
      <c r="J31" s="99"/>
      <c r="K31" s="99"/>
      <c r="L31" s="99"/>
      <c r="M31" s="99"/>
      <c r="N31" s="99"/>
      <c r="O31" s="99"/>
      <c r="P31" s="47" t="str">
        <f t="shared" si="2"/>
        <v>40G (FR)_2 km_CFP</v>
      </c>
    </row>
    <row r="32" spans="2:16">
      <c r="B32" s="96" t="str">
        <f>Products!B59</f>
        <v>40G (LR4 subspec)</v>
      </c>
      <c r="C32" s="97" t="str">
        <f>Products!C59</f>
        <v>2 km</v>
      </c>
      <c r="D32" s="98" t="str">
        <f>Products!D59</f>
        <v>QSFP+</v>
      </c>
      <c r="E32" s="99">
        <v>0</v>
      </c>
      <c r="F32" s="99">
        <v>0</v>
      </c>
      <c r="G32" s="99"/>
      <c r="H32" s="99"/>
      <c r="I32" s="99"/>
      <c r="J32" s="99"/>
      <c r="K32" s="99"/>
      <c r="L32" s="99"/>
      <c r="M32" s="99"/>
      <c r="N32" s="99"/>
      <c r="O32" s="99"/>
      <c r="P32" s="47" t="str">
        <f t="shared" si="2"/>
        <v>40G (LR4 subspec)_2 km_QSFP+</v>
      </c>
    </row>
    <row r="33" spans="2:16">
      <c r="B33" s="96" t="str">
        <f>Products!B60</f>
        <v>40G</v>
      </c>
      <c r="C33" s="97" t="str">
        <f>Products!C60</f>
        <v>10 km</v>
      </c>
      <c r="D33" s="98" t="str">
        <f>Products!D60</f>
        <v>CFP</v>
      </c>
      <c r="E33" s="99">
        <v>6322.25</v>
      </c>
      <c r="F33" s="99">
        <v>2703.7</v>
      </c>
      <c r="G33" s="99"/>
      <c r="H33" s="99"/>
      <c r="I33" s="99"/>
      <c r="J33" s="99"/>
      <c r="K33" s="99"/>
      <c r="L33" s="99"/>
      <c r="M33" s="99"/>
      <c r="N33" s="99"/>
      <c r="O33" s="99"/>
      <c r="P33" s="47" t="str">
        <f t="shared" si="2"/>
        <v>40G_10 km_CFP</v>
      </c>
    </row>
    <row r="34" spans="2:16">
      <c r="B34" s="96" t="str">
        <f>Products!B61</f>
        <v>40G</v>
      </c>
      <c r="C34" s="97" t="str">
        <f>Products!C61</f>
        <v>10 km</v>
      </c>
      <c r="D34" s="98" t="str">
        <f>Products!D61</f>
        <v>QSFP+</v>
      </c>
      <c r="E34" s="99">
        <v>0</v>
      </c>
      <c r="F34" s="99">
        <v>0</v>
      </c>
      <c r="G34" s="99"/>
      <c r="H34" s="99"/>
      <c r="I34" s="99"/>
      <c r="J34" s="99"/>
      <c r="K34" s="99"/>
      <c r="L34" s="99"/>
      <c r="M34" s="99"/>
      <c r="N34" s="99"/>
      <c r="O34" s="99"/>
      <c r="P34" s="47" t="str">
        <f t="shared" si="2"/>
        <v>40G_10 km_QSFP+</v>
      </c>
    </row>
    <row r="35" spans="2:16">
      <c r="B35" s="92" t="str">
        <f>Products!B62</f>
        <v>40G</v>
      </c>
      <c r="C35" s="93" t="str">
        <f>Products!C62</f>
        <v>40 km</v>
      </c>
      <c r="D35" s="94" t="str">
        <f>Products!D62</f>
        <v>QSFP+</v>
      </c>
      <c r="E35" s="95">
        <v>1468.2</v>
      </c>
      <c r="F35" s="95">
        <v>1249.3599999999999</v>
      </c>
      <c r="G35" s="95"/>
      <c r="H35" s="95"/>
      <c r="I35" s="95"/>
      <c r="J35" s="95"/>
      <c r="K35" s="95"/>
      <c r="L35" s="95"/>
      <c r="M35" s="95"/>
      <c r="N35" s="95"/>
      <c r="O35" s="95"/>
      <c r="P35" s="64" t="str">
        <f t="shared" si="2"/>
        <v>40G_40 km_QSFP+</v>
      </c>
    </row>
    <row r="36" spans="2:16">
      <c r="B36" s="88" t="str">
        <f>Products!B63</f>
        <v xml:space="preserve">50G </v>
      </c>
      <c r="C36" s="89" t="str">
        <f>Products!C63</f>
        <v>100 m</v>
      </c>
      <c r="D36" s="90" t="str">
        <f>Products!D63</f>
        <v>all</v>
      </c>
      <c r="E36" s="265">
        <v>0</v>
      </c>
      <c r="F36" s="265">
        <v>0</v>
      </c>
      <c r="G36" s="265"/>
      <c r="H36" s="265"/>
      <c r="I36" s="265"/>
      <c r="J36" s="265"/>
      <c r="K36" s="265"/>
      <c r="L36" s="265"/>
      <c r="M36" s="265"/>
      <c r="N36" s="265"/>
      <c r="O36" s="265"/>
      <c r="P36" s="63" t="str">
        <f t="shared" si="2"/>
        <v>50G _100 m_all</v>
      </c>
    </row>
    <row r="37" spans="2:16">
      <c r="B37" s="96" t="str">
        <f>Products!B64</f>
        <v xml:space="preserve">50G </v>
      </c>
      <c r="C37" s="97" t="str">
        <f>Products!C64</f>
        <v>2 km</v>
      </c>
      <c r="D37" s="98" t="str">
        <f>Products!D64</f>
        <v>all</v>
      </c>
      <c r="E37" s="266">
        <v>0</v>
      </c>
      <c r="F37" s="266">
        <v>0</v>
      </c>
      <c r="G37" s="266"/>
      <c r="H37" s="266"/>
      <c r="I37" s="266"/>
      <c r="J37" s="266"/>
      <c r="K37" s="266"/>
      <c r="L37" s="266"/>
      <c r="M37" s="266"/>
      <c r="N37" s="266"/>
      <c r="O37" s="266"/>
      <c r="P37" s="47" t="str">
        <f t="shared" si="2"/>
        <v>50G _2 km_all</v>
      </c>
    </row>
    <row r="38" spans="2:16">
      <c r="B38" s="96" t="str">
        <f>Products!B65</f>
        <v xml:space="preserve">50G </v>
      </c>
      <c r="C38" s="97" t="str">
        <f>Products!C65</f>
        <v>10 km</v>
      </c>
      <c r="D38" s="98" t="str">
        <f>Products!D65</f>
        <v>all</v>
      </c>
      <c r="E38" s="266">
        <v>0</v>
      </c>
      <c r="F38" s="266">
        <v>0</v>
      </c>
      <c r="G38" s="266"/>
      <c r="H38" s="266"/>
      <c r="I38" s="266"/>
      <c r="J38" s="266"/>
      <c r="K38" s="266"/>
      <c r="L38" s="266"/>
      <c r="M38" s="266"/>
      <c r="N38" s="266"/>
      <c r="O38" s="266"/>
      <c r="P38" s="47" t="str">
        <f t="shared" si="2"/>
        <v>50G _10 km_all</v>
      </c>
    </row>
    <row r="39" spans="2:16">
      <c r="B39" s="88" t="str">
        <f>Products!B68</f>
        <v>100G SR4</v>
      </c>
      <c r="C39" s="89" t="str">
        <f>Products!C68</f>
        <v>100 m</v>
      </c>
      <c r="D39" s="90" t="str">
        <f>Products!D68</f>
        <v>CFP</v>
      </c>
      <c r="E39" s="265">
        <v>14816</v>
      </c>
      <c r="F39" s="265">
        <v>6913</v>
      </c>
      <c r="G39" s="265"/>
      <c r="H39" s="265"/>
      <c r="I39" s="265"/>
      <c r="J39" s="265"/>
      <c r="K39" s="265"/>
      <c r="L39" s="265"/>
      <c r="M39" s="265"/>
      <c r="N39" s="265"/>
      <c r="O39" s="265"/>
      <c r="P39" s="63" t="str">
        <f t="shared" si="2"/>
        <v>100G SR4_100 m_CFP</v>
      </c>
    </row>
    <row r="40" spans="2:16">
      <c r="B40" s="96" t="str">
        <f>Products!B69</f>
        <v>100G SR4</v>
      </c>
      <c r="C40" s="97" t="str">
        <f>Products!C69</f>
        <v>100 m</v>
      </c>
      <c r="D40" s="98" t="str">
        <f>Products!D69</f>
        <v>CFP2/4</v>
      </c>
      <c r="E40" s="266">
        <v>4367</v>
      </c>
      <c r="F40" s="266">
        <v>2269</v>
      </c>
      <c r="G40" s="266"/>
      <c r="H40" s="266"/>
      <c r="I40" s="266"/>
      <c r="J40" s="266"/>
      <c r="K40" s="266"/>
      <c r="L40" s="266"/>
      <c r="M40" s="266"/>
      <c r="N40" s="266"/>
      <c r="O40" s="266"/>
      <c r="P40" s="47" t="str">
        <f t="shared" si="2"/>
        <v>100G SR4_100 m_CFP2/4</v>
      </c>
    </row>
    <row r="41" spans="2:16">
      <c r="B41" s="96" t="str">
        <f>Products!B70</f>
        <v>100G SR4</v>
      </c>
      <c r="C41" s="97" t="str">
        <f>Products!C70</f>
        <v>100 m</v>
      </c>
      <c r="D41" s="98" t="str">
        <f>Products!D70</f>
        <v>QSFP28</v>
      </c>
      <c r="E41" s="266">
        <v>0</v>
      </c>
      <c r="F41" s="266">
        <v>0</v>
      </c>
      <c r="G41" s="266"/>
      <c r="H41" s="266"/>
      <c r="I41" s="266"/>
      <c r="J41" s="266"/>
      <c r="K41" s="266"/>
      <c r="L41" s="266"/>
      <c r="M41" s="266"/>
      <c r="N41" s="266"/>
      <c r="O41" s="266"/>
      <c r="P41" s="47" t="str">
        <f t="shared" si="2"/>
        <v>100G SR4_100 m_QSFP28</v>
      </c>
    </row>
    <row r="42" spans="2:16">
      <c r="B42" s="96" t="str">
        <f>Products!B71</f>
        <v>100G SR2</v>
      </c>
      <c r="C42" s="97" t="str">
        <f>Products!C71</f>
        <v>100 m</v>
      </c>
      <c r="D42" s="98" t="str">
        <f>Products!D71</f>
        <v>All</v>
      </c>
      <c r="E42" s="266">
        <v>0</v>
      </c>
      <c r="F42" s="266">
        <v>0</v>
      </c>
      <c r="G42" s="266"/>
      <c r="H42" s="266"/>
      <c r="I42" s="266"/>
      <c r="J42" s="266"/>
      <c r="K42" s="266"/>
      <c r="L42" s="266"/>
      <c r="M42" s="266"/>
      <c r="N42" s="266"/>
      <c r="O42" s="266"/>
      <c r="P42" s="47" t="str">
        <f t="shared" si="2"/>
        <v>100G SR2_100 m_All</v>
      </c>
    </row>
    <row r="43" spans="2:16">
      <c r="B43" s="96" t="str">
        <f>Products!B72</f>
        <v>100G MM Duplex</v>
      </c>
      <c r="C43" s="97" t="str">
        <f>Products!C72</f>
        <v>100 - 300 m</v>
      </c>
      <c r="D43" s="98" t="str">
        <f>Products!D72</f>
        <v>QSFP28</v>
      </c>
      <c r="E43" s="266">
        <v>0</v>
      </c>
      <c r="F43" s="266">
        <v>0</v>
      </c>
      <c r="G43" s="266"/>
      <c r="H43" s="266"/>
      <c r="I43" s="266"/>
      <c r="J43" s="266"/>
      <c r="K43" s="266"/>
      <c r="L43" s="266"/>
      <c r="M43" s="266"/>
      <c r="N43" s="266"/>
      <c r="O43" s="266"/>
      <c r="P43" s="47" t="str">
        <f t="shared" si="2"/>
        <v>100G MM Duplex_100 - 300 m_QSFP28</v>
      </c>
    </row>
    <row r="44" spans="2:16">
      <c r="B44" s="96" t="str">
        <f>Products!B73</f>
        <v>100G eSR4</v>
      </c>
      <c r="C44" s="97" t="str">
        <f>Products!C73</f>
        <v>300 m</v>
      </c>
      <c r="D44" s="98" t="str">
        <f>Products!D73</f>
        <v>QSFP28</v>
      </c>
      <c r="E44" s="266">
        <v>0</v>
      </c>
      <c r="F44" s="266">
        <v>0</v>
      </c>
      <c r="G44" s="266"/>
      <c r="H44" s="266"/>
      <c r="I44" s="266"/>
      <c r="J44" s="266"/>
      <c r="K44" s="266"/>
      <c r="L44" s="266"/>
      <c r="M44" s="266"/>
      <c r="N44" s="266"/>
      <c r="O44" s="266"/>
      <c r="P44" s="47" t="str">
        <f t="shared" si="2"/>
        <v>100G eSR4_300 m_QSFP28</v>
      </c>
    </row>
    <row r="45" spans="2:16">
      <c r="B45" s="96" t="str">
        <f>Products!B74</f>
        <v>100G PSM4</v>
      </c>
      <c r="C45" s="97" t="str">
        <f>Products!C74</f>
        <v>500 m</v>
      </c>
      <c r="D45" s="98" t="str">
        <f>Products!D74</f>
        <v>QSFP28</v>
      </c>
      <c r="E45" s="266">
        <v>0</v>
      </c>
      <c r="F45" s="266">
        <v>0</v>
      </c>
      <c r="G45" s="266"/>
      <c r="H45" s="266"/>
      <c r="I45" s="266"/>
      <c r="J45" s="266"/>
      <c r="K45" s="266"/>
      <c r="L45" s="266"/>
      <c r="M45" s="266"/>
      <c r="N45" s="266"/>
      <c r="O45" s="266"/>
      <c r="P45" s="47" t="str">
        <f t="shared" si="2"/>
        <v>100G PSM4_500 m_QSFP28</v>
      </c>
    </row>
    <row r="46" spans="2:16">
      <c r="B46" s="96" t="str">
        <f>Products!B75</f>
        <v>100G DR/DR+</v>
      </c>
      <c r="C46" s="97" t="str">
        <f>Products!C75</f>
        <v>500m, 2km</v>
      </c>
      <c r="D46" s="98" t="str">
        <f>Products!D75</f>
        <v>QSFP28</v>
      </c>
      <c r="E46" s="266">
        <v>0</v>
      </c>
      <c r="F46" s="266">
        <v>0</v>
      </c>
      <c r="G46" s="266"/>
      <c r="H46" s="266"/>
      <c r="I46" s="266"/>
      <c r="J46" s="266"/>
      <c r="K46" s="266"/>
      <c r="L46" s="266"/>
      <c r="M46" s="266"/>
      <c r="N46" s="266"/>
      <c r="O46" s="266"/>
      <c r="P46" s="47" t="str">
        <f t="shared" si="2"/>
        <v>100G DR/DR+_500m, 2km_QSFP28</v>
      </c>
    </row>
    <row r="47" spans="2:16">
      <c r="B47" s="96" t="str">
        <f>Products!B76</f>
        <v>100G CWDM4-subspec</v>
      </c>
      <c r="C47" s="97" t="str">
        <f>Products!C76</f>
        <v>500 m</v>
      </c>
      <c r="D47" s="98" t="str">
        <f>Products!D76</f>
        <v>QSFP28</v>
      </c>
      <c r="E47" s="266">
        <v>0</v>
      </c>
      <c r="F47" s="266">
        <v>0</v>
      </c>
      <c r="G47" s="266"/>
      <c r="H47" s="266"/>
      <c r="I47" s="266"/>
      <c r="J47" s="266"/>
      <c r="K47" s="266"/>
      <c r="L47" s="266"/>
      <c r="M47" s="266"/>
      <c r="N47" s="266"/>
      <c r="O47" s="266"/>
      <c r="P47" s="47" t="str">
        <f t="shared" si="2"/>
        <v>100G CWDM4-subspec_500 m_QSFP28</v>
      </c>
    </row>
    <row r="48" spans="2:16">
      <c r="B48" s="96" t="str">
        <f>Products!B77</f>
        <v>100G CWDM4</v>
      </c>
      <c r="C48" s="97" t="str">
        <f>Products!C77</f>
        <v>2 km</v>
      </c>
      <c r="D48" s="98" t="str">
        <f>Products!D77</f>
        <v>QSFP28</v>
      </c>
      <c r="E48" s="266">
        <v>0</v>
      </c>
      <c r="F48" s="266">
        <v>0</v>
      </c>
      <c r="G48" s="266"/>
      <c r="H48" s="266"/>
      <c r="I48" s="266"/>
      <c r="J48" s="266"/>
      <c r="K48" s="266"/>
      <c r="L48" s="266"/>
      <c r="M48" s="266"/>
      <c r="N48" s="266"/>
      <c r="O48" s="266"/>
      <c r="P48" s="47" t="str">
        <f t="shared" si="2"/>
        <v>100G CWDM4_2 km_QSFP28</v>
      </c>
    </row>
    <row r="49" spans="2:16">
      <c r="B49" s="96" t="str">
        <f>Products!B78</f>
        <v>100G FR1</v>
      </c>
      <c r="C49" s="97" t="str">
        <f>Products!C78</f>
        <v>2 km</v>
      </c>
      <c r="D49" s="98" t="str">
        <f>Products!D78</f>
        <v>QSFP28</v>
      </c>
      <c r="E49" s="266">
        <v>0</v>
      </c>
      <c r="F49" s="266">
        <v>0</v>
      </c>
      <c r="G49" s="266"/>
      <c r="H49" s="266"/>
      <c r="I49" s="266"/>
      <c r="J49" s="266"/>
      <c r="K49" s="266"/>
      <c r="L49" s="266"/>
      <c r="M49" s="266"/>
      <c r="N49" s="266"/>
      <c r="O49" s="266"/>
      <c r="P49" s="47" t="str">
        <f t="shared" si="2"/>
        <v>100G FR1_2 km_QSFP28</v>
      </c>
    </row>
    <row r="50" spans="2:16">
      <c r="B50" s="96" t="str">
        <f>Products!B79</f>
        <v>100G LR4</v>
      </c>
      <c r="C50" s="97" t="str">
        <f>Products!C79</f>
        <v>10 km</v>
      </c>
      <c r="D50" s="98" t="str">
        <f>Products!D79</f>
        <v>CFP</v>
      </c>
      <c r="E50" s="266">
        <v>109936</v>
      </c>
      <c r="F50" s="266">
        <v>67349</v>
      </c>
      <c r="G50" s="266"/>
      <c r="H50" s="266"/>
      <c r="I50" s="266"/>
      <c r="J50" s="266"/>
      <c r="K50" s="266"/>
      <c r="L50" s="266"/>
      <c r="M50" s="266"/>
      <c r="N50" s="266"/>
      <c r="O50" s="266"/>
      <c r="P50" s="47" t="str">
        <f t="shared" si="2"/>
        <v>100G LR4_10 km_CFP</v>
      </c>
    </row>
    <row r="51" spans="2:16">
      <c r="B51" s="96" t="str">
        <f>Products!B80</f>
        <v>100G LR4</v>
      </c>
      <c r="C51" s="97" t="str">
        <f>Products!C80</f>
        <v>10 km</v>
      </c>
      <c r="D51" s="98" t="str">
        <f>Products!D80</f>
        <v>CFP2/4</v>
      </c>
      <c r="E51" s="266">
        <v>92243</v>
      </c>
      <c r="F51" s="266">
        <v>78202</v>
      </c>
      <c r="G51" s="266"/>
      <c r="H51" s="266"/>
      <c r="I51" s="266"/>
      <c r="J51" s="266"/>
      <c r="K51" s="266"/>
      <c r="L51" s="266"/>
      <c r="M51" s="266"/>
      <c r="N51" s="266"/>
      <c r="O51" s="266"/>
      <c r="P51" s="47" t="str">
        <f t="shared" si="2"/>
        <v>100G LR4_10 km_CFP2/4</v>
      </c>
    </row>
    <row r="52" spans="2:16">
      <c r="B52" s="96" t="str">
        <f>Products!B81</f>
        <v>100G LR4 and LR1</v>
      </c>
      <c r="C52" s="97" t="str">
        <f>Products!C81</f>
        <v>10 km</v>
      </c>
      <c r="D52" s="98" t="str">
        <f>Products!D81</f>
        <v>QSFP28</v>
      </c>
      <c r="E52" s="266">
        <v>18088.600000000002</v>
      </c>
      <c r="F52" s="266">
        <v>108705.59999999999</v>
      </c>
      <c r="G52" s="266"/>
      <c r="H52" s="266"/>
      <c r="I52" s="266"/>
      <c r="J52" s="266"/>
      <c r="K52" s="266"/>
      <c r="L52" s="266"/>
      <c r="M52" s="266"/>
      <c r="N52" s="266"/>
      <c r="O52" s="266"/>
      <c r="P52" s="47" t="str">
        <f t="shared" si="2"/>
        <v>100G LR4 and LR1_10 km_QSFP28</v>
      </c>
    </row>
    <row r="53" spans="2:16">
      <c r="B53" s="96" t="str">
        <f>Products!B82</f>
        <v>100G 4WDM10</v>
      </c>
      <c r="C53" s="97" t="str">
        <f>Products!C82</f>
        <v>10 km</v>
      </c>
      <c r="D53" s="98" t="str">
        <f>Products!D82</f>
        <v>QSFP28</v>
      </c>
      <c r="E53" s="266">
        <v>0</v>
      </c>
      <c r="F53" s="266">
        <v>0</v>
      </c>
      <c r="G53" s="266"/>
      <c r="H53" s="266"/>
      <c r="I53" s="266"/>
      <c r="J53" s="266"/>
      <c r="K53" s="266"/>
      <c r="L53" s="266"/>
      <c r="M53" s="266"/>
      <c r="N53" s="266"/>
      <c r="O53" s="266"/>
      <c r="P53" s="47" t="str">
        <f t="shared" si="2"/>
        <v>100G 4WDM10_10 km_QSFP28</v>
      </c>
    </row>
    <row r="54" spans="2:16">
      <c r="B54" s="96" t="str">
        <f>Products!B83</f>
        <v>100G 4WDM20</v>
      </c>
      <c r="C54" s="97" t="str">
        <f>Products!C83</f>
        <v>20 km</v>
      </c>
      <c r="D54" s="98" t="str">
        <f>Products!D83</f>
        <v>QSFP28</v>
      </c>
      <c r="E54" s="266">
        <v>0</v>
      </c>
      <c r="F54" s="266">
        <v>0</v>
      </c>
      <c r="G54" s="266"/>
      <c r="H54" s="266"/>
      <c r="I54" s="266"/>
      <c r="J54" s="266"/>
      <c r="K54" s="266"/>
      <c r="L54" s="266"/>
      <c r="M54" s="266"/>
      <c r="N54" s="266"/>
      <c r="O54" s="266"/>
      <c r="P54" s="47" t="str">
        <f t="shared" si="2"/>
        <v>100G 4WDM20_20 km_QSFP28</v>
      </c>
    </row>
    <row r="55" spans="2:16">
      <c r="B55" s="96" t="str">
        <f>Products!B84</f>
        <v>100G ER4-Lite</v>
      </c>
      <c r="C55" s="97" t="str">
        <f>Products!C84</f>
        <v>30 km</v>
      </c>
      <c r="D55" s="98" t="str">
        <f>Products!D84</f>
        <v>QSFP28</v>
      </c>
      <c r="E55" s="266">
        <v>0</v>
      </c>
      <c r="F55" s="266">
        <v>2000</v>
      </c>
      <c r="G55" s="266"/>
      <c r="H55" s="266"/>
      <c r="I55" s="266"/>
      <c r="J55" s="266"/>
      <c r="K55" s="266"/>
      <c r="L55" s="266"/>
      <c r="M55" s="266"/>
      <c r="N55" s="266"/>
      <c r="O55" s="266"/>
      <c r="P55" s="47" t="str">
        <f t="shared" si="2"/>
        <v>100G ER4-Lite_30 km_QSFP28</v>
      </c>
    </row>
    <row r="56" spans="2:16">
      <c r="B56" s="96" t="str">
        <f>Products!B85</f>
        <v>100G ER4</v>
      </c>
      <c r="C56" s="97" t="str">
        <f>Products!C85</f>
        <v>40 km</v>
      </c>
      <c r="D56" s="98" t="str">
        <f>Products!D85</f>
        <v>QSFP28</v>
      </c>
      <c r="E56" s="266">
        <v>7456</v>
      </c>
      <c r="F56" s="266">
        <v>8272</v>
      </c>
      <c r="G56" s="266"/>
      <c r="H56" s="266"/>
      <c r="I56" s="266"/>
      <c r="J56" s="266"/>
      <c r="K56" s="266"/>
      <c r="L56" s="266"/>
      <c r="M56" s="266"/>
      <c r="N56" s="266"/>
      <c r="O56" s="266"/>
      <c r="P56" s="47" t="str">
        <f t="shared" si="2"/>
        <v>100G ER4_40 km_QSFP28</v>
      </c>
    </row>
    <row r="57" spans="2:16">
      <c r="B57" s="96" t="str">
        <f>Products!B86</f>
        <v>100G ZR4</v>
      </c>
      <c r="C57" s="97" t="str">
        <f>Products!C86</f>
        <v>80 km</v>
      </c>
      <c r="D57" s="98" t="str">
        <f>Products!D86</f>
        <v>QSFP28</v>
      </c>
      <c r="E57" s="267">
        <v>0</v>
      </c>
      <c r="F57" s="267">
        <v>0</v>
      </c>
      <c r="G57" s="267"/>
      <c r="H57" s="267"/>
      <c r="I57" s="267"/>
      <c r="J57" s="267"/>
      <c r="K57" s="267"/>
      <c r="L57" s="267"/>
      <c r="M57" s="267"/>
      <c r="N57" s="267"/>
      <c r="O57" s="267"/>
      <c r="P57" s="47" t="str">
        <f t="shared" si="2"/>
        <v>100G ZR4_80 km_QSFP28</v>
      </c>
    </row>
    <row r="58" spans="2:16">
      <c r="B58" s="88" t="str">
        <f>Products!B87</f>
        <v>200G SR4</v>
      </c>
      <c r="C58" s="89" t="str">
        <f>Products!C87</f>
        <v>100 m</v>
      </c>
      <c r="D58" s="90" t="str">
        <f>Products!D87</f>
        <v>QSFP56</v>
      </c>
      <c r="E58" s="265">
        <v>0</v>
      </c>
      <c r="F58" s="265">
        <v>0</v>
      </c>
      <c r="G58" s="265"/>
      <c r="H58" s="265"/>
      <c r="I58" s="265"/>
      <c r="J58" s="265"/>
      <c r="K58" s="265"/>
      <c r="L58" s="265"/>
      <c r="M58" s="265"/>
      <c r="N58" s="265"/>
      <c r="O58" s="265"/>
      <c r="P58" s="63" t="str">
        <f t="shared" si="2"/>
        <v>200G SR4_100 m_QSFP56</v>
      </c>
    </row>
    <row r="59" spans="2:16">
      <c r="B59" s="96" t="str">
        <f>Products!B88</f>
        <v>2x200 (400G-SR8)</v>
      </c>
      <c r="C59" s="97" t="str">
        <f>Products!C88</f>
        <v>100 m</v>
      </c>
      <c r="D59" s="98" t="str">
        <f>Products!D88</f>
        <v>OSFP, QSFP-DD</v>
      </c>
      <c r="E59" s="266">
        <v>0</v>
      </c>
      <c r="F59" s="266">
        <v>0</v>
      </c>
      <c r="G59" s="266"/>
      <c r="H59" s="266"/>
      <c r="I59" s="266"/>
      <c r="J59" s="266"/>
      <c r="K59" s="266"/>
      <c r="L59" s="266"/>
      <c r="M59" s="266"/>
      <c r="N59" s="266"/>
      <c r="O59" s="266"/>
      <c r="P59" s="47" t="str">
        <f t="shared" si="2"/>
        <v>2x200 (400G-SR8)_100 m_OSFP, QSFP-DD</v>
      </c>
    </row>
    <row r="60" spans="2:16">
      <c r="B60" s="96" t="str">
        <f>Products!B89</f>
        <v>200G FR4</v>
      </c>
      <c r="C60" s="97" t="str">
        <f>Products!C89</f>
        <v>3 km</v>
      </c>
      <c r="D60" s="98" t="str">
        <f>Products!D89</f>
        <v>QSFP56</v>
      </c>
      <c r="E60" s="266">
        <v>0</v>
      </c>
      <c r="F60" s="266">
        <v>0</v>
      </c>
      <c r="G60" s="266"/>
      <c r="H60" s="266"/>
      <c r="I60" s="266"/>
      <c r="J60" s="266"/>
      <c r="K60" s="266"/>
      <c r="L60" s="266"/>
      <c r="M60" s="266"/>
      <c r="N60" s="266"/>
      <c r="O60" s="266"/>
      <c r="P60" s="47" t="str">
        <f t="shared" si="2"/>
        <v>200G FR4_3 km_QSFP56</v>
      </c>
    </row>
    <row r="61" spans="2:16">
      <c r="B61" s="92" t="str">
        <f>Products!B90</f>
        <v>2x(200G FR4)</v>
      </c>
      <c r="C61" s="93" t="str">
        <f>Products!C90</f>
        <v>2 km</v>
      </c>
      <c r="D61" s="94" t="str">
        <f>Products!D90</f>
        <v>OSFP</v>
      </c>
      <c r="E61" s="267">
        <v>0</v>
      </c>
      <c r="F61" s="267">
        <v>0</v>
      </c>
      <c r="G61" s="267"/>
      <c r="H61" s="267"/>
      <c r="I61" s="267"/>
      <c r="J61" s="267"/>
      <c r="K61" s="267"/>
      <c r="L61" s="267"/>
      <c r="M61" s="267"/>
      <c r="N61" s="267"/>
      <c r="O61" s="267"/>
      <c r="P61" s="64" t="str">
        <f t="shared" si="2"/>
        <v>2x(200G FR4)_2 km_OSFP</v>
      </c>
    </row>
    <row r="62" spans="2:16">
      <c r="B62" s="88" t="str">
        <f>Products!B91</f>
        <v>400G SR4.2, SR4</v>
      </c>
      <c r="C62" s="89" t="str">
        <f>Products!C91</f>
        <v>100 m</v>
      </c>
      <c r="D62" s="90" t="str">
        <f>Products!D91</f>
        <v>OSFP, QSFP-DD, QSFP112</v>
      </c>
      <c r="E62" s="265">
        <v>0</v>
      </c>
      <c r="F62" s="265">
        <v>0</v>
      </c>
      <c r="G62" s="265"/>
      <c r="H62" s="265"/>
      <c r="I62" s="265"/>
      <c r="J62" s="265"/>
      <c r="K62" s="265"/>
      <c r="L62" s="265"/>
      <c r="M62" s="265"/>
      <c r="N62" s="265"/>
      <c r="O62" s="265"/>
      <c r="P62" s="63" t="str">
        <f t="shared" si="2"/>
        <v>400G SR4.2, SR4_100 m_OSFP, QSFP-DD, QSFP112</v>
      </c>
    </row>
    <row r="63" spans="2:16">
      <c r="B63" s="96" t="str">
        <f>Products!B92</f>
        <v>400G DR4</v>
      </c>
      <c r="C63" s="97" t="str">
        <f>Products!C92</f>
        <v>500 m</v>
      </c>
      <c r="D63" s="98" t="str">
        <f>Products!D92</f>
        <v>OSFP, QSFP-DD, QSFP112</v>
      </c>
      <c r="E63" s="266">
        <v>0</v>
      </c>
      <c r="F63" s="266">
        <v>0</v>
      </c>
      <c r="G63" s="266"/>
      <c r="H63" s="266"/>
      <c r="I63" s="266"/>
      <c r="J63" s="266"/>
      <c r="K63" s="266"/>
      <c r="L63" s="266"/>
      <c r="M63" s="266"/>
      <c r="N63" s="266"/>
      <c r="O63" s="266"/>
      <c r="P63" s="47" t="str">
        <f t="shared" si="2"/>
        <v>400G DR4_500 m_OSFP, QSFP-DD, QSFP112</v>
      </c>
    </row>
    <row r="64" spans="2:16">
      <c r="B64" s="96" t="str">
        <f>Products!B93</f>
        <v>400G FR4</v>
      </c>
      <c r="C64" s="97" t="str">
        <f>Products!C93</f>
        <v>2 km</v>
      </c>
      <c r="D64" s="98" t="str">
        <f>Products!D93</f>
        <v>OSFP, QSFP-DD, QSFP112</v>
      </c>
      <c r="E64" s="266">
        <v>0</v>
      </c>
      <c r="F64" s="266">
        <v>0</v>
      </c>
      <c r="G64" s="266"/>
      <c r="H64" s="266"/>
      <c r="I64" s="266"/>
      <c r="J64" s="266"/>
      <c r="K64" s="266"/>
      <c r="L64" s="266"/>
      <c r="M64" s="266"/>
      <c r="N64" s="266"/>
      <c r="O64" s="266"/>
      <c r="P64" s="47" t="str">
        <f t="shared" si="2"/>
        <v>400G FR4_2 km_OSFP, QSFP-DD, QSFP112</v>
      </c>
    </row>
    <row r="65" spans="2:16">
      <c r="B65" s="92" t="str">
        <f>Products!B94</f>
        <v>400G LR4, LR8</v>
      </c>
      <c r="C65" s="93" t="str">
        <f>Products!C94</f>
        <v>10 km</v>
      </c>
      <c r="D65" s="94" t="str">
        <f>Products!D94</f>
        <v>OSFP, QSFP-DD, QSFP112</v>
      </c>
      <c r="E65" s="267">
        <v>0</v>
      </c>
      <c r="F65" s="267">
        <v>82</v>
      </c>
      <c r="G65" s="267"/>
      <c r="H65" s="267"/>
      <c r="I65" s="267"/>
      <c r="J65" s="267"/>
      <c r="K65" s="267"/>
      <c r="L65" s="267"/>
      <c r="M65" s="267"/>
      <c r="N65" s="267"/>
      <c r="O65" s="267"/>
      <c r="P65" s="64" t="str">
        <f t="shared" si="2"/>
        <v>400G LR4, LR8_10 km_OSFP, QSFP-DD, QSFP112</v>
      </c>
    </row>
    <row r="66" spans="2:16" s="101" customFormat="1">
      <c r="B66" s="96" t="str">
        <f>Products!B95</f>
        <v>800G SR8</v>
      </c>
      <c r="C66" s="97" t="str">
        <f>Products!C95</f>
        <v>50 m</v>
      </c>
      <c r="D66" s="98" t="str">
        <f>Products!D95</f>
        <v>OSFP, QSFP-DD800</v>
      </c>
      <c r="E66" s="266">
        <v>0</v>
      </c>
      <c r="F66" s="266">
        <v>0</v>
      </c>
      <c r="G66" s="266"/>
      <c r="H66" s="266"/>
      <c r="I66" s="266"/>
      <c r="J66" s="266"/>
      <c r="K66" s="266"/>
      <c r="L66" s="266"/>
      <c r="M66" s="266"/>
      <c r="N66" s="266"/>
      <c r="O66" s="266"/>
      <c r="P66" s="47" t="str">
        <f t="shared" si="2"/>
        <v>800G SR8_50 m_OSFP, QSFP-DD800</v>
      </c>
    </row>
    <row r="67" spans="2:16" s="101" customFormat="1">
      <c r="B67" s="96" t="str">
        <f>Products!B96</f>
        <v>800G PSM8</v>
      </c>
      <c r="C67" s="97" t="str">
        <f>Products!C96</f>
        <v>500 m</v>
      </c>
      <c r="D67" s="98" t="str">
        <f>Products!D96</f>
        <v>OSFP, QSFP-DD800</v>
      </c>
      <c r="E67" s="266">
        <v>0</v>
      </c>
      <c r="F67" s="266">
        <v>0</v>
      </c>
      <c r="G67" s="266"/>
      <c r="H67" s="266"/>
      <c r="I67" s="266"/>
      <c r="J67" s="266"/>
      <c r="K67" s="266"/>
      <c r="L67" s="266"/>
      <c r="M67" s="266"/>
      <c r="N67" s="266"/>
      <c r="O67" s="266"/>
      <c r="P67" s="47" t="str">
        <f t="shared" si="2"/>
        <v>800G PSM8_500 m_OSFP, QSFP-DD800</v>
      </c>
    </row>
    <row r="68" spans="2:16" s="101" customFormat="1">
      <c r="B68" s="96" t="str">
        <f>Products!B97</f>
        <v>2x(400G FR4)</v>
      </c>
      <c r="C68" s="97" t="str">
        <f>Products!C97</f>
        <v>2 km</v>
      </c>
      <c r="D68" s="98" t="str">
        <f>Products!D97</f>
        <v>OSFP, QSFP-DD800</v>
      </c>
      <c r="E68" s="266">
        <v>0</v>
      </c>
      <c r="F68" s="266">
        <v>0</v>
      </c>
      <c r="G68" s="266"/>
      <c r="H68" s="266"/>
      <c r="I68" s="266"/>
      <c r="J68" s="266"/>
      <c r="K68" s="266"/>
      <c r="L68" s="266"/>
      <c r="M68" s="266"/>
      <c r="N68" s="266"/>
      <c r="O68" s="266"/>
      <c r="P68" s="47" t="str">
        <f t="shared" si="2"/>
        <v>2x(400G FR4)_2 km_OSFP, QSFP-DD800</v>
      </c>
    </row>
    <row r="69" spans="2:16" s="101" customFormat="1">
      <c r="B69" s="92"/>
      <c r="C69" s="93"/>
      <c r="D69" s="94"/>
      <c r="E69" s="267"/>
      <c r="F69" s="267"/>
      <c r="G69" s="267"/>
      <c r="H69" s="267"/>
      <c r="I69" s="267"/>
      <c r="J69" s="267"/>
      <c r="K69" s="267"/>
      <c r="L69" s="267"/>
      <c r="M69" s="267"/>
      <c r="N69" s="267"/>
      <c r="O69" s="267"/>
      <c r="P69" s="64"/>
    </row>
    <row r="70" spans="2:16">
      <c r="B70" s="51" t="s">
        <v>20</v>
      </c>
      <c r="C70" s="52"/>
      <c r="D70" s="53"/>
      <c r="E70" s="105">
        <f t="shared" ref="E70:O70" si="3">SUM(E9:E69)</f>
        <v>4365629.053513201</v>
      </c>
      <c r="F70" s="105">
        <f t="shared" si="3"/>
        <v>3892074.9984692554</v>
      </c>
      <c r="G70" s="105">
        <f t="shared" si="3"/>
        <v>0</v>
      </c>
      <c r="H70" s="105">
        <f t="shared" si="3"/>
        <v>0</v>
      </c>
      <c r="I70" s="105">
        <f t="shared" si="3"/>
        <v>0</v>
      </c>
      <c r="J70" s="105">
        <f t="shared" si="3"/>
        <v>0</v>
      </c>
      <c r="K70" s="105">
        <f t="shared" si="3"/>
        <v>0</v>
      </c>
      <c r="L70" s="105">
        <f t="shared" si="3"/>
        <v>0</v>
      </c>
      <c r="M70" s="105">
        <f t="shared" si="3"/>
        <v>0</v>
      </c>
      <c r="N70" s="105">
        <f t="shared" si="3"/>
        <v>0</v>
      </c>
      <c r="O70" s="105">
        <f t="shared" si="3"/>
        <v>0</v>
      </c>
      <c r="P70" s="229" t="str">
        <f>B70</f>
        <v xml:space="preserve">Total Devices </v>
      </c>
    </row>
    <row r="73" spans="2:16" ht="21">
      <c r="B73" s="14" t="s">
        <v>19</v>
      </c>
      <c r="C73" s="14"/>
      <c r="D73" s="14"/>
      <c r="P73" s="101"/>
    </row>
    <row r="74" spans="2:16">
      <c r="B74" s="86" t="e">
        <f>#REF!</f>
        <v>#REF!</v>
      </c>
      <c r="C74" s="86" t="e">
        <f>#REF!</f>
        <v>#REF!</v>
      </c>
      <c r="D74" s="86" t="e">
        <f>#REF!</f>
        <v>#REF!</v>
      </c>
      <c r="E74" s="107">
        <v>2016</v>
      </c>
      <c r="F74" s="107">
        <v>2017</v>
      </c>
      <c r="G74" s="107">
        <v>2018</v>
      </c>
      <c r="H74" s="107">
        <v>2019</v>
      </c>
      <c r="I74" s="107">
        <v>2020</v>
      </c>
      <c r="J74" s="107">
        <v>2021</v>
      </c>
      <c r="K74" s="107">
        <v>2022</v>
      </c>
      <c r="L74" s="107">
        <v>2023</v>
      </c>
      <c r="M74" s="107">
        <v>2024</v>
      </c>
      <c r="N74" s="107">
        <v>2025</v>
      </c>
      <c r="O74" s="107">
        <v>2026</v>
      </c>
      <c r="P74" s="101"/>
    </row>
    <row r="75" spans="2:16">
      <c r="B75" s="88" t="str">
        <f t="shared" ref="B75:D94" si="4">B9</f>
        <v>1G</v>
      </c>
      <c r="C75" s="89" t="str">
        <f t="shared" si="4"/>
        <v>500 m</v>
      </c>
      <c r="D75" s="90" t="str">
        <f t="shared" si="4"/>
        <v>SFP</v>
      </c>
      <c r="E75" s="108">
        <f>'Products x speed'!E84</f>
        <v>10.178233731377588</v>
      </c>
      <c r="F75" s="108">
        <f>'Products x speed'!F84</f>
        <v>8.9746992158904888</v>
      </c>
      <c r="G75" s="108" t="str">
        <f>'Products x speed'!G84</f>
        <v/>
      </c>
      <c r="H75" s="108" t="str">
        <f>'Products x speed'!H84</f>
        <v/>
      </c>
      <c r="I75" s="108" t="str">
        <f>'Products x speed'!I84</f>
        <v/>
      </c>
      <c r="J75" s="108" t="str">
        <f>'Products x speed'!J84</f>
        <v/>
      </c>
      <c r="K75" s="108" t="str">
        <f>'Products x speed'!K84</f>
        <v/>
      </c>
      <c r="L75" s="108" t="str">
        <f>'Products x speed'!L84</f>
        <v/>
      </c>
      <c r="M75" s="108" t="str">
        <f>'Products x speed'!M84</f>
        <v/>
      </c>
      <c r="N75" s="108" t="str">
        <f>'Products x speed'!N84</f>
        <v/>
      </c>
      <c r="O75" s="108" t="str">
        <f>'Products x speed'!O84</f>
        <v/>
      </c>
      <c r="P75" s="101"/>
    </row>
    <row r="76" spans="2:16">
      <c r="B76" s="96" t="str">
        <f t="shared" si="4"/>
        <v>1G</v>
      </c>
      <c r="C76" s="97" t="str">
        <f t="shared" si="4"/>
        <v>10 km</v>
      </c>
      <c r="D76" s="98" t="str">
        <f t="shared" si="4"/>
        <v>SFP</v>
      </c>
      <c r="E76" s="110">
        <f>'Products x speed'!E85</f>
        <v>11.313150064475876</v>
      </c>
      <c r="F76" s="110">
        <f>'Products x speed'!F85</f>
        <v>9.7279618337487541</v>
      </c>
      <c r="G76" s="110" t="str">
        <f>'Products x speed'!G85</f>
        <v/>
      </c>
      <c r="H76" s="110" t="str">
        <f>'Products x speed'!H85</f>
        <v/>
      </c>
      <c r="I76" s="110" t="str">
        <f>'Products x speed'!I85</f>
        <v/>
      </c>
      <c r="J76" s="110" t="str">
        <f>'Products x speed'!J85</f>
        <v/>
      </c>
      <c r="K76" s="110" t="str">
        <f>'Products x speed'!K85</f>
        <v/>
      </c>
      <c r="L76" s="110" t="str">
        <f>'Products x speed'!L85</f>
        <v/>
      </c>
      <c r="M76" s="110" t="str">
        <f>'Products x speed'!M85</f>
        <v/>
      </c>
      <c r="N76" s="110" t="str">
        <f>'Products x speed'!N85</f>
        <v/>
      </c>
      <c r="O76" s="110" t="str">
        <f>'Products x speed'!O85</f>
        <v/>
      </c>
      <c r="P76" s="101"/>
    </row>
    <row r="77" spans="2:16">
      <c r="B77" s="96" t="str">
        <f t="shared" si="4"/>
        <v>1G</v>
      </c>
      <c r="C77" s="97" t="str">
        <f t="shared" si="4"/>
        <v>40 km</v>
      </c>
      <c r="D77" s="98" t="str">
        <f t="shared" si="4"/>
        <v>SFP</v>
      </c>
      <c r="E77" s="110">
        <f>'Products x speed'!E86</f>
        <v>14.223250006112197</v>
      </c>
      <c r="F77" s="110">
        <f>'Products x speed'!F86</f>
        <v>11.270556706605298</v>
      </c>
      <c r="G77" s="110" t="str">
        <f>'Products x speed'!G86</f>
        <v/>
      </c>
      <c r="H77" s="110" t="str">
        <f>'Products x speed'!H86</f>
        <v/>
      </c>
      <c r="I77" s="110" t="str">
        <f>'Products x speed'!I86</f>
        <v/>
      </c>
      <c r="J77" s="110" t="str">
        <f>'Products x speed'!J86</f>
        <v/>
      </c>
      <c r="K77" s="110" t="str">
        <f>'Products x speed'!K86</f>
        <v/>
      </c>
      <c r="L77" s="110" t="str">
        <f>'Products x speed'!L86</f>
        <v/>
      </c>
      <c r="M77" s="110" t="str">
        <f>'Products x speed'!M86</f>
        <v/>
      </c>
      <c r="N77" s="110" t="str">
        <f>'Products x speed'!N86</f>
        <v/>
      </c>
      <c r="O77" s="110" t="str">
        <f>'Products x speed'!O86</f>
        <v/>
      </c>
      <c r="P77" s="101"/>
    </row>
    <row r="78" spans="2:16">
      <c r="B78" s="96" t="str">
        <f t="shared" si="4"/>
        <v>1G</v>
      </c>
      <c r="C78" s="97" t="str">
        <f t="shared" si="4"/>
        <v>80 km</v>
      </c>
      <c r="D78" s="97" t="str">
        <f t="shared" si="4"/>
        <v>SFP</v>
      </c>
      <c r="E78" s="110">
        <f>'Products x speed'!E87</f>
        <v>47.263945249069465</v>
      </c>
      <c r="F78" s="110">
        <f>'Products x speed'!F87</f>
        <v>42.349942382451964</v>
      </c>
      <c r="G78" s="110" t="str">
        <f>'Products x speed'!G87</f>
        <v/>
      </c>
      <c r="H78" s="110" t="str">
        <f>'Products x speed'!H87</f>
        <v/>
      </c>
      <c r="I78" s="110" t="str">
        <f>'Products x speed'!I87</f>
        <v/>
      </c>
      <c r="J78" s="110" t="str">
        <f>'Products x speed'!J87</f>
        <v/>
      </c>
      <c r="K78" s="110" t="str">
        <f>'Products x speed'!K87</f>
        <v/>
      </c>
      <c r="L78" s="110" t="str">
        <f>'Products x speed'!L87</f>
        <v/>
      </c>
      <c r="M78" s="110" t="str">
        <f>'Products x speed'!M87</f>
        <v/>
      </c>
      <c r="N78" s="110" t="str">
        <f>'Products x speed'!N87</f>
        <v/>
      </c>
      <c r="O78" s="110" t="str">
        <f>'Products x speed'!O87</f>
        <v/>
      </c>
      <c r="P78" s="101"/>
    </row>
    <row r="79" spans="2:16">
      <c r="B79" s="92" t="str">
        <f t="shared" si="4"/>
        <v>1G &amp; Fast Ethernet</v>
      </c>
      <c r="C79" s="93" t="str">
        <f t="shared" si="4"/>
        <v>Various</v>
      </c>
      <c r="D79" s="93" t="str">
        <f t="shared" si="4"/>
        <v>Legacy/discontinued</v>
      </c>
      <c r="E79" s="109"/>
      <c r="F79" s="109"/>
      <c r="G79" s="109"/>
      <c r="H79" s="109"/>
      <c r="I79" s="109"/>
      <c r="J79" s="109"/>
      <c r="K79" s="109"/>
      <c r="L79" s="109"/>
      <c r="M79" s="109"/>
      <c r="N79" s="109"/>
      <c r="O79" s="109"/>
      <c r="P79" s="101"/>
    </row>
    <row r="80" spans="2:16">
      <c r="B80" s="96" t="str">
        <f t="shared" si="4"/>
        <v>10G</v>
      </c>
      <c r="C80" s="97" t="str">
        <f t="shared" si="4"/>
        <v>300 m</v>
      </c>
      <c r="D80" s="97" t="str">
        <f t="shared" si="4"/>
        <v>XFP</v>
      </c>
      <c r="E80" s="110">
        <f>'Products x speed'!E89</f>
        <v>65.084287545305614</v>
      </c>
      <c r="F80" s="110">
        <f>'Products x speed'!F89</f>
        <v>58.749084731162213</v>
      </c>
      <c r="G80" s="110" t="str">
        <f>'Products x speed'!G89</f>
        <v/>
      </c>
      <c r="H80" s="110" t="str">
        <f>'Products x speed'!H89</f>
        <v/>
      </c>
      <c r="I80" s="110" t="str">
        <f>'Products x speed'!I89</f>
        <v/>
      </c>
      <c r="J80" s="110" t="str">
        <f>'Products x speed'!J89</f>
        <v/>
      </c>
      <c r="K80" s="110" t="str">
        <f>'Products x speed'!K89</f>
        <v/>
      </c>
      <c r="L80" s="110" t="str">
        <f>'Products x speed'!L89</f>
        <v/>
      </c>
      <c r="M80" s="110" t="str">
        <f>'Products x speed'!M89</f>
        <v/>
      </c>
      <c r="N80" s="110" t="str">
        <f>'Products x speed'!N89</f>
        <v/>
      </c>
      <c r="O80" s="110" t="str">
        <f>'Products x speed'!O89</f>
        <v/>
      </c>
      <c r="P80" s="101"/>
    </row>
    <row r="81" spans="2:16">
      <c r="B81" s="96" t="str">
        <f t="shared" si="4"/>
        <v>10G</v>
      </c>
      <c r="C81" s="97" t="str">
        <f t="shared" si="4"/>
        <v>300 m</v>
      </c>
      <c r="D81" s="97" t="str">
        <f t="shared" si="4"/>
        <v>SFP+</v>
      </c>
      <c r="E81" s="110">
        <f>'Products x speed'!E90</f>
        <v>18.016278339273537</v>
      </c>
      <c r="F81" s="110">
        <f>'Products x speed'!F90</f>
        <v>15.097691372748406</v>
      </c>
      <c r="G81" s="110" t="str">
        <f>'Products x speed'!G90</f>
        <v/>
      </c>
      <c r="H81" s="110" t="str">
        <f>'Products x speed'!H90</f>
        <v/>
      </c>
      <c r="I81" s="110" t="str">
        <f>'Products x speed'!I90</f>
        <v/>
      </c>
      <c r="J81" s="110" t="str">
        <f>'Products x speed'!J90</f>
        <v/>
      </c>
      <c r="K81" s="110" t="str">
        <f>'Products x speed'!K90</f>
        <v/>
      </c>
      <c r="L81" s="110" t="str">
        <f>'Products x speed'!L90</f>
        <v/>
      </c>
      <c r="M81" s="110" t="str">
        <f>'Products x speed'!M90</f>
        <v/>
      </c>
      <c r="N81" s="110" t="str">
        <f>'Products x speed'!N90</f>
        <v/>
      </c>
      <c r="O81" s="110" t="str">
        <f>'Products x speed'!O90</f>
        <v/>
      </c>
      <c r="P81" s="101"/>
    </row>
    <row r="82" spans="2:16">
      <c r="B82" s="96" t="str">
        <f t="shared" si="4"/>
        <v>10G LRM</v>
      </c>
      <c r="C82" s="97" t="str">
        <f t="shared" si="4"/>
        <v>220 m</v>
      </c>
      <c r="D82" s="97" t="str">
        <f t="shared" si="4"/>
        <v>SFP+</v>
      </c>
      <c r="E82" s="110">
        <f>'Products x speed'!E91</f>
        <v>78.390761412913719</v>
      </c>
      <c r="F82" s="110">
        <f>'Products x speed'!F91</f>
        <v>66.716018564745482</v>
      </c>
      <c r="G82" s="110" t="str">
        <f>'Products x speed'!G91</f>
        <v/>
      </c>
      <c r="H82" s="110" t="str">
        <f>'Products x speed'!H91</f>
        <v/>
      </c>
      <c r="I82" s="110" t="str">
        <f>'Products x speed'!I91</f>
        <v/>
      </c>
      <c r="J82" s="110" t="str">
        <f>'Products x speed'!J91</f>
        <v/>
      </c>
      <c r="K82" s="110" t="str">
        <f>'Products x speed'!K91</f>
        <v/>
      </c>
      <c r="L82" s="110" t="str">
        <f>'Products x speed'!L91</f>
        <v/>
      </c>
      <c r="M82" s="110" t="str">
        <f>'Products x speed'!M91</f>
        <v/>
      </c>
      <c r="N82" s="110" t="str">
        <f>'Products x speed'!N91</f>
        <v/>
      </c>
      <c r="O82" s="110" t="str">
        <f>'Products x speed'!O91</f>
        <v/>
      </c>
      <c r="P82" s="101"/>
    </row>
    <row r="83" spans="2:16">
      <c r="B83" s="96" t="str">
        <f t="shared" si="4"/>
        <v>10G</v>
      </c>
      <c r="C83" s="97" t="str">
        <f t="shared" si="4"/>
        <v>10 km</v>
      </c>
      <c r="D83" s="97" t="str">
        <f t="shared" si="4"/>
        <v>XFP</v>
      </c>
      <c r="E83" s="110">
        <f>'Products x speed'!E92</f>
        <v>67.576972221049004</v>
      </c>
      <c r="F83" s="110">
        <f>'Products x speed'!F92</f>
        <v>51.799368807617711</v>
      </c>
      <c r="G83" s="110" t="str">
        <f>'Products x speed'!G92</f>
        <v/>
      </c>
      <c r="H83" s="110" t="str">
        <f>'Products x speed'!H92</f>
        <v/>
      </c>
      <c r="I83" s="110" t="str">
        <f>'Products x speed'!I92</f>
        <v/>
      </c>
      <c r="J83" s="110" t="str">
        <f>'Products x speed'!J92</f>
        <v/>
      </c>
      <c r="K83" s="110" t="str">
        <f>'Products x speed'!K92</f>
        <v/>
      </c>
      <c r="L83" s="110" t="str">
        <f>'Products x speed'!L92</f>
        <v/>
      </c>
      <c r="M83" s="110" t="str">
        <f>'Products x speed'!M92</f>
        <v/>
      </c>
      <c r="N83" s="110" t="str">
        <f>'Products x speed'!N92</f>
        <v/>
      </c>
      <c r="O83" s="110" t="str">
        <f>'Products x speed'!O92</f>
        <v/>
      </c>
      <c r="P83" s="101"/>
    </row>
    <row r="84" spans="2:16">
      <c r="B84" s="96" t="str">
        <f t="shared" si="4"/>
        <v>10G</v>
      </c>
      <c r="C84" s="97" t="str">
        <f t="shared" si="4"/>
        <v>10 km</v>
      </c>
      <c r="D84" s="97" t="str">
        <f t="shared" si="4"/>
        <v>SFP+</v>
      </c>
      <c r="E84" s="111">
        <f>'Products x speed'!E93</f>
        <v>38.465958311427336</v>
      </c>
      <c r="F84" s="111">
        <f>'Products x speed'!F93</f>
        <v>30.5</v>
      </c>
      <c r="G84" s="111" t="str">
        <f>'Products x speed'!G93</f>
        <v/>
      </c>
      <c r="H84" s="111" t="str">
        <f>'Products x speed'!H93</f>
        <v/>
      </c>
      <c r="I84" s="111" t="str">
        <f>'Products x speed'!I93</f>
        <v/>
      </c>
      <c r="J84" s="111" t="str">
        <f>'Products x speed'!J93</f>
        <v/>
      </c>
      <c r="K84" s="111" t="str">
        <f>'Products x speed'!K93</f>
        <v/>
      </c>
      <c r="L84" s="111" t="str">
        <f>'Products x speed'!L93</f>
        <v/>
      </c>
      <c r="M84" s="111" t="str">
        <f>'Products x speed'!M93</f>
        <v/>
      </c>
      <c r="N84" s="111" t="str">
        <f>'Products x speed'!N93</f>
        <v/>
      </c>
      <c r="O84" s="111" t="str">
        <f>'Products x speed'!O93</f>
        <v/>
      </c>
      <c r="P84" s="101"/>
    </row>
    <row r="85" spans="2:16">
      <c r="B85" s="96" t="str">
        <f t="shared" si="4"/>
        <v>10G</v>
      </c>
      <c r="C85" s="97" t="str">
        <f t="shared" si="4"/>
        <v>40 km</v>
      </c>
      <c r="D85" s="97" t="str">
        <f t="shared" si="4"/>
        <v>XFP</v>
      </c>
      <c r="E85" s="110">
        <f>'Products x speed'!E94</f>
        <v>202.96860771881492</v>
      </c>
      <c r="F85" s="110">
        <f>'Products x speed'!F94</f>
        <v>139.47449702400385</v>
      </c>
      <c r="G85" s="110" t="str">
        <f>'Products x speed'!G94</f>
        <v/>
      </c>
      <c r="H85" s="110" t="str">
        <f>'Products x speed'!H94</f>
        <v/>
      </c>
      <c r="I85" s="110" t="str">
        <f>'Products x speed'!I94</f>
        <v/>
      </c>
      <c r="J85" s="110" t="str">
        <f>'Products x speed'!J94</f>
        <v/>
      </c>
      <c r="K85" s="110" t="str">
        <f>'Products x speed'!K94</f>
        <v/>
      </c>
      <c r="L85" s="110" t="str">
        <f>'Products x speed'!L94</f>
        <v/>
      </c>
      <c r="M85" s="110" t="str">
        <f>'Products x speed'!M94</f>
        <v/>
      </c>
      <c r="N85" s="110" t="str">
        <f>'Products x speed'!N94</f>
        <v/>
      </c>
      <c r="O85" s="110" t="str">
        <f>'Products x speed'!O94</f>
        <v/>
      </c>
      <c r="P85" s="101"/>
    </row>
    <row r="86" spans="2:16">
      <c r="B86" s="96" t="str">
        <f t="shared" si="4"/>
        <v>10G</v>
      </c>
      <c r="C86" s="97" t="str">
        <f t="shared" si="4"/>
        <v>40 km</v>
      </c>
      <c r="D86" s="97" t="str">
        <f t="shared" si="4"/>
        <v>SFP+</v>
      </c>
      <c r="E86" s="110">
        <f>'Products x speed'!E95</f>
        <v>191.20778168956542</v>
      </c>
      <c r="F86" s="110">
        <f>'Products x speed'!F95</f>
        <v>155.78241680453388</v>
      </c>
      <c r="G86" s="110" t="str">
        <f>'Products x speed'!G95</f>
        <v/>
      </c>
      <c r="H86" s="110" t="str">
        <f>'Products x speed'!H95</f>
        <v/>
      </c>
      <c r="I86" s="110" t="str">
        <f>'Products x speed'!I95</f>
        <v/>
      </c>
      <c r="J86" s="110" t="str">
        <f>'Products x speed'!J95</f>
        <v/>
      </c>
      <c r="K86" s="110" t="str">
        <f>'Products x speed'!K95</f>
        <v/>
      </c>
      <c r="L86" s="110" t="str">
        <f>'Products x speed'!L95</f>
        <v/>
      </c>
      <c r="M86" s="110" t="str">
        <f>'Products x speed'!M95</f>
        <v/>
      </c>
      <c r="N86" s="110" t="str">
        <f>'Products x speed'!N95</f>
        <v/>
      </c>
      <c r="O86" s="110" t="str">
        <f>'Products x speed'!O95</f>
        <v/>
      </c>
      <c r="P86" s="101"/>
    </row>
    <row r="87" spans="2:16">
      <c r="B87" s="96" t="str">
        <f t="shared" si="4"/>
        <v>10G</v>
      </c>
      <c r="C87" s="97" t="str">
        <f t="shared" si="4"/>
        <v>80 km</v>
      </c>
      <c r="D87" s="97" t="str">
        <f t="shared" si="4"/>
        <v>XFP</v>
      </c>
      <c r="E87" s="110">
        <f>'Products x speed'!E96</f>
        <v>272.0748723385496</v>
      </c>
      <c r="F87" s="110">
        <f>'Products x speed'!F96</f>
        <v>279.05568350167476</v>
      </c>
      <c r="G87" s="110" t="str">
        <f>'Products x speed'!G96</f>
        <v/>
      </c>
      <c r="H87" s="110" t="str">
        <f>'Products x speed'!H96</f>
        <v/>
      </c>
      <c r="I87" s="110" t="str">
        <f>'Products x speed'!I96</f>
        <v/>
      </c>
      <c r="J87" s="110" t="str">
        <f>'Products x speed'!J96</f>
        <v/>
      </c>
      <c r="K87" s="110" t="str">
        <f>'Products x speed'!K96</f>
        <v/>
      </c>
      <c r="L87" s="110" t="str">
        <f>'Products x speed'!L96</f>
        <v/>
      </c>
      <c r="M87" s="110" t="str">
        <f>'Products x speed'!M96</f>
        <v/>
      </c>
      <c r="N87" s="110" t="str">
        <f>'Products x speed'!N96</f>
        <v/>
      </c>
      <c r="O87" s="110" t="str">
        <f>'Products x speed'!O96</f>
        <v/>
      </c>
      <c r="P87" s="101"/>
    </row>
    <row r="88" spans="2:16">
      <c r="B88" s="96" t="str">
        <f t="shared" si="4"/>
        <v>10G</v>
      </c>
      <c r="C88" s="97" t="str">
        <f t="shared" si="4"/>
        <v>80 km</v>
      </c>
      <c r="D88" s="97" t="str">
        <f t="shared" si="4"/>
        <v>SFP+</v>
      </c>
      <c r="E88" s="110">
        <f>'Products x speed'!E97</f>
        <v>362.31733736347383</v>
      </c>
      <c r="F88" s="110">
        <f>'Products x speed'!F97</f>
        <v>296.14130230693672</v>
      </c>
      <c r="G88" s="110" t="str">
        <f>'Products x speed'!G97</f>
        <v/>
      </c>
      <c r="H88" s="110" t="str">
        <f>'Products x speed'!H97</f>
        <v/>
      </c>
      <c r="I88" s="110" t="str">
        <f>'Products x speed'!I97</f>
        <v/>
      </c>
      <c r="J88" s="110" t="str">
        <f>'Products x speed'!J97</f>
        <v/>
      </c>
      <c r="K88" s="110" t="str">
        <f>'Products x speed'!K97</f>
        <v/>
      </c>
      <c r="L88" s="110" t="str">
        <f>'Products x speed'!L97</f>
        <v/>
      </c>
      <c r="M88" s="110" t="str">
        <f>'Products x speed'!M97</f>
        <v/>
      </c>
      <c r="N88" s="110" t="str">
        <f>'Products x speed'!N97</f>
        <v/>
      </c>
      <c r="O88" s="110" t="str">
        <f>'Products x speed'!O97</f>
        <v/>
      </c>
      <c r="P88" s="101"/>
    </row>
    <row r="89" spans="2:16">
      <c r="B89" s="96" t="str">
        <f t="shared" si="4"/>
        <v>10G</v>
      </c>
      <c r="C89" s="97" t="str">
        <f t="shared" si="4"/>
        <v>Various</v>
      </c>
      <c r="D89" s="97" t="str">
        <f t="shared" si="4"/>
        <v>Legacy/discontinued</v>
      </c>
      <c r="E89" s="110">
        <f>'Products x speed'!E98</f>
        <v>99.093186017554928</v>
      </c>
      <c r="F89" s="110">
        <f>'Products x speed'!F98</f>
        <v>94.281145957499305</v>
      </c>
      <c r="G89" s="110" t="str">
        <f>'Products x speed'!G98</f>
        <v/>
      </c>
      <c r="H89" s="110" t="str">
        <f>'Products x speed'!H98</f>
        <v/>
      </c>
      <c r="I89" s="110" t="str">
        <f>'Products x speed'!I98</f>
        <v/>
      </c>
      <c r="J89" s="110" t="str">
        <f>'Products x speed'!J98</f>
        <v/>
      </c>
      <c r="K89" s="110" t="str">
        <f>'Products x speed'!K98</f>
        <v/>
      </c>
      <c r="L89" s="110" t="str">
        <f>'Products x speed'!L98</f>
        <v/>
      </c>
      <c r="M89" s="110" t="str">
        <f>'Products x speed'!M98</f>
        <v/>
      </c>
      <c r="N89" s="110" t="str">
        <f>'Products x speed'!N98</f>
        <v/>
      </c>
      <c r="O89" s="110" t="str">
        <f>'Products x speed'!O98</f>
        <v/>
      </c>
      <c r="P89" s="101"/>
    </row>
    <row r="90" spans="2:16">
      <c r="B90" s="88" t="str">
        <f t="shared" si="4"/>
        <v>25G SR, eSR</v>
      </c>
      <c r="C90" s="89" t="str">
        <f t="shared" si="4"/>
        <v>100 - 300 m</v>
      </c>
      <c r="D90" s="89" t="str">
        <f t="shared" si="4"/>
        <v>SFP28</v>
      </c>
      <c r="E90" s="108">
        <f>'Products x speed'!E99</f>
        <v>187.14315701091519</v>
      </c>
      <c r="F90" s="108">
        <f>'Products x speed'!F99</f>
        <v>141.11071819746516</v>
      </c>
      <c r="G90" s="108" t="str">
        <f>'Products x speed'!G99</f>
        <v/>
      </c>
      <c r="H90" s="108" t="str">
        <f>'Products x speed'!H99</f>
        <v/>
      </c>
      <c r="I90" s="108" t="str">
        <f>'Products x speed'!I99</f>
        <v/>
      </c>
      <c r="J90" s="108" t="str">
        <f>'Products x speed'!J99</f>
        <v/>
      </c>
      <c r="K90" s="108" t="str">
        <f>'Products x speed'!K99</f>
        <v/>
      </c>
      <c r="L90" s="108" t="str">
        <f>'Products x speed'!L99</f>
        <v/>
      </c>
      <c r="M90" s="108" t="str">
        <f>'Products x speed'!M99</f>
        <v/>
      </c>
      <c r="N90" s="108" t="str">
        <f>'Products x speed'!N99</f>
        <v/>
      </c>
      <c r="O90" s="108" t="str">
        <f>'Products x speed'!O99</f>
        <v/>
      </c>
      <c r="P90" s="101"/>
    </row>
    <row r="91" spans="2:16">
      <c r="B91" s="96" t="str">
        <f t="shared" si="4"/>
        <v>25G LR</v>
      </c>
      <c r="C91" s="97" t="str">
        <f t="shared" si="4"/>
        <v>10 km</v>
      </c>
      <c r="D91" s="97" t="str">
        <f t="shared" si="4"/>
        <v>SFP28</v>
      </c>
      <c r="E91" s="110">
        <f>'Products x speed'!E100</f>
        <v>456.24032541776609</v>
      </c>
      <c r="F91" s="110">
        <f>'Products x speed'!F100</f>
        <v>324.10355668962507</v>
      </c>
      <c r="G91" s="110" t="str">
        <f>'Products x speed'!G100</f>
        <v/>
      </c>
      <c r="H91" s="110" t="str">
        <f>'Products x speed'!H100</f>
        <v/>
      </c>
      <c r="I91" s="110" t="str">
        <f>'Products x speed'!I100</f>
        <v/>
      </c>
      <c r="J91" s="110" t="str">
        <f>'Products x speed'!J100</f>
        <v/>
      </c>
      <c r="K91" s="110" t="str">
        <f>'Products x speed'!K100</f>
        <v/>
      </c>
      <c r="L91" s="110" t="str">
        <f>'Products x speed'!L100</f>
        <v/>
      </c>
      <c r="M91" s="110" t="str">
        <f>'Products x speed'!M100</f>
        <v/>
      </c>
      <c r="N91" s="110" t="str">
        <f>'Products x speed'!N100</f>
        <v/>
      </c>
      <c r="O91" s="110" t="str">
        <f>'Products x speed'!O100</f>
        <v/>
      </c>
      <c r="P91" s="101"/>
    </row>
    <row r="92" spans="2:16">
      <c r="B92" s="92" t="str">
        <f t="shared" si="4"/>
        <v>25G ER</v>
      </c>
      <c r="C92" s="93" t="str">
        <f t="shared" si="4"/>
        <v>40 km</v>
      </c>
      <c r="D92" s="93" t="str">
        <f t="shared" si="4"/>
        <v>SFP28</v>
      </c>
      <c r="E92" s="109" t="str">
        <f>'Products x speed'!E101</f>
        <v/>
      </c>
      <c r="F92" s="109" t="str">
        <f>'Products x speed'!F101</f>
        <v/>
      </c>
      <c r="G92" s="109" t="str">
        <f>'Products x speed'!G101</f>
        <v/>
      </c>
      <c r="H92" s="109" t="str">
        <f>'Products x speed'!H101</f>
        <v/>
      </c>
      <c r="I92" s="109" t="str">
        <f>'Products x speed'!I101</f>
        <v/>
      </c>
      <c r="J92" s="109" t="str">
        <f>'Products x speed'!J101</f>
        <v/>
      </c>
      <c r="K92" s="109" t="str">
        <f>'Products x speed'!K101</f>
        <v/>
      </c>
      <c r="L92" s="109" t="str">
        <f>'Products x speed'!L101</f>
        <v/>
      </c>
      <c r="M92" s="109" t="str">
        <f>'Products x speed'!M101</f>
        <v/>
      </c>
      <c r="N92" s="109" t="str">
        <f>'Products x speed'!N101</f>
        <v/>
      </c>
      <c r="O92" s="109" t="str">
        <f>'Products x speed'!O101</f>
        <v/>
      </c>
      <c r="P92" s="101"/>
    </row>
    <row r="93" spans="2:16">
      <c r="B93" s="88" t="str">
        <f t="shared" si="4"/>
        <v>40G SR4</v>
      </c>
      <c r="C93" s="89" t="str">
        <f t="shared" si="4"/>
        <v>100 m</v>
      </c>
      <c r="D93" s="90" t="str">
        <f t="shared" si="4"/>
        <v>QSFP+</v>
      </c>
      <c r="E93" s="108">
        <f>'Products x speed'!E102</f>
        <v>96.595063887564976</v>
      </c>
      <c r="F93" s="108">
        <f>'Products x speed'!F102</f>
        <v>80.379797575925679</v>
      </c>
      <c r="G93" s="108" t="str">
        <f>'Products x speed'!G102</f>
        <v/>
      </c>
      <c r="H93" s="108" t="str">
        <f>'Products x speed'!H102</f>
        <v/>
      </c>
      <c r="I93" s="108" t="str">
        <f>'Products x speed'!I102</f>
        <v/>
      </c>
      <c r="J93" s="108" t="str">
        <f>'Products x speed'!J102</f>
        <v/>
      </c>
      <c r="K93" s="108" t="str">
        <f>'Products x speed'!K102</f>
        <v/>
      </c>
      <c r="L93" s="108" t="str">
        <f>'Products x speed'!L102</f>
        <v/>
      </c>
      <c r="M93" s="108" t="str">
        <f>'Products x speed'!M102</f>
        <v/>
      </c>
      <c r="N93" s="108" t="str">
        <f>'Products x speed'!N102</f>
        <v/>
      </c>
      <c r="O93" s="108" t="str">
        <f>'Products x speed'!O102</f>
        <v/>
      </c>
      <c r="P93" s="101"/>
    </row>
    <row r="94" spans="2:16">
      <c r="B94" s="96" t="str">
        <f t="shared" si="4"/>
        <v>40G MM duplex</v>
      </c>
      <c r="C94" s="97" t="str">
        <f t="shared" si="4"/>
        <v>100 m</v>
      </c>
      <c r="D94" s="98" t="str">
        <f t="shared" si="4"/>
        <v>QSFP+</v>
      </c>
      <c r="E94" s="110">
        <f>'Products x speed'!E103</f>
        <v>250</v>
      </c>
      <c r="F94" s="110">
        <f>'Products x speed'!F103</f>
        <v>240</v>
      </c>
      <c r="G94" s="110" t="str">
        <f>'Products x speed'!G103</f>
        <v/>
      </c>
      <c r="H94" s="110" t="str">
        <f>'Products x speed'!H103</f>
        <v/>
      </c>
      <c r="I94" s="110" t="str">
        <f>'Products x speed'!I103</f>
        <v/>
      </c>
      <c r="J94" s="110" t="str">
        <f>'Products x speed'!J103</f>
        <v/>
      </c>
      <c r="K94" s="110" t="str">
        <f>'Products x speed'!K103</f>
        <v/>
      </c>
      <c r="L94" s="110" t="str">
        <f>'Products x speed'!L103</f>
        <v/>
      </c>
      <c r="M94" s="110" t="str">
        <f>'Products x speed'!M103</f>
        <v/>
      </c>
      <c r="N94" s="110" t="str">
        <f>'Products x speed'!N103</f>
        <v/>
      </c>
      <c r="O94" s="110" t="str">
        <f>'Products x speed'!O103</f>
        <v/>
      </c>
      <c r="P94" s="101"/>
    </row>
    <row r="95" spans="2:16">
      <c r="B95" s="96" t="str">
        <f t="shared" ref="B95:D114" si="5">B29</f>
        <v>40G eSR4</v>
      </c>
      <c r="C95" s="97" t="str">
        <f t="shared" si="5"/>
        <v>300 m</v>
      </c>
      <c r="D95" s="98" t="str">
        <f t="shared" si="5"/>
        <v>QSFP+</v>
      </c>
      <c r="E95" s="110">
        <f>'Products x speed'!E104</f>
        <v>106.66614587912188</v>
      </c>
      <c r="F95" s="110">
        <f>'Products x speed'!F104</f>
        <v>80.99928194026171</v>
      </c>
      <c r="G95" s="110" t="str">
        <f>'Products x speed'!G104</f>
        <v/>
      </c>
      <c r="H95" s="110" t="str">
        <f>'Products x speed'!H104</f>
        <v/>
      </c>
      <c r="I95" s="110" t="str">
        <f>'Products x speed'!I104</f>
        <v/>
      </c>
      <c r="J95" s="110" t="str">
        <f>'Products x speed'!J104</f>
        <v/>
      </c>
      <c r="K95" s="110" t="str">
        <f>'Products x speed'!K104</f>
        <v/>
      </c>
      <c r="L95" s="110" t="str">
        <f>'Products x speed'!L104</f>
        <v/>
      </c>
      <c r="M95" s="110" t="str">
        <f>'Products x speed'!M104</f>
        <v/>
      </c>
      <c r="N95" s="110" t="str">
        <f>'Products x speed'!N104</f>
        <v/>
      </c>
      <c r="O95" s="110" t="str">
        <f>'Products x speed'!O104</f>
        <v/>
      </c>
      <c r="P95" s="101"/>
    </row>
    <row r="96" spans="2:16">
      <c r="B96" s="96" t="str">
        <f t="shared" si="5"/>
        <v>40 G PSM4</v>
      </c>
      <c r="C96" s="97" t="str">
        <f t="shared" si="5"/>
        <v>500 m</v>
      </c>
      <c r="D96" s="98" t="str">
        <f t="shared" si="5"/>
        <v>QSFP+</v>
      </c>
      <c r="E96" s="110">
        <f>'Products x speed'!E105</f>
        <v>253.19068527507093</v>
      </c>
      <c r="F96" s="110">
        <f>'Products x speed'!F105</f>
        <v>262.79055146339874</v>
      </c>
      <c r="G96" s="110" t="str">
        <f>'Products x speed'!G105</f>
        <v/>
      </c>
      <c r="H96" s="110" t="str">
        <f>'Products x speed'!H105</f>
        <v/>
      </c>
      <c r="I96" s="110" t="str">
        <f>'Products x speed'!I105</f>
        <v/>
      </c>
      <c r="J96" s="110" t="str">
        <f>'Products x speed'!J105</f>
        <v/>
      </c>
      <c r="K96" s="110" t="str">
        <f>'Products x speed'!K105</f>
        <v/>
      </c>
      <c r="L96" s="110" t="str">
        <f>'Products x speed'!L105</f>
        <v/>
      </c>
      <c r="M96" s="110" t="str">
        <f>'Products x speed'!M105</f>
        <v/>
      </c>
      <c r="N96" s="110" t="str">
        <f>'Products x speed'!N105</f>
        <v/>
      </c>
      <c r="O96" s="110" t="str">
        <f>'Products x speed'!O105</f>
        <v/>
      </c>
      <c r="P96" s="101"/>
    </row>
    <row r="97" spans="2:16">
      <c r="B97" s="96" t="str">
        <f t="shared" si="5"/>
        <v>40G (FR)</v>
      </c>
      <c r="C97" s="97" t="str">
        <f t="shared" si="5"/>
        <v>2 km</v>
      </c>
      <c r="D97" s="98" t="str">
        <f t="shared" si="5"/>
        <v>CFP</v>
      </c>
      <c r="E97" s="110">
        <f>'Products x speed'!E106</f>
        <v>4569.894941368153</v>
      </c>
      <c r="F97" s="110">
        <f>'Products x speed'!F106</f>
        <v>5251.681208639473</v>
      </c>
      <c r="G97" s="110" t="str">
        <f>'Products x speed'!G106</f>
        <v/>
      </c>
      <c r="H97" s="110" t="str">
        <f>'Products x speed'!H106</f>
        <v/>
      </c>
      <c r="I97" s="110" t="str">
        <f>'Products x speed'!I106</f>
        <v/>
      </c>
      <c r="J97" s="110" t="str">
        <f>'Products x speed'!J106</f>
        <v/>
      </c>
      <c r="K97" s="110" t="str">
        <f>'Products x speed'!K106</f>
        <v/>
      </c>
      <c r="L97" s="110" t="str">
        <f>'Products x speed'!L106</f>
        <v/>
      </c>
      <c r="M97" s="110" t="str">
        <f>'Products x speed'!M106</f>
        <v/>
      </c>
      <c r="N97" s="110" t="str">
        <f>'Products x speed'!N106</f>
        <v/>
      </c>
      <c r="O97" s="110" t="str">
        <f>'Products x speed'!O106</f>
        <v/>
      </c>
      <c r="P97" s="101"/>
    </row>
    <row r="98" spans="2:16">
      <c r="B98" s="96" t="str">
        <f t="shared" si="5"/>
        <v>40G (LR4 subspec)</v>
      </c>
      <c r="C98" s="97" t="str">
        <f t="shared" si="5"/>
        <v>2 km</v>
      </c>
      <c r="D98" s="98" t="str">
        <f t="shared" si="5"/>
        <v>QSFP+</v>
      </c>
      <c r="E98" s="110">
        <f>'Products x speed'!E107</f>
        <v>377.60055209491952</v>
      </c>
      <c r="F98" s="110">
        <f>'Products x speed'!F107</f>
        <v>343.5254726908467</v>
      </c>
      <c r="G98" s="110" t="str">
        <f>'Products x speed'!G107</f>
        <v/>
      </c>
      <c r="H98" s="110" t="str">
        <f>'Products x speed'!H107</f>
        <v/>
      </c>
      <c r="I98" s="110" t="str">
        <f>'Products x speed'!I107</f>
        <v/>
      </c>
      <c r="J98" s="110" t="str">
        <f>'Products x speed'!J107</f>
        <v/>
      </c>
      <c r="K98" s="110" t="str">
        <f>'Products x speed'!K107</f>
        <v/>
      </c>
      <c r="L98" s="110" t="str">
        <f>'Products x speed'!L107</f>
        <v/>
      </c>
      <c r="M98" s="110" t="str">
        <f>'Products x speed'!M107</f>
        <v/>
      </c>
      <c r="N98" s="110" t="str">
        <f>'Products x speed'!N107</f>
        <v/>
      </c>
      <c r="O98" s="110" t="str">
        <f>'Products x speed'!O107</f>
        <v/>
      </c>
      <c r="P98" s="101"/>
    </row>
    <row r="99" spans="2:16">
      <c r="B99" s="96" t="str">
        <f t="shared" si="5"/>
        <v>40G</v>
      </c>
      <c r="C99" s="97" t="str">
        <f t="shared" si="5"/>
        <v>10 km</v>
      </c>
      <c r="D99" s="98" t="str">
        <f t="shared" si="5"/>
        <v>CFP</v>
      </c>
      <c r="E99" s="110">
        <f>'Products x speed'!E108</f>
        <v>1174.9655306999969</v>
      </c>
      <c r="F99" s="110">
        <f>'Products x speed'!F108</f>
        <v>1350.8997571323105</v>
      </c>
      <c r="G99" s="110" t="str">
        <f>'Products x speed'!G108</f>
        <v/>
      </c>
      <c r="H99" s="110" t="str">
        <f>'Products x speed'!H108</f>
        <v/>
      </c>
      <c r="I99" s="110" t="str">
        <f>'Products x speed'!I108</f>
        <v/>
      </c>
      <c r="J99" s="110" t="str">
        <f>'Products x speed'!J108</f>
        <v/>
      </c>
      <c r="K99" s="110" t="str">
        <f>'Products x speed'!K108</f>
        <v/>
      </c>
      <c r="L99" s="110" t="str">
        <f>'Products x speed'!L108</f>
        <v/>
      </c>
      <c r="M99" s="110" t="str">
        <f>'Products x speed'!M108</f>
        <v/>
      </c>
      <c r="N99" s="110" t="str">
        <f>'Products x speed'!N108</f>
        <v/>
      </c>
      <c r="O99" s="110" t="str">
        <f>'Products x speed'!O108</f>
        <v/>
      </c>
      <c r="P99" s="101"/>
    </row>
    <row r="100" spans="2:16">
      <c r="B100" s="96" t="str">
        <f t="shared" si="5"/>
        <v>40G</v>
      </c>
      <c r="C100" s="97" t="str">
        <f t="shared" si="5"/>
        <v>10 km</v>
      </c>
      <c r="D100" s="98" t="str">
        <f t="shared" si="5"/>
        <v>QSFP+</v>
      </c>
      <c r="E100" s="110">
        <f>'Products x speed'!E109</f>
        <v>427.72742888770347</v>
      </c>
      <c r="F100" s="110">
        <f>'Products x speed'!F109</f>
        <v>401.36672508917627</v>
      </c>
      <c r="G100" s="110" t="str">
        <f>'Products x speed'!G109</f>
        <v/>
      </c>
      <c r="H100" s="110" t="str">
        <f>'Products x speed'!H109</f>
        <v/>
      </c>
      <c r="I100" s="110" t="str">
        <f>'Products x speed'!I109</f>
        <v/>
      </c>
      <c r="J100" s="110" t="str">
        <f>'Products x speed'!J109</f>
        <v/>
      </c>
      <c r="K100" s="110" t="str">
        <f>'Products x speed'!K109</f>
        <v/>
      </c>
      <c r="L100" s="110" t="str">
        <f>'Products x speed'!L109</f>
        <v/>
      </c>
      <c r="M100" s="110" t="str">
        <f>'Products x speed'!M109</f>
        <v/>
      </c>
      <c r="N100" s="110" t="str">
        <f>'Products x speed'!N109</f>
        <v/>
      </c>
      <c r="O100" s="110" t="str">
        <f>'Products x speed'!O109</f>
        <v/>
      </c>
      <c r="P100" s="101"/>
    </row>
    <row r="101" spans="2:16">
      <c r="B101" s="92" t="str">
        <f t="shared" si="5"/>
        <v>40G</v>
      </c>
      <c r="C101" s="93" t="str">
        <f t="shared" si="5"/>
        <v>40 km</v>
      </c>
      <c r="D101" s="94" t="str">
        <f t="shared" si="5"/>
        <v>QSFP+</v>
      </c>
      <c r="E101" s="109">
        <f>'Products x speed'!E110</f>
        <v>1673.0572324239708</v>
      </c>
      <c r="F101" s="109">
        <f>'Products x speed'!F110</f>
        <v>1459.2330281290015</v>
      </c>
      <c r="G101" s="109" t="str">
        <f>'Products x speed'!G110</f>
        <v/>
      </c>
      <c r="H101" s="109" t="str">
        <f>'Products x speed'!H110</f>
        <v/>
      </c>
      <c r="I101" s="109" t="str">
        <f>'Products x speed'!I110</f>
        <v/>
      </c>
      <c r="J101" s="109" t="str">
        <f>'Products x speed'!J110</f>
        <v/>
      </c>
      <c r="K101" s="109" t="str">
        <f>'Products x speed'!K110</f>
        <v/>
      </c>
      <c r="L101" s="109" t="str">
        <f>'Products x speed'!L110</f>
        <v/>
      </c>
      <c r="M101" s="109" t="str">
        <f>'Products x speed'!M110</f>
        <v/>
      </c>
      <c r="N101" s="109" t="str">
        <f>'Products x speed'!N110</f>
        <v/>
      </c>
      <c r="O101" s="109" t="str">
        <f>'Products x speed'!O110</f>
        <v/>
      </c>
      <c r="P101" s="101"/>
    </row>
    <row r="102" spans="2:16">
      <c r="B102" s="88" t="str">
        <f t="shared" si="5"/>
        <v xml:space="preserve">50G </v>
      </c>
      <c r="C102" s="89" t="str">
        <f t="shared" si="5"/>
        <v>100 m</v>
      </c>
      <c r="D102" s="89" t="str">
        <f t="shared" si="5"/>
        <v>all</v>
      </c>
      <c r="E102" s="108" t="str">
        <f>'Products x speed'!E111</f>
        <v/>
      </c>
      <c r="F102" s="108" t="str">
        <f>'Products x speed'!F111</f>
        <v/>
      </c>
      <c r="G102" s="108" t="str">
        <f>'Products x speed'!G111</f>
        <v/>
      </c>
      <c r="H102" s="108" t="str">
        <f>'Products x speed'!H111</f>
        <v/>
      </c>
      <c r="I102" s="108" t="str">
        <f>'Products x speed'!I111</f>
        <v/>
      </c>
      <c r="J102" s="108" t="str">
        <f>'Products x speed'!J111</f>
        <v/>
      </c>
      <c r="K102" s="108" t="str">
        <f>'Products x speed'!K111</f>
        <v/>
      </c>
      <c r="L102" s="108" t="str">
        <f>'Products x speed'!L111</f>
        <v/>
      </c>
      <c r="M102" s="108" t="str">
        <f>'Products x speed'!M111</f>
        <v/>
      </c>
      <c r="N102" s="108" t="str">
        <f>'Products x speed'!N111</f>
        <v/>
      </c>
      <c r="O102" s="108" t="str">
        <f>'Products x speed'!O111</f>
        <v/>
      </c>
      <c r="P102" s="101"/>
    </row>
    <row r="103" spans="2:16">
      <c r="B103" s="96" t="str">
        <f t="shared" si="5"/>
        <v xml:space="preserve">50G </v>
      </c>
      <c r="C103" s="97" t="str">
        <f t="shared" si="5"/>
        <v>2 km</v>
      </c>
      <c r="D103" s="97" t="str">
        <f t="shared" si="5"/>
        <v>all</v>
      </c>
      <c r="E103" s="110" t="str">
        <f>'Products x speed'!E112</f>
        <v/>
      </c>
      <c r="F103" s="110" t="str">
        <f>'Products x speed'!F112</f>
        <v/>
      </c>
      <c r="G103" s="110" t="str">
        <f>'Products x speed'!G112</f>
        <v/>
      </c>
      <c r="H103" s="110" t="str">
        <f>'Products x speed'!H112</f>
        <v/>
      </c>
      <c r="I103" s="110" t="str">
        <f>'Products x speed'!I112</f>
        <v/>
      </c>
      <c r="J103" s="110" t="str">
        <f>'Products x speed'!J112</f>
        <v/>
      </c>
      <c r="K103" s="110" t="str">
        <f>'Products x speed'!K112</f>
        <v/>
      </c>
      <c r="L103" s="110" t="str">
        <f>'Products x speed'!L112</f>
        <v/>
      </c>
      <c r="M103" s="110" t="str">
        <f>'Products x speed'!M112</f>
        <v/>
      </c>
      <c r="N103" s="110" t="str">
        <f>'Products x speed'!N112</f>
        <v/>
      </c>
      <c r="O103" s="110" t="str">
        <f>'Products x speed'!O112</f>
        <v/>
      </c>
      <c r="P103" s="101"/>
    </row>
    <row r="104" spans="2:16">
      <c r="B104" s="96" t="str">
        <f t="shared" si="5"/>
        <v xml:space="preserve">50G </v>
      </c>
      <c r="C104" s="97" t="str">
        <f t="shared" si="5"/>
        <v>10 km</v>
      </c>
      <c r="D104" s="97" t="str">
        <f t="shared" si="5"/>
        <v>all</v>
      </c>
      <c r="E104" s="110" t="str">
        <f>'Products x speed'!E113</f>
        <v/>
      </c>
      <c r="F104" s="110" t="str">
        <f>'Products x speed'!F113</f>
        <v/>
      </c>
      <c r="G104" s="110" t="str">
        <f>'Products x speed'!G113</f>
        <v/>
      </c>
      <c r="H104" s="110" t="str">
        <f>'Products x speed'!H113</f>
        <v/>
      </c>
      <c r="I104" s="110" t="str">
        <f>'Products x speed'!I113</f>
        <v/>
      </c>
      <c r="J104" s="110" t="str">
        <f>'Products x speed'!J113</f>
        <v/>
      </c>
      <c r="K104" s="110" t="str">
        <f>'Products x speed'!K113</f>
        <v/>
      </c>
      <c r="L104" s="110" t="str">
        <f>'Products x speed'!L113</f>
        <v/>
      </c>
      <c r="M104" s="110" t="str">
        <f>'Products x speed'!M113</f>
        <v/>
      </c>
      <c r="N104" s="110" t="str">
        <f>'Products x speed'!N113</f>
        <v/>
      </c>
      <c r="O104" s="110" t="str">
        <f>'Products x speed'!O113</f>
        <v/>
      </c>
      <c r="P104" s="101"/>
    </row>
    <row r="105" spans="2:16">
      <c r="B105" s="88" t="str">
        <f t="shared" si="5"/>
        <v>100G SR4</v>
      </c>
      <c r="C105" s="89" t="str">
        <f t="shared" si="5"/>
        <v>100 m</v>
      </c>
      <c r="D105" s="90" t="str">
        <f t="shared" si="5"/>
        <v>CFP</v>
      </c>
      <c r="E105" s="110">
        <f>'Products x speed'!E114</f>
        <v>1422.7039686825053</v>
      </c>
      <c r="F105" s="110">
        <f>'Products x speed'!F114</f>
        <v>1273.3986691740201</v>
      </c>
      <c r="G105" s="110" t="str">
        <f>'Products x speed'!G114</f>
        <v/>
      </c>
      <c r="H105" s="110" t="str">
        <f>'Products x speed'!H114</f>
        <v/>
      </c>
      <c r="I105" s="110" t="str">
        <f>'Products x speed'!I114</f>
        <v/>
      </c>
      <c r="J105" s="110" t="str">
        <f>'Products x speed'!J114</f>
        <v/>
      </c>
      <c r="K105" s="110" t="str">
        <f>'Products x speed'!K114</f>
        <v/>
      </c>
      <c r="L105" s="110" t="str">
        <f>'Products x speed'!L114</f>
        <v/>
      </c>
      <c r="M105" s="110" t="str">
        <f>'Products x speed'!M114</f>
        <v/>
      </c>
      <c r="N105" s="110" t="str">
        <f>'Products x speed'!N114</f>
        <v/>
      </c>
      <c r="O105" s="110" t="str">
        <f>'Products x speed'!O114</f>
        <v/>
      </c>
      <c r="P105" s="101"/>
    </row>
    <row r="106" spans="2:16">
      <c r="B106" s="96" t="str">
        <f t="shared" si="5"/>
        <v>100G SR4</v>
      </c>
      <c r="C106" s="97" t="str">
        <f t="shared" si="5"/>
        <v>100 m</v>
      </c>
      <c r="D106" s="98" t="str">
        <f t="shared" si="5"/>
        <v>CFP2/4</v>
      </c>
      <c r="E106" s="110">
        <f>'Products x speed'!E115</f>
        <v>1204.7629951912068</v>
      </c>
      <c r="F106" s="110">
        <f>'Products x speed'!F115</f>
        <v>1092.608197443808</v>
      </c>
      <c r="G106" s="110" t="str">
        <f>'Products x speed'!G115</f>
        <v/>
      </c>
      <c r="H106" s="110" t="str">
        <f>'Products x speed'!H115</f>
        <v/>
      </c>
      <c r="I106" s="110" t="str">
        <f>'Products x speed'!I115</f>
        <v/>
      </c>
      <c r="J106" s="110" t="str">
        <f>'Products x speed'!J115</f>
        <v/>
      </c>
      <c r="K106" s="110" t="str">
        <f>'Products x speed'!K115</f>
        <v/>
      </c>
      <c r="L106" s="110" t="str">
        <f>'Products x speed'!L115</f>
        <v/>
      </c>
      <c r="M106" s="110" t="str">
        <f>'Products x speed'!M115</f>
        <v/>
      </c>
      <c r="N106" s="110" t="str">
        <f>'Products x speed'!N115</f>
        <v/>
      </c>
      <c r="O106" s="110" t="str">
        <f>'Products x speed'!O115</f>
        <v/>
      </c>
      <c r="P106" s="101"/>
    </row>
    <row r="107" spans="2:16">
      <c r="B107" s="96" t="str">
        <f t="shared" si="5"/>
        <v>100G SR4</v>
      </c>
      <c r="C107" s="97" t="str">
        <f t="shared" si="5"/>
        <v>100 m</v>
      </c>
      <c r="D107" s="98" t="str">
        <f t="shared" si="5"/>
        <v>QSFP28</v>
      </c>
      <c r="E107" s="110">
        <f>'Products x speed'!E116</f>
        <v>258.09426618771823</v>
      </c>
      <c r="F107" s="110">
        <f>'Products x speed'!F116</f>
        <v>182.02277386466108</v>
      </c>
      <c r="G107" s="110" t="str">
        <f>'Products x speed'!G116</f>
        <v/>
      </c>
      <c r="H107" s="110" t="str">
        <f>'Products x speed'!H116</f>
        <v/>
      </c>
      <c r="I107" s="110" t="str">
        <f>'Products x speed'!I116</f>
        <v/>
      </c>
      <c r="J107" s="110" t="str">
        <f>'Products x speed'!J116</f>
        <v/>
      </c>
      <c r="K107" s="110" t="str">
        <f>'Products x speed'!K116</f>
        <v/>
      </c>
      <c r="L107" s="110" t="str">
        <f>'Products x speed'!L116</f>
        <v/>
      </c>
      <c r="M107" s="110" t="str">
        <f>'Products x speed'!M116</f>
        <v/>
      </c>
      <c r="N107" s="110" t="str">
        <f>'Products x speed'!N116</f>
        <v/>
      </c>
      <c r="O107" s="110" t="str">
        <f>'Products x speed'!O116</f>
        <v/>
      </c>
      <c r="P107" s="101"/>
    </row>
    <row r="108" spans="2:16">
      <c r="B108" s="96" t="str">
        <f t="shared" si="5"/>
        <v>100G SR2</v>
      </c>
      <c r="C108" s="97" t="str">
        <f t="shared" si="5"/>
        <v>100 m</v>
      </c>
      <c r="D108" s="98" t="str">
        <f t="shared" si="5"/>
        <v>All</v>
      </c>
      <c r="E108" s="110" t="str">
        <f>'Products x speed'!E117</f>
        <v/>
      </c>
      <c r="F108" s="110" t="str">
        <f>'Products x speed'!F117</f>
        <v/>
      </c>
      <c r="G108" s="110" t="str">
        <f>'Products x speed'!G117</f>
        <v/>
      </c>
      <c r="H108" s="110" t="str">
        <f>'Products x speed'!H117</f>
        <v/>
      </c>
      <c r="I108" s="110" t="str">
        <f>'Products x speed'!I117</f>
        <v/>
      </c>
      <c r="J108" s="110" t="str">
        <f>'Products x speed'!J117</f>
        <v/>
      </c>
      <c r="K108" s="110" t="str">
        <f>'Products x speed'!K117</f>
        <v/>
      </c>
      <c r="L108" s="110" t="str">
        <f>'Products x speed'!L117</f>
        <v/>
      </c>
      <c r="M108" s="110" t="str">
        <f>'Products x speed'!M117</f>
        <v/>
      </c>
      <c r="N108" s="110" t="str">
        <f>'Products x speed'!N117</f>
        <v/>
      </c>
      <c r="O108" s="110" t="str">
        <f>'Products x speed'!O117</f>
        <v/>
      </c>
      <c r="P108" s="101"/>
    </row>
    <row r="109" spans="2:16">
      <c r="B109" s="96" t="str">
        <f t="shared" si="5"/>
        <v>100G MM Duplex</v>
      </c>
      <c r="C109" s="97" t="str">
        <f t="shared" si="5"/>
        <v>100 - 300 m</v>
      </c>
      <c r="D109" s="98" t="str">
        <f t="shared" si="5"/>
        <v>QSFP28</v>
      </c>
      <c r="E109" s="110" t="str">
        <f>'Products x speed'!E118</f>
        <v/>
      </c>
      <c r="F109" s="110" t="str">
        <f>'Products x speed'!F118</f>
        <v/>
      </c>
      <c r="G109" s="110" t="str">
        <f>'Products x speed'!G118</f>
        <v/>
      </c>
      <c r="H109" s="110" t="str">
        <f>'Products x speed'!H118</f>
        <v/>
      </c>
      <c r="I109" s="110" t="str">
        <f>'Products x speed'!I118</f>
        <v/>
      </c>
      <c r="J109" s="110" t="str">
        <f>'Products x speed'!J118</f>
        <v/>
      </c>
      <c r="K109" s="110" t="str">
        <f>'Products x speed'!K118</f>
        <v/>
      </c>
      <c r="L109" s="110" t="str">
        <f>'Products x speed'!L118</f>
        <v/>
      </c>
      <c r="M109" s="110" t="str">
        <f>'Products x speed'!M118</f>
        <v/>
      </c>
      <c r="N109" s="110" t="str">
        <f>'Products x speed'!N118</f>
        <v/>
      </c>
      <c r="O109" s="110" t="str">
        <f>'Products x speed'!O118</f>
        <v/>
      </c>
      <c r="P109" s="101"/>
    </row>
    <row r="110" spans="2:16">
      <c r="B110" s="96" t="str">
        <f t="shared" si="5"/>
        <v>100G eSR4</v>
      </c>
      <c r="C110" s="97" t="str">
        <f t="shared" si="5"/>
        <v>300 m</v>
      </c>
      <c r="D110" s="98" t="str">
        <f t="shared" si="5"/>
        <v>QSFP28</v>
      </c>
      <c r="E110" s="110" t="str">
        <f>'Products x speed'!E119</f>
        <v/>
      </c>
      <c r="F110" s="110" t="str">
        <f>'Products x speed'!F119</f>
        <v/>
      </c>
      <c r="G110" s="110" t="str">
        <f>'Products x speed'!G119</f>
        <v/>
      </c>
      <c r="H110" s="110" t="str">
        <f>'Products x speed'!H119</f>
        <v/>
      </c>
      <c r="I110" s="110" t="str">
        <f>'Products x speed'!I119</f>
        <v/>
      </c>
      <c r="J110" s="110" t="str">
        <f>'Products x speed'!J119</f>
        <v/>
      </c>
      <c r="K110" s="110" t="str">
        <f>'Products x speed'!K119</f>
        <v/>
      </c>
      <c r="L110" s="110" t="str">
        <f>'Products x speed'!L119</f>
        <v/>
      </c>
      <c r="M110" s="110" t="str">
        <f>'Products x speed'!M119</f>
        <v/>
      </c>
      <c r="N110" s="110" t="str">
        <f>'Products x speed'!N119</f>
        <v/>
      </c>
      <c r="O110" s="110" t="str">
        <f>'Products x speed'!O119</f>
        <v/>
      </c>
      <c r="P110" s="101"/>
    </row>
    <row r="111" spans="2:16">
      <c r="B111" s="96" t="str">
        <f t="shared" si="5"/>
        <v>100G PSM4</v>
      </c>
      <c r="C111" s="97" t="str">
        <f t="shared" si="5"/>
        <v>500 m</v>
      </c>
      <c r="D111" s="98" t="str">
        <f t="shared" si="5"/>
        <v>QSFP28</v>
      </c>
      <c r="E111" s="110">
        <f>'Products x speed'!E120</f>
        <v>337.41687156790022</v>
      </c>
      <c r="F111" s="110">
        <f>'Products x speed'!F120</f>
        <v>222.65569307558187</v>
      </c>
      <c r="G111" s="110" t="str">
        <f>'Products x speed'!G120</f>
        <v/>
      </c>
      <c r="H111" s="110" t="str">
        <f>'Products x speed'!H120</f>
        <v/>
      </c>
      <c r="I111" s="110" t="str">
        <f>'Products x speed'!I120</f>
        <v/>
      </c>
      <c r="J111" s="110" t="str">
        <f>'Products x speed'!J120</f>
        <v/>
      </c>
      <c r="K111" s="110" t="str">
        <f>'Products x speed'!K120</f>
        <v/>
      </c>
      <c r="L111" s="110" t="str">
        <f>'Products x speed'!L120</f>
        <v/>
      </c>
      <c r="M111" s="110" t="str">
        <f>'Products x speed'!M120</f>
        <v/>
      </c>
      <c r="N111" s="110" t="str">
        <f>'Products x speed'!N120</f>
        <v/>
      </c>
      <c r="O111" s="110" t="str">
        <f>'Products x speed'!O120</f>
        <v/>
      </c>
      <c r="P111" s="101"/>
    </row>
    <row r="112" spans="2:16">
      <c r="B112" s="96" t="str">
        <f t="shared" si="5"/>
        <v>100G DR/DR+</v>
      </c>
      <c r="C112" s="97" t="str">
        <f t="shared" si="5"/>
        <v>500m, 2km</v>
      </c>
      <c r="D112" s="98" t="str">
        <f t="shared" si="5"/>
        <v>QSFP28</v>
      </c>
      <c r="E112" s="110" t="str">
        <f>'Products x speed'!E121</f>
        <v/>
      </c>
      <c r="F112" s="110" t="str">
        <f>'Products x speed'!F121</f>
        <v/>
      </c>
      <c r="G112" s="110" t="str">
        <f>'Products x speed'!G121</f>
        <v/>
      </c>
      <c r="H112" s="110" t="str">
        <f>'Products x speed'!H121</f>
        <v/>
      </c>
      <c r="I112" s="110" t="str">
        <f>'Products x speed'!I121</f>
        <v/>
      </c>
      <c r="J112" s="110" t="str">
        <f>'Products x speed'!J121</f>
        <v/>
      </c>
      <c r="K112" s="110" t="str">
        <f>'Products x speed'!K121</f>
        <v/>
      </c>
      <c r="L112" s="110" t="str">
        <f>'Products x speed'!L121</f>
        <v/>
      </c>
      <c r="M112" s="110" t="str">
        <f>'Products x speed'!M121</f>
        <v/>
      </c>
      <c r="N112" s="110" t="str">
        <f>'Products x speed'!N121</f>
        <v/>
      </c>
      <c r="O112" s="110" t="str">
        <f>'Products x speed'!O121</f>
        <v/>
      </c>
      <c r="P112" s="101"/>
    </row>
    <row r="113" spans="2:16">
      <c r="B113" s="96" t="str">
        <f t="shared" si="5"/>
        <v>100G CWDM4-subspec</v>
      </c>
      <c r="C113" s="97" t="str">
        <f t="shared" si="5"/>
        <v>500 m</v>
      </c>
      <c r="D113" s="98" t="str">
        <f t="shared" si="5"/>
        <v>QSFP28</v>
      </c>
      <c r="E113" s="110">
        <f>'Products x speed'!E122</f>
        <v>625</v>
      </c>
      <c r="F113" s="110">
        <f>'Products x speed'!F122</f>
        <v>450</v>
      </c>
      <c r="G113" s="110" t="str">
        <f>'Products x speed'!G122</f>
        <v/>
      </c>
      <c r="H113" s="110" t="str">
        <f>'Products x speed'!H122</f>
        <v/>
      </c>
      <c r="I113" s="110" t="str">
        <f>'Products x speed'!I122</f>
        <v/>
      </c>
      <c r="J113" s="110" t="str">
        <f>'Products x speed'!J122</f>
        <v/>
      </c>
      <c r="K113" s="110" t="str">
        <f>'Products x speed'!K122</f>
        <v/>
      </c>
      <c r="L113" s="110" t="str">
        <f>'Products x speed'!L122</f>
        <v/>
      </c>
      <c r="M113" s="110" t="str">
        <f>'Products x speed'!M122</f>
        <v/>
      </c>
      <c r="N113" s="110" t="str">
        <f>'Products x speed'!N122</f>
        <v/>
      </c>
      <c r="O113" s="110" t="str">
        <f>'Products x speed'!O122</f>
        <v/>
      </c>
      <c r="P113" s="101"/>
    </row>
    <row r="114" spans="2:16">
      <c r="B114" s="96" t="str">
        <f t="shared" si="5"/>
        <v>100G CWDM4</v>
      </c>
      <c r="C114" s="97" t="str">
        <f t="shared" si="5"/>
        <v>2 km</v>
      </c>
      <c r="D114" s="98" t="str">
        <f t="shared" si="5"/>
        <v>QSFP28</v>
      </c>
      <c r="E114" s="110">
        <f>'Products x speed'!E123</f>
        <v>825</v>
      </c>
      <c r="F114" s="110">
        <f>'Products x speed'!F123</f>
        <v>650</v>
      </c>
      <c r="G114" s="110" t="str">
        <f>'Products x speed'!G123</f>
        <v/>
      </c>
      <c r="H114" s="110" t="str">
        <f>'Products x speed'!H123</f>
        <v/>
      </c>
      <c r="I114" s="110" t="str">
        <f>'Products x speed'!I123</f>
        <v/>
      </c>
      <c r="J114" s="110" t="str">
        <f>'Products x speed'!J123</f>
        <v/>
      </c>
      <c r="K114" s="110" t="str">
        <f>'Products x speed'!K123</f>
        <v/>
      </c>
      <c r="L114" s="110" t="str">
        <f>'Products x speed'!L123</f>
        <v/>
      </c>
      <c r="M114" s="110" t="str">
        <f>'Products x speed'!M123</f>
        <v/>
      </c>
      <c r="N114" s="110" t="str">
        <f>'Products x speed'!N123</f>
        <v/>
      </c>
      <c r="O114" s="110" t="str">
        <f>'Products x speed'!O123</f>
        <v/>
      </c>
      <c r="P114" s="101"/>
    </row>
    <row r="115" spans="2:16">
      <c r="B115" s="96" t="str">
        <f t="shared" ref="B115:D134" si="6">B49</f>
        <v>100G FR1</v>
      </c>
      <c r="C115" s="97" t="str">
        <f t="shared" si="6"/>
        <v>2 km</v>
      </c>
      <c r="D115" s="98" t="str">
        <f t="shared" si="6"/>
        <v>QSFP28</v>
      </c>
      <c r="E115" s="110" t="str">
        <f>'Products x speed'!E124</f>
        <v/>
      </c>
      <c r="F115" s="110" t="str">
        <f>'Products x speed'!F124</f>
        <v/>
      </c>
      <c r="G115" s="110" t="str">
        <f>'Products x speed'!G124</f>
        <v/>
      </c>
      <c r="H115" s="110" t="str">
        <f>'Products x speed'!H124</f>
        <v/>
      </c>
      <c r="I115" s="110" t="str">
        <f>'Products x speed'!I124</f>
        <v/>
      </c>
      <c r="J115" s="110" t="str">
        <f>'Products x speed'!J124</f>
        <v/>
      </c>
      <c r="K115" s="110" t="str">
        <f>'Products x speed'!K124</f>
        <v/>
      </c>
      <c r="L115" s="110" t="str">
        <f>'Products x speed'!L124</f>
        <v/>
      </c>
      <c r="M115" s="110" t="str">
        <f>'Products x speed'!M124</f>
        <v/>
      </c>
      <c r="N115" s="110" t="str">
        <f>'Products x speed'!N124</f>
        <v/>
      </c>
      <c r="O115" s="110" t="str">
        <f>'Products x speed'!O124</f>
        <v/>
      </c>
      <c r="P115" s="101"/>
    </row>
    <row r="116" spans="2:16">
      <c r="B116" s="96" t="str">
        <f t="shared" si="6"/>
        <v>100G LR4</v>
      </c>
      <c r="C116" s="97" t="str">
        <f t="shared" si="6"/>
        <v>10 km</v>
      </c>
      <c r="D116" s="98" t="str">
        <f t="shared" si="6"/>
        <v>CFP</v>
      </c>
      <c r="E116" s="110">
        <f>'Products x speed'!E125</f>
        <v>3527.8709620331333</v>
      </c>
      <c r="F116" s="110">
        <f>'Products x speed'!F125</f>
        <v>2768.0701132780364</v>
      </c>
      <c r="G116" s="110" t="str">
        <f>'Products x speed'!G125</f>
        <v/>
      </c>
      <c r="H116" s="110" t="str">
        <f>'Products x speed'!H125</f>
        <v/>
      </c>
      <c r="I116" s="110" t="str">
        <f>'Products x speed'!I125</f>
        <v/>
      </c>
      <c r="J116" s="110" t="str">
        <f>'Products x speed'!J125</f>
        <v/>
      </c>
      <c r="K116" s="110" t="str">
        <f>'Products x speed'!K125</f>
        <v/>
      </c>
      <c r="L116" s="110" t="str">
        <f>'Products x speed'!L125</f>
        <v/>
      </c>
      <c r="M116" s="110" t="str">
        <f>'Products x speed'!M125</f>
        <v/>
      </c>
      <c r="N116" s="110" t="str">
        <f>'Products x speed'!N125</f>
        <v/>
      </c>
      <c r="O116" s="110" t="str">
        <f>'Products x speed'!O125</f>
        <v/>
      </c>
      <c r="P116" s="101"/>
    </row>
    <row r="117" spans="2:16">
      <c r="B117" s="96" t="str">
        <f t="shared" si="6"/>
        <v>100G LR4</v>
      </c>
      <c r="C117" s="97" t="str">
        <f t="shared" si="6"/>
        <v>10 km</v>
      </c>
      <c r="D117" s="98" t="str">
        <f t="shared" si="6"/>
        <v>CFP2/4</v>
      </c>
      <c r="E117" s="110">
        <f>'Products x speed'!E126</f>
        <v>2882.5268681316725</v>
      </c>
      <c r="F117" s="110">
        <f>'Products x speed'!F126</f>
        <v>2140.3307221126156</v>
      </c>
      <c r="G117" s="110" t="str">
        <f>'Products x speed'!G126</f>
        <v/>
      </c>
      <c r="H117" s="110" t="str">
        <f>'Products x speed'!H126</f>
        <v/>
      </c>
      <c r="I117" s="110" t="str">
        <f>'Products x speed'!I126</f>
        <v/>
      </c>
      <c r="J117" s="110" t="str">
        <f>'Products x speed'!J126</f>
        <v/>
      </c>
      <c r="K117" s="110" t="str">
        <f>'Products x speed'!K126</f>
        <v/>
      </c>
      <c r="L117" s="110" t="str">
        <f>'Products x speed'!L126</f>
        <v/>
      </c>
      <c r="M117" s="110" t="str">
        <f>'Products x speed'!M126</f>
        <v/>
      </c>
      <c r="N117" s="110" t="str">
        <f>'Products x speed'!N126</f>
        <v/>
      </c>
      <c r="O117" s="110" t="str">
        <f>'Products x speed'!O126</f>
        <v/>
      </c>
      <c r="P117" s="101"/>
    </row>
    <row r="118" spans="2:16">
      <c r="B118" s="96" t="str">
        <f t="shared" si="6"/>
        <v>100G LR4 and LR1</v>
      </c>
      <c r="C118" s="97" t="str">
        <f t="shared" si="6"/>
        <v>10 km</v>
      </c>
      <c r="D118" s="98" t="str">
        <f t="shared" si="6"/>
        <v>QSFP28</v>
      </c>
      <c r="E118" s="110">
        <f>'Products x speed'!E127</f>
        <v>1938.1501024552811</v>
      </c>
      <c r="F118" s="110">
        <f>'Products x speed'!F127</f>
        <v>1200</v>
      </c>
      <c r="G118" s="110" t="str">
        <f>'Products x speed'!G127</f>
        <v/>
      </c>
      <c r="H118" s="110" t="str">
        <f>'Products x speed'!H127</f>
        <v/>
      </c>
      <c r="I118" s="110" t="str">
        <f>'Products x speed'!I127</f>
        <v/>
      </c>
      <c r="J118" s="110" t="str">
        <f>'Products x speed'!J127</f>
        <v/>
      </c>
      <c r="K118" s="110" t="str">
        <f>'Products x speed'!K127</f>
        <v/>
      </c>
      <c r="L118" s="110" t="str">
        <f>'Products x speed'!L127</f>
        <v/>
      </c>
      <c r="M118" s="110" t="str">
        <f>'Products x speed'!M127</f>
        <v/>
      </c>
      <c r="N118" s="110" t="str">
        <f>'Products x speed'!N127</f>
        <v/>
      </c>
      <c r="O118" s="110" t="str">
        <f>'Products x speed'!O127</f>
        <v/>
      </c>
      <c r="P118" s="101"/>
    </row>
    <row r="119" spans="2:16">
      <c r="B119" s="96" t="str">
        <f t="shared" si="6"/>
        <v>100G 4WDM10</v>
      </c>
      <c r="C119" s="97" t="str">
        <f t="shared" si="6"/>
        <v>10 km</v>
      </c>
      <c r="D119" s="98" t="str">
        <f t="shared" si="6"/>
        <v>QSFP28</v>
      </c>
      <c r="E119" s="110" t="str">
        <f>'Products x speed'!E128</f>
        <v/>
      </c>
      <c r="F119" s="110">
        <f>'Products x speed'!F128</f>
        <v>500</v>
      </c>
      <c r="G119" s="110" t="str">
        <f>'Products x speed'!G128</f>
        <v/>
      </c>
      <c r="H119" s="110" t="str">
        <f>'Products x speed'!H128</f>
        <v/>
      </c>
      <c r="I119" s="110" t="str">
        <f>'Products x speed'!I128</f>
        <v/>
      </c>
      <c r="J119" s="110" t="str">
        <f>'Products x speed'!J128</f>
        <v/>
      </c>
      <c r="K119" s="110" t="str">
        <f>'Products x speed'!K128</f>
        <v/>
      </c>
      <c r="L119" s="110" t="str">
        <f>'Products x speed'!L128</f>
        <v/>
      </c>
      <c r="M119" s="110" t="str">
        <f>'Products x speed'!M128</f>
        <v/>
      </c>
      <c r="N119" s="110" t="str">
        <f>'Products x speed'!N128</f>
        <v/>
      </c>
      <c r="O119" s="110" t="str">
        <f>'Products x speed'!O128</f>
        <v/>
      </c>
      <c r="P119" s="101"/>
    </row>
    <row r="120" spans="2:16">
      <c r="B120" s="96" t="str">
        <f t="shared" si="6"/>
        <v>100G 4WDM20</v>
      </c>
      <c r="C120" s="97" t="str">
        <f t="shared" si="6"/>
        <v>20 km</v>
      </c>
      <c r="D120" s="98" t="str">
        <f t="shared" si="6"/>
        <v>QSFP28</v>
      </c>
      <c r="E120" s="110" t="str">
        <f>'Products x speed'!E129</f>
        <v/>
      </c>
      <c r="F120" s="110" t="str">
        <f>'Products x speed'!F129</f>
        <v/>
      </c>
      <c r="G120" s="110" t="str">
        <f>'Products x speed'!G129</f>
        <v/>
      </c>
      <c r="H120" s="110" t="str">
        <f>'Products x speed'!H129</f>
        <v/>
      </c>
      <c r="I120" s="110" t="str">
        <f>'Products x speed'!I129</f>
        <v/>
      </c>
      <c r="J120" s="110" t="str">
        <f>'Products x speed'!J129</f>
        <v/>
      </c>
      <c r="K120" s="110" t="str">
        <f>'Products x speed'!K129</f>
        <v/>
      </c>
      <c r="L120" s="110" t="str">
        <f>'Products x speed'!L129</f>
        <v/>
      </c>
      <c r="M120" s="110" t="str">
        <f>'Products x speed'!M129</f>
        <v/>
      </c>
      <c r="N120" s="110" t="str">
        <f>'Products x speed'!N129</f>
        <v/>
      </c>
      <c r="O120" s="110" t="str">
        <f>'Products x speed'!O129</f>
        <v/>
      </c>
      <c r="P120" s="101"/>
    </row>
    <row r="121" spans="2:16">
      <c r="B121" s="96" t="str">
        <f t="shared" si="6"/>
        <v>100G ER4-Lite</v>
      </c>
      <c r="C121" s="97" t="str">
        <f t="shared" si="6"/>
        <v>30 km</v>
      </c>
      <c r="D121" s="98" t="str">
        <f t="shared" si="6"/>
        <v>QSFP28</v>
      </c>
      <c r="E121" s="110" t="str">
        <f>'Products x speed'!E130</f>
        <v/>
      </c>
      <c r="F121" s="110">
        <f>'Products x speed'!F130</f>
        <v>3487.2423945044161</v>
      </c>
      <c r="G121" s="110" t="str">
        <f>'Products x speed'!G130</f>
        <v/>
      </c>
      <c r="H121" s="110" t="str">
        <f>'Products x speed'!H130</f>
        <v/>
      </c>
      <c r="I121" s="110" t="str">
        <f>'Products x speed'!I130</f>
        <v/>
      </c>
      <c r="J121" s="110" t="str">
        <f>'Products x speed'!J130</f>
        <v/>
      </c>
      <c r="K121" s="110" t="str">
        <f>'Products x speed'!K130</f>
        <v/>
      </c>
      <c r="L121" s="110" t="str">
        <f>'Products x speed'!L130</f>
        <v/>
      </c>
      <c r="M121" s="110" t="str">
        <f>'Products x speed'!M130</f>
        <v/>
      </c>
      <c r="N121" s="110" t="str">
        <f>'Products x speed'!N130</f>
        <v/>
      </c>
      <c r="O121" s="110" t="str">
        <f>'Products x speed'!O130</f>
        <v/>
      </c>
      <c r="P121" s="101"/>
    </row>
    <row r="122" spans="2:16">
      <c r="B122" s="96" t="str">
        <f t="shared" si="6"/>
        <v>100G ER4</v>
      </c>
      <c r="C122" s="97" t="str">
        <f t="shared" si="6"/>
        <v>40 km</v>
      </c>
      <c r="D122" s="98" t="str">
        <f t="shared" si="6"/>
        <v>QSFP28</v>
      </c>
      <c r="E122" s="110">
        <f>'Products x speed'!E131</f>
        <v>8992.3604525403425</v>
      </c>
      <c r="F122" s="110">
        <f>'Products x speed'!F131</f>
        <v>6675.4855675304152</v>
      </c>
      <c r="G122" s="110" t="str">
        <f>'Products x speed'!G131</f>
        <v/>
      </c>
      <c r="H122" s="110" t="str">
        <f>'Products x speed'!H131</f>
        <v/>
      </c>
      <c r="I122" s="110" t="str">
        <f>'Products x speed'!I131</f>
        <v/>
      </c>
      <c r="J122" s="110" t="str">
        <f>'Products x speed'!J131</f>
        <v/>
      </c>
      <c r="K122" s="110" t="str">
        <f>'Products x speed'!K131</f>
        <v/>
      </c>
      <c r="L122" s="110" t="str">
        <f>'Products x speed'!L131</f>
        <v/>
      </c>
      <c r="M122" s="110" t="str">
        <f>'Products x speed'!M131</f>
        <v/>
      </c>
      <c r="N122" s="110" t="str">
        <f>'Products x speed'!N131</f>
        <v/>
      </c>
      <c r="O122" s="110" t="str">
        <f>'Products x speed'!O131</f>
        <v/>
      </c>
      <c r="P122" s="101"/>
    </row>
    <row r="123" spans="2:16">
      <c r="B123" s="92" t="str">
        <f t="shared" si="6"/>
        <v>100G ZR4</v>
      </c>
      <c r="C123" s="93" t="str">
        <f t="shared" si="6"/>
        <v>80 km</v>
      </c>
      <c r="D123" s="94" t="str">
        <f t="shared" si="6"/>
        <v>QSFP28</v>
      </c>
      <c r="E123" s="109" t="str">
        <f>'Products x speed'!E132</f>
        <v/>
      </c>
      <c r="F123" s="109" t="str">
        <f>'Products x speed'!F132</f>
        <v/>
      </c>
      <c r="G123" s="109" t="str">
        <f>'Products x speed'!G132</f>
        <v/>
      </c>
      <c r="H123" s="109" t="str">
        <f>'Products x speed'!H132</f>
        <v/>
      </c>
      <c r="I123" s="109" t="str">
        <f>'Products x speed'!I132</f>
        <v/>
      </c>
      <c r="J123" s="109" t="str">
        <f>'Products x speed'!J132</f>
        <v/>
      </c>
      <c r="K123" s="109" t="str">
        <f>'Products x speed'!K132</f>
        <v/>
      </c>
      <c r="L123" s="109" t="str">
        <f>'Products x speed'!L132</f>
        <v/>
      </c>
      <c r="M123" s="109" t="str">
        <f>'Products x speed'!M132</f>
        <v/>
      </c>
      <c r="N123" s="109" t="str">
        <f>'Products x speed'!N132</f>
        <v/>
      </c>
      <c r="O123" s="109" t="str">
        <f>'Products x speed'!O132</f>
        <v/>
      </c>
      <c r="P123" s="101"/>
    </row>
    <row r="124" spans="2:16">
      <c r="B124" s="88" t="str">
        <f t="shared" si="6"/>
        <v>200G SR4</v>
      </c>
      <c r="C124" s="89" t="str">
        <f t="shared" si="6"/>
        <v>100 m</v>
      </c>
      <c r="D124" s="90" t="str">
        <f t="shared" si="6"/>
        <v>QSFP56</v>
      </c>
      <c r="E124" s="108">
        <f>'Products x speed'!E133</f>
        <v>0</v>
      </c>
      <c r="F124" s="108">
        <f>'Products x speed'!F133</f>
        <v>0</v>
      </c>
      <c r="G124" s="108" t="str">
        <f>'Products x speed'!G133</f>
        <v/>
      </c>
      <c r="H124" s="108" t="str">
        <f>'Products x speed'!H133</f>
        <v/>
      </c>
      <c r="I124" s="108" t="str">
        <f>'Products x speed'!I133</f>
        <v/>
      </c>
      <c r="J124" s="108" t="str">
        <f>'Products x speed'!J133</f>
        <v/>
      </c>
      <c r="K124" s="108" t="str">
        <f>'Products x speed'!K133</f>
        <v/>
      </c>
      <c r="L124" s="108" t="str">
        <f>'Products x speed'!L133</f>
        <v/>
      </c>
      <c r="M124" s="108" t="str">
        <f>'Products x speed'!M133</f>
        <v/>
      </c>
      <c r="N124" s="108" t="str">
        <f>'Products x speed'!N133</f>
        <v/>
      </c>
      <c r="O124" s="108" t="str">
        <f>'Products x speed'!O133</f>
        <v/>
      </c>
      <c r="P124" s="101"/>
    </row>
    <row r="125" spans="2:16">
      <c r="B125" s="96" t="str">
        <f t="shared" si="6"/>
        <v>2x200 (400G-SR8)</v>
      </c>
      <c r="C125" s="97" t="str">
        <f t="shared" si="6"/>
        <v>100 m</v>
      </c>
      <c r="D125" s="98" t="str">
        <f t="shared" si="6"/>
        <v>OSFP, QSFP-DD</v>
      </c>
      <c r="E125" s="110">
        <f>'Products x speed'!E134</f>
        <v>0</v>
      </c>
      <c r="F125" s="110">
        <f>'Products x speed'!F134</f>
        <v>0</v>
      </c>
      <c r="G125" s="110" t="str">
        <f>'Products x speed'!G134</f>
        <v/>
      </c>
      <c r="H125" s="110" t="str">
        <f>'Products x speed'!H134</f>
        <v/>
      </c>
      <c r="I125" s="110" t="str">
        <f>'Products x speed'!I134</f>
        <v/>
      </c>
      <c r="J125" s="110" t="str">
        <f>'Products x speed'!J134</f>
        <v/>
      </c>
      <c r="K125" s="110" t="str">
        <f>'Products x speed'!K134</f>
        <v/>
      </c>
      <c r="L125" s="110" t="str">
        <f>'Products x speed'!L134</f>
        <v/>
      </c>
      <c r="M125" s="110" t="str">
        <f>'Products x speed'!M134</f>
        <v/>
      </c>
      <c r="N125" s="110" t="str">
        <f>'Products x speed'!N134</f>
        <v/>
      </c>
      <c r="O125" s="110" t="str">
        <f>'Products x speed'!O134</f>
        <v/>
      </c>
      <c r="P125" s="101"/>
    </row>
    <row r="126" spans="2:16">
      <c r="B126" s="96" t="str">
        <f t="shared" si="6"/>
        <v>200G FR4</v>
      </c>
      <c r="C126" s="97" t="str">
        <f t="shared" si="6"/>
        <v>3 km</v>
      </c>
      <c r="D126" s="98" t="str">
        <f t="shared" si="6"/>
        <v>QSFP56</v>
      </c>
      <c r="E126" s="110">
        <f>'Products x speed'!E135</f>
        <v>0</v>
      </c>
      <c r="F126" s="110">
        <f>'Products x speed'!F135</f>
        <v>0</v>
      </c>
      <c r="G126" s="110" t="str">
        <f>'Products x speed'!G135</f>
        <v/>
      </c>
      <c r="H126" s="110" t="str">
        <f>'Products x speed'!H135</f>
        <v/>
      </c>
      <c r="I126" s="110" t="str">
        <f>'Products x speed'!I135</f>
        <v/>
      </c>
      <c r="J126" s="110" t="str">
        <f>'Products x speed'!J135</f>
        <v/>
      </c>
      <c r="K126" s="110" t="str">
        <f>'Products x speed'!K135</f>
        <v/>
      </c>
      <c r="L126" s="110" t="str">
        <f>'Products x speed'!L135</f>
        <v/>
      </c>
      <c r="M126" s="110" t="str">
        <f>'Products x speed'!M135</f>
        <v/>
      </c>
      <c r="N126" s="110" t="str">
        <f>'Products x speed'!N135</f>
        <v/>
      </c>
      <c r="O126" s="110" t="str">
        <f>'Products x speed'!O135</f>
        <v/>
      </c>
      <c r="P126" s="101"/>
    </row>
    <row r="127" spans="2:16">
      <c r="B127" s="92" t="str">
        <f t="shared" si="6"/>
        <v>2x(200G FR4)</v>
      </c>
      <c r="C127" s="93" t="str">
        <f t="shared" si="6"/>
        <v>2 km</v>
      </c>
      <c r="D127" s="94" t="str">
        <f t="shared" si="6"/>
        <v>OSFP</v>
      </c>
      <c r="E127" s="109">
        <f>'Products x speed'!E136</f>
        <v>0</v>
      </c>
      <c r="F127" s="109">
        <f>'Products x speed'!F136</f>
        <v>0</v>
      </c>
      <c r="G127" s="109" t="str">
        <f>'Products x speed'!G136</f>
        <v/>
      </c>
      <c r="H127" s="109" t="str">
        <f>'Products x speed'!H136</f>
        <v/>
      </c>
      <c r="I127" s="109" t="str">
        <f>'Products x speed'!I136</f>
        <v/>
      </c>
      <c r="J127" s="109" t="str">
        <f>'Products x speed'!J136</f>
        <v/>
      </c>
      <c r="K127" s="109" t="str">
        <f>'Products x speed'!K136</f>
        <v/>
      </c>
      <c r="L127" s="109" t="str">
        <f>'Products x speed'!L136</f>
        <v/>
      </c>
      <c r="M127" s="109" t="str">
        <f>'Products x speed'!M136</f>
        <v/>
      </c>
      <c r="N127" s="109" t="str">
        <f>'Products x speed'!N136</f>
        <v/>
      </c>
      <c r="O127" s="109" t="str">
        <f>'Products x speed'!O136</f>
        <v/>
      </c>
      <c r="P127" s="101"/>
    </row>
    <row r="128" spans="2:16">
      <c r="B128" s="88" t="str">
        <f t="shared" si="6"/>
        <v>400G SR4.2, SR4</v>
      </c>
      <c r="C128" s="89" t="str">
        <f t="shared" si="6"/>
        <v>100 m</v>
      </c>
      <c r="D128" s="90" t="str">
        <f t="shared" si="6"/>
        <v>OSFP, QSFP-DD, QSFP112</v>
      </c>
      <c r="E128" s="108">
        <f>'Products x speed'!E137</f>
        <v>0</v>
      </c>
      <c r="F128" s="108">
        <f>'Products x speed'!F137</f>
        <v>0</v>
      </c>
      <c r="G128" s="108" t="str">
        <f>'Products x speed'!G137</f>
        <v/>
      </c>
      <c r="H128" s="108" t="str">
        <f>'Products x speed'!H137</f>
        <v/>
      </c>
      <c r="I128" s="108" t="str">
        <f>'Products x speed'!I137</f>
        <v/>
      </c>
      <c r="J128" s="108" t="str">
        <f>'Products x speed'!J137</f>
        <v/>
      </c>
      <c r="K128" s="108" t="str">
        <f>'Products x speed'!K137</f>
        <v/>
      </c>
      <c r="L128" s="108" t="str">
        <f>'Products x speed'!L137</f>
        <v/>
      </c>
      <c r="M128" s="108" t="str">
        <f>'Products x speed'!M137</f>
        <v/>
      </c>
      <c r="N128" s="108" t="str">
        <f>'Products x speed'!N137</f>
        <v/>
      </c>
      <c r="O128" s="108" t="str">
        <f>'Products x speed'!O137</f>
        <v/>
      </c>
      <c r="P128" s="101"/>
    </row>
    <row r="129" spans="2:17">
      <c r="B129" s="96" t="str">
        <f t="shared" si="6"/>
        <v>400G DR4</v>
      </c>
      <c r="C129" s="97" t="str">
        <f t="shared" si="6"/>
        <v>500 m</v>
      </c>
      <c r="D129" s="98" t="str">
        <f t="shared" si="6"/>
        <v>OSFP, QSFP-DD, QSFP112</v>
      </c>
      <c r="E129" s="110">
        <f>'Products x speed'!E138</f>
        <v>0</v>
      </c>
      <c r="F129" s="110">
        <f>'Products x speed'!F138</f>
        <v>0</v>
      </c>
      <c r="G129" s="110" t="str">
        <f>'Products x speed'!G138</f>
        <v/>
      </c>
      <c r="H129" s="110" t="str">
        <f>'Products x speed'!H138</f>
        <v/>
      </c>
      <c r="I129" s="110" t="str">
        <f>'Products x speed'!I138</f>
        <v/>
      </c>
      <c r="J129" s="110" t="str">
        <f>'Products x speed'!J138</f>
        <v/>
      </c>
      <c r="K129" s="110" t="str">
        <f>'Products x speed'!K138</f>
        <v/>
      </c>
      <c r="L129" s="110" t="str">
        <f>'Products x speed'!L138</f>
        <v/>
      </c>
      <c r="M129" s="110" t="str">
        <f>'Products x speed'!M138</f>
        <v/>
      </c>
      <c r="N129" s="110" t="str">
        <f>'Products x speed'!N138</f>
        <v/>
      </c>
      <c r="O129" s="110" t="str">
        <f>'Products x speed'!O138</f>
        <v/>
      </c>
      <c r="P129" s="101"/>
    </row>
    <row r="130" spans="2:17">
      <c r="B130" s="96" t="str">
        <f t="shared" si="6"/>
        <v>400G FR4</v>
      </c>
      <c r="C130" s="97" t="str">
        <f t="shared" si="6"/>
        <v>2 km</v>
      </c>
      <c r="D130" s="98" t="str">
        <f t="shared" si="6"/>
        <v>OSFP, QSFP-DD, QSFP112</v>
      </c>
      <c r="E130" s="110">
        <f>'Products x speed'!E139</f>
        <v>0</v>
      </c>
      <c r="F130" s="110">
        <f>'Products x speed'!F139</f>
        <v>11614.285714285714</v>
      </c>
      <c r="G130" s="110" t="str">
        <f>'Products x speed'!G139</f>
        <v/>
      </c>
      <c r="H130" s="110" t="str">
        <f>'Products x speed'!H139</f>
        <v/>
      </c>
      <c r="I130" s="110" t="str">
        <f>'Products x speed'!I139</f>
        <v/>
      </c>
      <c r="J130" s="110" t="str">
        <f>'Products x speed'!J139</f>
        <v/>
      </c>
      <c r="K130" s="110" t="str">
        <f>'Products x speed'!K139</f>
        <v/>
      </c>
      <c r="L130" s="110" t="str">
        <f>'Products x speed'!L139</f>
        <v/>
      </c>
      <c r="M130" s="110" t="str">
        <f>'Products x speed'!M139</f>
        <v/>
      </c>
      <c r="N130" s="110" t="str">
        <f>'Products x speed'!N139</f>
        <v/>
      </c>
      <c r="O130" s="110" t="str">
        <f>'Products x speed'!O139</f>
        <v/>
      </c>
      <c r="P130" s="101"/>
    </row>
    <row r="131" spans="2:17">
      <c r="B131" s="92" t="str">
        <f t="shared" si="6"/>
        <v>400G LR4, LR8</v>
      </c>
      <c r="C131" s="93" t="str">
        <f t="shared" si="6"/>
        <v>10 km</v>
      </c>
      <c r="D131" s="94" t="str">
        <f t="shared" si="6"/>
        <v>OSFP, QSFP-DD, QSFP112</v>
      </c>
      <c r="E131" s="109">
        <f>'Products x speed'!E140</f>
        <v>0</v>
      </c>
      <c r="F131" s="109">
        <f>'Products x speed'!F140</f>
        <v>15451.219512195123</v>
      </c>
      <c r="G131" s="109" t="str">
        <f>'Products x speed'!G140</f>
        <v/>
      </c>
      <c r="H131" s="109" t="str">
        <f>'Products x speed'!H140</f>
        <v/>
      </c>
      <c r="I131" s="109" t="str">
        <f>'Products x speed'!I140</f>
        <v/>
      </c>
      <c r="J131" s="109" t="str">
        <f>'Products x speed'!J140</f>
        <v/>
      </c>
      <c r="K131" s="109" t="str">
        <f>'Products x speed'!K140</f>
        <v/>
      </c>
      <c r="L131" s="109" t="str">
        <f>'Products x speed'!L140</f>
        <v/>
      </c>
      <c r="M131" s="109" t="str">
        <f>'Products x speed'!M140</f>
        <v/>
      </c>
      <c r="N131" s="109" t="str">
        <f>'Products x speed'!N140</f>
        <v/>
      </c>
      <c r="O131" s="109" t="str">
        <f>'Products x speed'!O140</f>
        <v/>
      </c>
      <c r="P131" s="101"/>
    </row>
    <row r="132" spans="2:17" s="101" customFormat="1">
      <c r="B132" s="96" t="str">
        <f t="shared" si="6"/>
        <v>800G SR8</v>
      </c>
      <c r="C132" s="97" t="str">
        <f t="shared" si="6"/>
        <v>50 m</v>
      </c>
      <c r="D132" s="98" t="str">
        <f t="shared" si="6"/>
        <v>OSFP, QSFP-DD800</v>
      </c>
      <c r="E132" s="110">
        <f>'Products x speed'!E141</f>
        <v>0</v>
      </c>
      <c r="F132" s="110">
        <f>'Products x speed'!F141</f>
        <v>0</v>
      </c>
      <c r="G132" s="110" t="str">
        <f>'Products x speed'!G141</f>
        <v/>
      </c>
      <c r="H132" s="110" t="str">
        <f>'Products x speed'!H141</f>
        <v/>
      </c>
      <c r="I132" s="110" t="str">
        <f>'Products x speed'!I141</f>
        <v/>
      </c>
      <c r="J132" s="110" t="str">
        <f>'Products x speed'!J141</f>
        <v/>
      </c>
      <c r="K132" s="110" t="str">
        <f>'Products x speed'!K141</f>
        <v/>
      </c>
      <c r="L132" s="110" t="str">
        <f>'Products x speed'!L141</f>
        <v/>
      </c>
      <c r="M132" s="110" t="str">
        <f>'Products x speed'!M141</f>
        <v/>
      </c>
      <c r="N132" s="110" t="str">
        <f>'Products x speed'!N141</f>
        <v/>
      </c>
      <c r="O132" s="110" t="str">
        <f>'Products x speed'!O141</f>
        <v/>
      </c>
      <c r="Q132" s="83"/>
    </row>
    <row r="133" spans="2:17" s="101" customFormat="1">
      <c r="B133" s="96" t="str">
        <f t="shared" si="6"/>
        <v>800G PSM8</v>
      </c>
      <c r="C133" s="97" t="str">
        <f t="shared" si="6"/>
        <v>500 m</v>
      </c>
      <c r="D133" s="97" t="str">
        <f t="shared" si="6"/>
        <v>OSFP, QSFP-DD800</v>
      </c>
      <c r="E133" s="110">
        <f>'Products x speed'!E142</f>
        <v>0</v>
      </c>
      <c r="F133" s="110">
        <f>'Products x speed'!F142</f>
        <v>0</v>
      </c>
      <c r="G133" s="110" t="str">
        <f>'Products x speed'!G142</f>
        <v/>
      </c>
      <c r="H133" s="110" t="str">
        <f>'Products x speed'!H142</f>
        <v/>
      </c>
      <c r="I133" s="110" t="str">
        <f>'Products x speed'!I142</f>
        <v/>
      </c>
      <c r="J133" s="110" t="str">
        <f>'Products x speed'!J142</f>
        <v/>
      </c>
      <c r="K133" s="110" t="str">
        <f>'Products x speed'!K142</f>
        <v/>
      </c>
      <c r="L133" s="110" t="str">
        <f>'Products x speed'!L142</f>
        <v/>
      </c>
      <c r="M133" s="110" t="str">
        <f>'Products x speed'!M142</f>
        <v/>
      </c>
      <c r="N133" s="110" t="str">
        <f>'Products x speed'!N142</f>
        <v/>
      </c>
      <c r="O133" s="110" t="str">
        <f>'Products x speed'!O142</f>
        <v/>
      </c>
      <c r="Q133" s="83"/>
    </row>
    <row r="134" spans="2:17" s="101" customFormat="1">
      <c r="B134" s="96" t="str">
        <f t="shared" si="6"/>
        <v>2x(400G FR4)</v>
      </c>
      <c r="C134" s="97" t="str">
        <f t="shared" si="6"/>
        <v>2 km</v>
      </c>
      <c r="D134" s="97" t="str">
        <f t="shared" si="6"/>
        <v>OSFP, QSFP-DD800</v>
      </c>
      <c r="E134" s="110">
        <f>'Products x speed'!E143</f>
        <v>0</v>
      </c>
      <c r="F134" s="110">
        <f>'Products x speed'!F143</f>
        <v>0</v>
      </c>
      <c r="G134" s="110" t="str">
        <f>'Products x speed'!G143</f>
        <v/>
      </c>
      <c r="H134" s="110" t="str">
        <f>'Products x speed'!H143</f>
        <v/>
      </c>
      <c r="I134" s="110" t="str">
        <f>'Products x speed'!I143</f>
        <v/>
      </c>
      <c r="J134" s="110" t="str">
        <f>'Products x speed'!J143</f>
        <v/>
      </c>
      <c r="K134" s="110" t="str">
        <f>'Products x speed'!K143</f>
        <v/>
      </c>
      <c r="L134" s="110" t="str">
        <f>'Products x speed'!L143</f>
        <v/>
      </c>
      <c r="M134" s="110" t="str">
        <f>'Products x speed'!M143</f>
        <v/>
      </c>
      <c r="N134" s="110" t="str">
        <f>'Products x speed'!N143</f>
        <v/>
      </c>
      <c r="O134" s="110" t="str">
        <f>'Products x speed'!O143</f>
        <v/>
      </c>
      <c r="Q134" s="83"/>
    </row>
    <row r="135" spans="2:17" s="101" customFormat="1">
      <c r="B135" s="92">
        <f>B69</f>
        <v>0</v>
      </c>
      <c r="C135" s="93"/>
      <c r="D135" s="93"/>
      <c r="E135" s="109"/>
      <c r="F135" s="109"/>
      <c r="G135" s="109"/>
      <c r="H135" s="109"/>
      <c r="I135" s="109"/>
      <c r="J135" s="109"/>
      <c r="K135" s="109"/>
      <c r="L135" s="109"/>
      <c r="M135" s="109"/>
      <c r="N135" s="109"/>
      <c r="O135" s="109"/>
      <c r="Q135" s="83"/>
    </row>
    <row r="136" spans="2:17">
      <c r="B136" s="44" t="s">
        <v>20</v>
      </c>
      <c r="C136" s="45"/>
      <c r="D136" s="45"/>
      <c r="E136" s="113">
        <f t="shared" ref="E136:O136" si="7">IF(E70=0,,E202*10^6/E70)</f>
        <v>224.33080640046305</v>
      </c>
      <c r="F136" s="113">
        <f t="shared" si="7"/>
        <v>179.40685570678934</v>
      </c>
      <c r="G136" s="113">
        <f t="shared" si="7"/>
        <v>0</v>
      </c>
      <c r="H136" s="113">
        <f t="shared" si="7"/>
        <v>0</v>
      </c>
      <c r="I136" s="113">
        <f t="shared" si="7"/>
        <v>0</v>
      </c>
      <c r="J136" s="113">
        <f t="shared" si="7"/>
        <v>0</v>
      </c>
      <c r="K136" s="113">
        <f t="shared" si="7"/>
        <v>0</v>
      </c>
      <c r="L136" s="113">
        <f t="shared" si="7"/>
        <v>0</v>
      </c>
      <c r="M136" s="113">
        <f t="shared" si="7"/>
        <v>0</v>
      </c>
      <c r="N136" s="113">
        <f t="shared" si="7"/>
        <v>0</v>
      </c>
      <c r="O136" s="113">
        <f t="shared" si="7"/>
        <v>0</v>
      </c>
    </row>
    <row r="138" spans="2:17">
      <c r="Q138" s="519"/>
    </row>
    <row r="139" spans="2:17" ht="21">
      <c r="B139" s="15" t="s">
        <v>29</v>
      </c>
      <c r="C139" s="14"/>
      <c r="D139" s="14"/>
      <c r="Q139" s="519"/>
    </row>
    <row r="140" spans="2:17">
      <c r="B140" s="86" t="e">
        <f>#REF!</f>
        <v>#REF!</v>
      </c>
      <c r="C140" s="86" t="e">
        <f>#REF!</f>
        <v>#REF!</v>
      </c>
      <c r="D140" s="86" t="e">
        <f>#REF!</f>
        <v>#REF!</v>
      </c>
      <c r="E140" s="107">
        <v>2016</v>
      </c>
      <c r="F140" s="107">
        <v>2017</v>
      </c>
      <c r="G140" s="107">
        <v>2018</v>
      </c>
      <c r="H140" s="107">
        <v>2019</v>
      </c>
      <c r="I140" s="107">
        <v>2020</v>
      </c>
      <c r="J140" s="107">
        <v>2021</v>
      </c>
      <c r="K140" s="107">
        <v>2022</v>
      </c>
      <c r="L140" s="107">
        <v>2023</v>
      </c>
      <c r="M140" s="107">
        <v>2024</v>
      </c>
      <c r="N140" s="107">
        <v>2025</v>
      </c>
      <c r="O140" s="107">
        <v>2026</v>
      </c>
      <c r="Q140" s="519"/>
    </row>
    <row r="141" spans="2:17">
      <c r="B141" s="88" t="str">
        <f t="shared" ref="B141:D160" si="8">B9</f>
        <v>1G</v>
      </c>
      <c r="C141" s="89" t="str">
        <f t="shared" si="8"/>
        <v>500 m</v>
      </c>
      <c r="D141" s="90" t="str">
        <f t="shared" si="8"/>
        <v>SFP</v>
      </c>
      <c r="E141" s="115">
        <f t="shared" ref="E141:O141" si="9">IF(E9=0,,E9*E75/10^6)</f>
        <v>0</v>
      </c>
      <c r="F141" s="115">
        <f t="shared" si="9"/>
        <v>0</v>
      </c>
      <c r="G141" s="115"/>
      <c r="H141" s="115"/>
      <c r="I141" s="115"/>
      <c r="J141" s="115"/>
      <c r="K141" s="115"/>
      <c r="L141" s="115"/>
      <c r="M141" s="115"/>
      <c r="N141" s="115"/>
      <c r="O141" s="115"/>
      <c r="Q141" s="519"/>
    </row>
    <row r="142" spans="2:17">
      <c r="B142" s="96" t="str">
        <f t="shared" si="8"/>
        <v>1G</v>
      </c>
      <c r="C142" s="97" t="str">
        <f t="shared" si="8"/>
        <v>10 km</v>
      </c>
      <c r="D142" s="98" t="str">
        <f t="shared" si="8"/>
        <v>SFP</v>
      </c>
      <c r="E142" s="117">
        <f t="shared" ref="E142:O142" si="10">IF(E10=0,,E10*E76/10^6)</f>
        <v>21.840082044880003</v>
      </c>
      <c r="F142" s="117">
        <f t="shared" si="10"/>
        <v>14.970518448056138</v>
      </c>
      <c r="G142" s="117"/>
      <c r="H142" s="117"/>
      <c r="I142" s="117"/>
      <c r="J142" s="117"/>
      <c r="K142" s="117"/>
      <c r="L142" s="117"/>
      <c r="M142" s="117"/>
      <c r="N142" s="117"/>
      <c r="O142" s="117"/>
      <c r="Q142" s="519"/>
    </row>
    <row r="143" spans="2:17">
      <c r="B143" s="96" t="str">
        <f t="shared" si="8"/>
        <v>1G</v>
      </c>
      <c r="C143" s="97" t="str">
        <f t="shared" si="8"/>
        <v>40 km</v>
      </c>
      <c r="D143" s="98" t="str">
        <f t="shared" si="8"/>
        <v>SFP</v>
      </c>
      <c r="E143" s="117">
        <f t="shared" ref="E143:O143" si="11">IF(E11=0,,E11*E77/10^6)</f>
        <v>4.0007415413598748</v>
      </c>
      <c r="F143" s="117">
        <f t="shared" si="11"/>
        <v>2.6908476678133564</v>
      </c>
      <c r="G143" s="117"/>
      <c r="H143" s="117"/>
      <c r="I143" s="117"/>
      <c r="J143" s="117"/>
      <c r="K143" s="117"/>
      <c r="L143" s="117"/>
      <c r="M143" s="117"/>
      <c r="N143" s="117"/>
      <c r="O143" s="117"/>
      <c r="Q143" s="519"/>
    </row>
    <row r="144" spans="2:17">
      <c r="B144" s="96" t="str">
        <f t="shared" si="8"/>
        <v>1G</v>
      </c>
      <c r="C144" s="97" t="str">
        <f t="shared" si="8"/>
        <v>80 km</v>
      </c>
      <c r="D144" s="97" t="str">
        <f t="shared" si="8"/>
        <v>SFP</v>
      </c>
      <c r="E144" s="117">
        <f t="shared" ref="E144:O144" si="12">IF(E12=0,,E12*E78/10^6)</f>
        <v>5.4436485260342007</v>
      </c>
      <c r="F144" s="117">
        <f t="shared" si="12"/>
        <v>4.4704450954117947</v>
      </c>
      <c r="G144" s="117"/>
      <c r="H144" s="117"/>
      <c r="I144" s="117"/>
      <c r="J144" s="117"/>
      <c r="K144" s="117"/>
      <c r="L144" s="117"/>
      <c r="M144" s="117"/>
      <c r="N144" s="117"/>
      <c r="O144" s="117"/>
      <c r="Q144" s="519"/>
    </row>
    <row r="145" spans="2:17">
      <c r="B145" s="92" t="str">
        <f t="shared" si="8"/>
        <v>1G &amp; Fast Ethernet</v>
      </c>
      <c r="C145" s="93" t="str">
        <f t="shared" si="8"/>
        <v>Various</v>
      </c>
      <c r="D145" s="93" t="str">
        <f t="shared" si="8"/>
        <v>Legacy/discontinued</v>
      </c>
      <c r="E145" s="116"/>
      <c r="F145" s="116"/>
      <c r="G145" s="116"/>
      <c r="H145" s="116"/>
      <c r="I145" s="116"/>
      <c r="J145" s="116"/>
      <c r="K145" s="116"/>
      <c r="L145" s="116"/>
      <c r="M145" s="116"/>
      <c r="N145" s="116"/>
      <c r="O145" s="116"/>
      <c r="Q145" s="519"/>
    </row>
    <row r="146" spans="2:17">
      <c r="B146" s="96" t="str">
        <f t="shared" si="8"/>
        <v>10G</v>
      </c>
      <c r="C146" s="97" t="str">
        <f t="shared" si="8"/>
        <v>300 m</v>
      </c>
      <c r="D146" s="97" t="str">
        <f t="shared" si="8"/>
        <v>XFP</v>
      </c>
      <c r="E146" s="117">
        <f t="shared" ref="E146:O146" si="13">IF(E14=0,,E14*E80/10^6)</f>
        <v>0</v>
      </c>
      <c r="F146" s="117">
        <f t="shared" si="13"/>
        <v>0</v>
      </c>
      <c r="G146" s="117"/>
      <c r="H146" s="117"/>
      <c r="I146" s="117"/>
      <c r="J146" s="117"/>
      <c r="K146" s="117"/>
      <c r="L146" s="117"/>
      <c r="M146" s="117"/>
      <c r="N146" s="117"/>
      <c r="O146" s="117"/>
      <c r="Q146" s="519"/>
    </row>
    <row r="147" spans="2:17">
      <c r="B147" s="96" t="str">
        <f t="shared" si="8"/>
        <v>10G</v>
      </c>
      <c r="C147" s="97" t="str">
        <f t="shared" si="8"/>
        <v>300 m</v>
      </c>
      <c r="D147" s="97" t="str">
        <f t="shared" si="8"/>
        <v>SFP+</v>
      </c>
      <c r="E147" s="117">
        <f t="shared" ref="E147:O147" si="14">IF(E15=0,,E15*E81/10^6)</f>
        <v>0</v>
      </c>
      <c r="F147" s="117">
        <f t="shared" si="14"/>
        <v>0</v>
      </c>
      <c r="G147" s="117"/>
      <c r="H147" s="117"/>
      <c r="I147" s="117"/>
      <c r="J147" s="117"/>
      <c r="K147" s="117"/>
      <c r="L147" s="117"/>
      <c r="M147" s="117"/>
      <c r="N147" s="117"/>
      <c r="O147" s="117"/>
      <c r="Q147" s="519"/>
    </row>
    <row r="148" spans="2:17">
      <c r="B148" s="96" t="str">
        <f t="shared" si="8"/>
        <v>10G LRM</v>
      </c>
      <c r="C148" s="97" t="str">
        <f t="shared" si="8"/>
        <v>220 m</v>
      </c>
      <c r="D148" s="97" t="str">
        <f t="shared" si="8"/>
        <v>SFP+</v>
      </c>
      <c r="E148" s="117">
        <f t="shared" ref="E148:O148" si="15">IF(E16=0,,E16*E82/10^6)</f>
        <v>0</v>
      </c>
      <c r="F148" s="117">
        <f t="shared" si="15"/>
        <v>0</v>
      </c>
      <c r="G148" s="117"/>
      <c r="H148" s="117"/>
      <c r="I148" s="117"/>
      <c r="J148" s="117"/>
      <c r="K148" s="117"/>
      <c r="L148" s="117"/>
      <c r="M148" s="117"/>
      <c r="N148" s="117"/>
      <c r="O148" s="117"/>
      <c r="Q148" s="519"/>
    </row>
    <row r="149" spans="2:17">
      <c r="B149" s="96" t="str">
        <f t="shared" si="8"/>
        <v>10G</v>
      </c>
      <c r="C149" s="97" t="str">
        <f t="shared" si="8"/>
        <v>10 km</v>
      </c>
      <c r="D149" s="97" t="str">
        <f t="shared" si="8"/>
        <v>XFP</v>
      </c>
      <c r="E149" s="117">
        <f t="shared" ref="E149:O149" si="16">IF(E17=0,,E17*E83/10^6)</f>
        <v>5.7838927793079176</v>
      </c>
      <c r="F149" s="117">
        <f t="shared" si="16"/>
        <v>2.3655010555899549</v>
      </c>
      <c r="G149" s="117"/>
      <c r="H149" s="117"/>
      <c r="I149" s="117"/>
      <c r="J149" s="117"/>
      <c r="K149" s="117"/>
      <c r="L149" s="117"/>
      <c r="M149" s="117"/>
      <c r="N149" s="117"/>
      <c r="O149" s="117"/>
      <c r="Q149" s="519"/>
    </row>
    <row r="150" spans="2:17">
      <c r="B150" s="96" t="str">
        <f t="shared" si="8"/>
        <v>10G</v>
      </c>
      <c r="C150" s="97" t="str">
        <f t="shared" si="8"/>
        <v>10 km</v>
      </c>
      <c r="D150" s="97" t="str">
        <f t="shared" si="8"/>
        <v>SFP+</v>
      </c>
      <c r="E150" s="117">
        <f t="shared" ref="E150:O150" si="17">IF(E18=0,,E18*E84/10^6)</f>
        <v>47.513225315240646</v>
      </c>
      <c r="F150" s="117">
        <f t="shared" si="17"/>
        <v>38.969269843312269</v>
      </c>
      <c r="G150" s="117"/>
      <c r="H150" s="117"/>
      <c r="I150" s="117"/>
      <c r="J150" s="117"/>
      <c r="K150" s="117"/>
      <c r="L150" s="117"/>
      <c r="M150" s="117"/>
      <c r="N150" s="117"/>
      <c r="O150" s="117"/>
      <c r="Q150" s="519"/>
    </row>
    <row r="151" spans="2:17">
      <c r="B151" s="96" t="str">
        <f t="shared" si="8"/>
        <v>10G</v>
      </c>
      <c r="C151" s="97" t="str">
        <f t="shared" si="8"/>
        <v>40 km</v>
      </c>
      <c r="D151" s="97" t="str">
        <f t="shared" si="8"/>
        <v>XFP</v>
      </c>
      <c r="E151" s="117">
        <f t="shared" ref="E151:O151" si="18">IF(E19=0,,E19*E85/10^6)</f>
        <v>24.783116502012003</v>
      </c>
      <c r="F151" s="117">
        <f t="shared" si="18"/>
        <v>11.965126571097626</v>
      </c>
      <c r="G151" s="117"/>
      <c r="H151" s="117"/>
      <c r="I151" s="117"/>
      <c r="J151" s="117"/>
      <c r="K151" s="117"/>
      <c r="L151" s="117"/>
      <c r="M151" s="117"/>
      <c r="N151" s="117"/>
      <c r="O151" s="117"/>
      <c r="Q151" s="519"/>
    </row>
    <row r="152" spans="2:17">
      <c r="B152" s="96" t="str">
        <f t="shared" si="8"/>
        <v>10G</v>
      </c>
      <c r="C152" s="97" t="str">
        <f t="shared" si="8"/>
        <v>40 km</v>
      </c>
      <c r="D152" s="97" t="str">
        <f t="shared" si="8"/>
        <v>SFP+</v>
      </c>
      <c r="E152" s="117">
        <f t="shared" ref="E152:O152" si="19">IF(E20=0,,E20*E86/10^6)</f>
        <v>34.519978898803679</v>
      </c>
      <c r="F152" s="117">
        <f t="shared" si="19"/>
        <v>28.16904706949456</v>
      </c>
      <c r="G152" s="117"/>
      <c r="H152" s="117"/>
      <c r="I152" s="117"/>
      <c r="J152" s="117"/>
      <c r="K152" s="117"/>
      <c r="L152" s="117"/>
      <c r="M152" s="117"/>
      <c r="N152" s="117"/>
      <c r="O152" s="117"/>
      <c r="Q152" s="519"/>
    </row>
    <row r="153" spans="2:17">
      <c r="B153" s="96" t="str">
        <f t="shared" si="8"/>
        <v>10G</v>
      </c>
      <c r="C153" s="97" t="str">
        <f t="shared" si="8"/>
        <v>80 km</v>
      </c>
      <c r="D153" s="97" t="str">
        <f t="shared" si="8"/>
        <v>XFP</v>
      </c>
      <c r="E153" s="117">
        <f t="shared" ref="E153:O153" si="20">IF(E21=0,,E21*E87/10^6)</f>
        <v>18.705963697892301</v>
      </c>
      <c r="F153" s="117">
        <f t="shared" si="20"/>
        <v>2.6384714875083346</v>
      </c>
      <c r="G153" s="117"/>
      <c r="H153" s="117"/>
      <c r="I153" s="117"/>
      <c r="J153" s="117"/>
      <c r="K153" s="117"/>
      <c r="L153" s="117"/>
      <c r="M153" s="117"/>
      <c r="N153" s="117"/>
      <c r="O153" s="117"/>
      <c r="Q153" s="519"/>
    </row>
    <row r="154" spans="2:17">
      <c r="B154" s="96" t="str">
        <f t="shared" si="8"/>
        <v>10G</v>
      </c>
      <c r="C154" s="97" t="str">
        <f t="shared" si="8"/>
        <v>80 km</v>
      </c>
      <c r="D154" s="97" t="str">
        <f t="shared" si="8"/>
        <v>SFP+</v>
      </c>
      <c r="E154" s="117">
        <f t="shared" ref="E154:O154" si="21">IF(E22=0,,E22*E88/10^6)</f>
        <v>15.89513332813862</v>
      </c>
      <c r="F154" s="117">
        <f t="shared" si="21"/>
        <v>18.666526637661988</v>
      </c>
      <c r="G154" s="117"/>
      <c r="H154" s="117"/>
      <c r="I154" s="117"/>
      <c r="J154" s="117"/>
      <c r="K154" s="117"/>
      <c r="L154" s="117"/>
      <c r="M154" s="117"/>
      <c r="N154" s="117"/>
      <c r="O154" s="117"/>
      <c r="Q154" s="519"/>
    </row>
    <row r="155" spans="2:17">
      <c r="B155" s="96" t="str">
        <f t="shared" si="8"/>
        <v>10G</v>
      </c>
      <c r="C155" s="97" t="str">
        <f t="shared" si="8"/>
        <v>Various</v>
      </c>
      <c r="D155" s="97" t="str">
        <f t="shared" si="8"/>
        <v>Legacy/discontinued</v>
      </c>
      <c r="E155" s="117"/>
      <c r="F155" s="117"/>
      <c r="G155" s="117"/>
      <c r="H155" s="117"/>
      <c r="I155" s="117"/>
      <c r="J155" s="117"/>
      <c r="K155" s="117"/>
      <c r="L155" s="117"/>
      <c r="M155" s="117"/>
      <c r="N155" s="117"/>
      <c r="O155" s="117"/>
      <c r="Q155" s="519"/>
    </row>
    <row r="156" spans="2:17">
      <c r="B156" s="88" t="str">
        <f t="shared" si="8"/>
        <v>25G SR, eSR</v>
      </c>
      <c r="C156" s="89" t="str">
        <f t="shared" si="8"/>
        <v>100 - 300 m</v>
      </c>
      <c r="D156" s="90" t="str">
        <f t="shared" si="8"/>
        <v>SFP28</v>
      </c>
      <c r="E156" s="115">
        <f t="shared" ref="E156:O156" si="22">IF(E24=0,,E24*E90/10^6)</f>
        <v>0</v>
      </c>
      <c r="F156" s="115">
        <f t="shared" si="22"/>
        <v>0</v>
      </c>
      <c r="G156" s="115"/>
      <c r="H156" s="115"/>
      <c r="I156" s="115"/>
      <c r="J156" s="115"/>
      <c r="K156" s="115"/>
      <c r="L156" s="115"/>
      <c r="M156" s="115"/>
      <c r="N156" s="115"/>
      <c r="O156" s="115"/>
      <c r="Q156" s="519"/>
    </row>
    <row r="157" spans="2:17">
      <c r="B157" s="96" t="str">
        <f t="shared" si="8"/>
        <v>25G LR</v>
      </c>
      <c r="C157" s="97" t="str">
        <f t="shared" si="8"/>
        <v>10 km</v>
      </c>
      <c r="D157" s="98" t="str">
        <f t="shared" si="8"/>
        <v>SFP28</v>
      </c>
      <c r="E157" s="117">
        <f t="shared" ref="E157:O157" si="23">IF(E25=0,,E25*E91/10^6)</f>
        <v>0.62249429999999994</v>
      </c>
      <c r="F157" s="117">
        <f t="shared" si="23"/>
        <v>1.6978488920742698</v>
      </c>
      <c r="G157" s="117"/>
      <c r="H157" s="117"/>
      <c r="I157" s="117"/>
      <c r="J157" s="117"/>
      <c r="K157" s="117"/>
      <c r="L157" s="117"/>
      <c r="M157" s="117"/>
      <c r="N157" s="117"/>
      <c r="O157" s="117"/>
      <c r="Q157" s="519"/>
    </row>
    <row r="158" spans="2:17">
      <c r="B158" s="92" t="str">
        <f t="shared" si="8"/>
        <v>25G ER</v>
      </c>
      <c r="C158" s="93" t="str">
        <f t="shared" si="8"/>
        <v>40 km</v>
      </c>
      <c r="D158" s="94" t="str">
        <f t="shared" si="8"/>
        <v>SFP28</v>
      </c>
      <c r="E158" s="116">
        <f t="shared" ref="E158:O158" si="24">IF(E26=0,,E26*E92/10^6)</f>
        <v>0</v>
      </c>
      <c r="F158" s="116">
        <f t="shared" si="24"/>
        <v>0</v>
      </c>
      <c r="G158" s="116"/>
      <c r="H158" s="116"/>
      <c r="I158" s="116"/>
      <c r="J158" s="116"/>
      <c r="K158" s="116"/>
      <c r="L158" s="116"/>
      <c r="M158" s="116"/>
      <c r="N158" s="116"/>
      <c r="O158" s="116"/>
      <c r="Q158" s="519"/>
    </row>
    <row r="159" spans="2:17">
      <c r="B159" s="88" t="str">
        <f t="shared" si="8"/>
        <v>40G SR4</v>
      </c>
      <c r="C159" s="89" t="str">
        <f t="shared" si="8"/>
        <v>100 m</v>
      </c>
      <c r="D159" s="90" t="str">
        <f t="shared" si="8"/>
        <v>QSFP+</v>
      </c>
      <c r="E159" s="115">
        <f t="shared" ref="E159:O159" si="25">IF(E27=0,,E27*E93/10^6)</f>
        <v>3.0907281104444446</v>
      </c>
      <c r="F159" s="115">
        <f t="shared" si="25"/>
        <v>3.1903223936670364</v>
      </c>
      <c r="G159" s="115"/>
      <c r="H159" s="115"/>
      <c r="I159" s="115"/>
      <c r="J159" s="115"/>
      <c r="K159" s="115"/>
      <c r="L159" s="115"/>
      <c r="M159" s="115"/>
      <c r="N159" s="115"/>
      <c r="O159" s="115"/>
      <c r="Q159" s="519"/>
    </row>
    <row r="160" spans="2:17">
      <c r="B160" s="96" t="str">
        <f t="shared" si="8"/>
        <v>40G MM duplex</v>
      </c>
      <c r="C160" s="97" t="str">
        <f t="shared" si="8"/>
        <v>100 m</v>
      </c>
      <c r="D160" s="98" t="str">
        <f t="shared" si="8"/>
        <v>QSFP+</v>
      </c>
      <c r="E160" s="117">
        <f t="shared" ref="E160:O160" si="26">IF(E28=0,,E28*E94/10^6)</f>
        <v>0</v>
      </c>
      <c r="F160" s="117">
        <f t="shared" si="26"/>
        <v>0</v>
      </c>
      <c r="G160" s="117"/>
      <c r="H160" s="117"/>
      <c r="I160" s="117"/>
      <c r="J160" s="117"/>
      <c r="K160" s="117"/>
      <c r="L160" s="117"/>
      <c r="M160" s="117"/>
      <c r="N160" s="117"/>
      <c r="O160" s="117"/>
      <c r="Q160" s="519"/>
    </row>
    <row r="161" spans="2:17">
      <c r="B161" s="96" t="str">
        <f t="shared" ref="B161:D180" si="27">B29</f>
        <v>40G eSR4</v>
      </c>
      <c r="C161" s="97" t="str">
        <f t="shared" si="27"/>
        <v>300 m</v>
      </c>
      <c r="D161" s="98" t="str">
        <f t="shared" si="27"/>
        <v>QSFP+</v>
      </c>
      <c r="E161" s="117">
        <f t="shared" ref="E161:O161" si="28">IF(E29=0,,E29*E95/10^6)</f>
        <v>1.4680941655000002</v>
      </c>
      <c r="F161" s="117">
        <f t="shared" si="28"/>
        <v>1.8894499999999999</v>
      </c>
      <c r="G161" s="117"/>
      <c r="H161" s="117"/>
      <c r="I161" s="117"/>
      <c r="J161" s="117"/>
      <c r="K161" s="117"/>
      <c r="L161" s="117"/>
      <c r="M161" s="117"/>
      <c r="N161" s="117"/>
      <c r="O161" s="117"/>
      <c r="Q161" s="519"/>
    </row>
    <row r="162" spans="2:17">
      <c r="B162" s="96" t="str">
        <f t="shared" si="27"/>
        <v>40 G PSM4</v>
      </c>
      <c r="C162" s="97" t="str">
        <f t="shared" si="27"/>
        <v>500 m</v>
      </c>
      <c r="D162" s="98" t="str">
        <f t="shared" si="27"/>
        <v>QSFP+</v>
      </c>
      <c r="E162" s="117">
        <f t="shared" ref="E162:O162" si="29">IF(E30=0,,E30*E96/10^6)</f>
        <v>0</v>
      </c>
      <c r="F162" s="117">
        <f t="shared" si="29"/>
        <v>0</v>
      </c>
      <c r="G162" s="117"/>
      <c r="H162" s="117"/>
      <c r="I162" s="117"/>
      <c r="J162" s="117"/>
      <c r="K162" s="117"/>
      <c r="L162" s="117"/>
      <c r="M162" s="117"/>
      <c r="N162" s="117"/>
      <c r="O162" s="117"/>
      <c r="Q162" s="519"/>
    </row>
    <row r="163" spans="2:17">
      <c r="B163" s="96" t="str">
        <f t="shared" si="27"/>
        <v>40G (FR)</v>
      </c>
      <c r="C163" s="97" t="str">
        <f t="shared" si="27"/>
        <v>2 km</v>
      </c>
      <c r="D163" s="98" t="str">
        <f t="shared" si="27"/>
        <v>CFP</v>
      </c>
      <c r="E163" s="117">
        <f t="shared" ref="E163:O163" si="30">IF(E31=0,,E31*E97/10^6)</f>
        <v>3.6147868986222091</v>
      </c>
      <c r="F163" s="117">
        <f t="shared" si="30"/>
        <v>2.1111758458730683</v>
      </c>
      <c r="G163" s="117"/>
      <c r="H163" s="117"/>
      <c r="I163" s="117"/>
      <c r="J163" s="117"/>
      <c r="K163" s="117"/>
      <c r="L163" s="117"/>
      <c r="M163" s="117"/>
      <c r="N163" s="117"/>
      <c r="O163" s="117"/>
      <c r="Q163" s="519"/>
    </row>
    <row r="164" spans="2:17">
      <c r="B164" s="96" t="str">
        <f t="shared" si="27"/>
        <v>40G (LR4 subspec)</v>
      </c>
      <c r="C164" s="97" t="str">
        <f t="shared" si="27"/>
        <v>2 km</v>
      </c>
      <c r="D164" s="98" t="str">
        <f t="shared" si="27"/>
        <v>QSFP+</v>
      </c>
      <c r="E164" s="117">
        <f t="shared" ref="E164:O164" si="31">IF(E32=0,,E32*E98/10^6)</f>
        <v>0</v>
      </c>
      <c r="F164" s="117">
        <f t="shared" si="31"/>
        <v>0</v>
      </c>
      <c r="G164" s="117"/>
      <c r="H164" s="117"/>
      <c r="I164" s="117"/>
      <c r="J164" s="117"/>
      <c r="K164" s="117"/>
      <c r="L164" s="117"/>
      <c r="M164" s="117"/>
      <c r="N164" s="117"/>
      <c r="O164" s="117"/>
      <c r="Q164" s="519"/>
    </row>
    <row r="165" spans="2:17">
      <c r="B165" s="96" t="str">
        <f t="shared" si="27"/>
        <v>40G</v>
      </c>
      <c r="C165" s="97" t="str">
        <f t="shared" si="27"/>
        <v>10 km</v>
      </c>
      <c r="D165" s="98" t="str">
        <f t="shared" si="27"/>
        <v>CFP</v>
      </c>
      <c r="E165" s="117">
        <f t="shared" ref="E165:O165" si="32">IF(E33=0,,E33*E99/10^6)</f>
        <v>7.4284258264680547</v>
      </c>
      <c r="F165" s="117">
        <f t="shared" si="32"/>
        <v>3.6524276733586274</v>
      </c>
      <c r="G165" s="117"/>
      <c r="H165" s="117"/>
      <c r="I165" s="117"/>
      <c r="J165" s="117"/>
      <c r="K165" s="117"/>
      <c r="L165" s="117"/>
      <c r="M165" s="117"/>
      <c r="N165" s="117"/>
      <c r="O165" s="117"/>
      <c r="Q165" s="519"/>
    </row>
    <row r="166" spans="2:17">
      <c r="B166" s="96" t="str">
        <f t="shared" si="27"/>
        <v>40G</v>
      </c>
      <c r="C166" s="97" t="str">
        <f t="shared" si="27"/>
        <v>10 km</v>
      </c>
      <c r="D166" s="98" t="str">
        <f t="shared" si="27"/>
        <v>QSFP+</v>
      </c>
      <c r="E166" s="117">
        <f t="shared" ref="E166:O166" si="33">IF(E34=0,,E34*E100/10^6)</f>
        <v>0</v>
      </c>
      <c r="F166" s="117">
        <f t="shared" si="33"/>
        <v>0</v>
      </c>
      <c r="G166" s="117"/>
      <c r="H166" s="117"/>
      <c r="I166" s="117"/>
      <c r="J166" s="117"/>
      <c r="K166" s="117"/>
      <c r="L166" s="117"/>
      <c r="M166" s="117"/>
      <c r="N166" s="117"/>
      <c r="O166" s="117"/>
      <c r="Q166" s="519"/>
    </row>
    <row r="167" spans="2:17">
      <c r="B167" s="92" t="str">
        <f t="shared" si="27"/>
        <v>40G</v>
      </c>
      <c r="C167" s="93" t="str">
        <f t="shared" si="27"/>
        <v>40 km</v>
      </c>
      <c r="D167" s="94" t="str">
        <f t="shared" si="27"/>
        <v>QSFP+</v>
      </c>
      <c r="E167" s="116">
        <f t="shared" ref="E167:O167" si="34">IF(E35=0,,E35*E101/10^6)</f>
        <v>2.456382628644874</v>
      </c>
      <c r="F167" s="116">
        <f t="shared" si="34"/>
        <v>1.8231073760232492</v>
      </c>
      <c r="G167" s="116"/>
      <c r="H167" s="116"/>
      <c r="I167" s="116"/>
      <c r="J167" s="116"/>
      <c r="K167" s="116"/>
      <c r="L167" s="116"/>
      <c r="M167" s="116"/>
      <c r="N167" s="116"/>
      <c r="O167" s="116"/>
      <c r="Q167" s="519"/>
    </row>
    <row r="168" spans="2:17">
      <c r="B168" s="88" t="str">
        <f t="shared" si="27"/>
        <v xml:space="preserve">50G </v>
      </c>
      <c r="C168" s="89" t="str">
        <f t="shared" si="27"/>
        <v>100 m</v>
      </c>
      <c r="D168" s="90" t="str">
        <f t="shared" si="27"/>
        <v>all</v>
      </c>
      <c r="E168" s="115">
        <f t="shared" ref="E168:O168" si="35">IF(E36=0,,E36*E102/10^6)</f>
        <v>0</v>
      </c>
      <c r="F168" s="115">
        <f t="shared" si="35"/>
        <v>0</v>
      </c>
      <c r="G168" s="115"/>
      <c r="H168" s="115"/>
      <c r="I168" s="115"/>
      <c r="J168" s="115"/>
      <c r="K168" s="115"/>
      <c r="L168" s="115"/>
      <c r="M168" s="115"/>
      <c r="N168" s="115"/>
      <c r="O168" s="115"/>
      <c r="Q168" s="519"/>
    </row>
    <row r="169" spans="2:17">
      <c r="B169" s="96" t="str">
        <f t="shared" si="27"/>
        <v xml:space="preserve">50G </v>
      </c>
      <c r="C169" s="97" t="str">
        <f t="shared" si="27"/>
        <v>2 km</v>
      </c>
      <c r="D169" s="98" t="str">
        <f t="shared" si="27"/>
        <v>all</v>
      </c>
      <c r="E169" s="117">
        <f t="shared" ref="E169:O169" si="36">IF(E37=0,,E37*E103/10^6)</f>
        <v>0</v>
      </c>
      <c r="F169" s="117">
        <f t="shared" si="36"/>
        <v>0</v>
      </c>
      <c r="G169" s="117"/>
      <c r="H169" s="117"/>
      <c r="I169" s="117"/>
      <c r="J169" s="117"/>
      <c r="K169" s="117"/>
      <c r="L169" s="117"/>
      <c r="M169" s="117"/>
      <c r="N169" s="117"/>
      <c r="O169" s="117"/>
      <c r="Q169" s="519"/>
    </row>
    <row r="170" spans="2:17">
      <c r="B170" s="96" t="str">
        <f t="shared" si="27"/>
        <v xml:space="preserve">50G </v>
      </c>
      <c r="C170" s="97" t="str">
        <f t="shared" si="27"/>
        <v>10 km</v>
      </c>
      <c r="D170" s="98" t="str">
        <f t="shared" si="27"/>
        <v>all</v>
      </c>
      <c r="E170" s="117">
        <f t="shared" ref="E170:O170" si="37">IF(E38=0,,E38*E104/10^6)</f>
        <v>0</v>
      </c>
      <c r="F170" s="117">
        <f t="shared" si="37"/>
        <v>0</v>
      </c>
      <c r="G170" s="117"/>
      <c r="H170" s="117"/>
      <c r="I170" s="117"/>
      <c r="J170" s="117"/>
      <c r="K170" s="117"/>
      <c r="L170" s="117"/>
      <c r="M170" s="117"/>
      <c r="N170" s="117"/>
      <c r="O170" s="117"/>
      <c r="Q170" s="519"/>
    </row>
    <row r="171" spans="2:17">
      <c r="B171" s="88" t="str">
        <f t="shared" si="27"/>
        <v>100G SR4</v>
      </c>
      <c r="C171" s="89" t="str">
        <f t="shared" si="27"/>
        <v>100 m</v>
      </c>
      <c r="D171" s="90" t="str">
        <f t="shared" si="27"/>
        <v>CFP</v>
      </c>
      <c r="E171" s="115">
        <f t="shared" ref="E171:O171" si="38">IF(E39=0,,E39*E105/10^6)</f>
        <v>21.078782</v>
      </c>
      <c r="F171" s="115">
        <f t="shared" si="38"/>
        <v>8.8030050000000024</v>
      </c>
      <c r="G171" s="115"/>
      <c r="H171" s="115"/>
      <c r="I171" s="115"/>
      <c r="J171" s="115"/>
      <c r="K171" s="115"/>
      <c r="L171" s="115"/>
      <c r="M171" s="115"/>
      <c r="N171" s="115"/>
      <c r="O171" s="115"/>
      <c r="Q171" s="519"/>
    </row>
    <row r="172" spans="2:17">
      <c r="B172" s="96" t="str">
        <f t="shared" si="27"/>
        <v>100G SR4</v>
      </c>
      <c r="C172" s="97" t="str">
        <f t="shared" si="27"/>
        <v>100 m</v>
      </c>
      <c r="D172" s="98" t="str">
        <f t="shared" si="27"/>
        <v>CFP2/4</v>
      </c>
      <c r="E172" s="117">
        <f t="shared" ref="E172:O172" si="39">IF(E40=0,,E40*E106/10^6)</f>
        <v>5.2611999999999997</v>
      </c>
      <c r="F172" s="117">
        <f t="shared" si="39"/>
        <v>2.4791280000000007</v>
      </c>
      <c r="G172" s="117"/>
      <c r="H172" s="117"/>
      <c r="I172" s="117"/>
      <c r="J172" s="117"/>
      <c r="K172" s="117"/>
      <c r="L172" s="117"/>
      <c r="M172" s="117"/>
      <c r="N172" s="117"/>
      <c r="O172" s="117"/>
      <c r="Q172" s="519"/>
    </row>
    <row r="173" spans="2:17">
      <c r="B173" s="96" t="str">
        <f t="shared" si="27"/>
        <v>100G SR4</v>
      </c>
      <c r="C173" s="97" t="str">
        <f t="shared" si="27"/>
        <v>100 m</v>
      </c>
      <c r="D173" s="98" t="str">
        <f t="shared" si="27"/>
        <v>QSFP28</v>
      </c>
      <c r="E173" s="117">
        <f t="shared" ref="E173:O173" si="40">IF(E41=0,,E41*E107/10^6)</f>
        <v>0</v>
      </c>
      <c r="F173" s="117">
        <f t="shared" si="40"/>
        <v>0</v>
      </c>
      <c r="G173" s="117"/>
      <c r="H173" s="117"/>
      <c r="I173" s="117"/>
      <c r="J173" s="117"/>
      <c r="K173" s="117"/>
      <c r="L173" s="117"/>
      <c r="M173" s="117"/>
      <c r="N173" s="117"/>
      <c r="O173" s="117"/>
      <c r="Q173" s="519"/>
    </row>
    <row r="174" spans="2:17">
      <c r="B174" s="96" t="str">
        <f t="shared" si="27"/>
        <v>100G SR2</v>
      </c>
      <c r="C174" s="97" t="str">
        <f t="shared" si="27"/>
        <v>100 m</v>
      </c>
      <c r="D174" s="98" t="str">
        <f t="shared" si="27"/>
        <v>All</v>
      </c>
      <c r="E174" s="117">
        <f t="shared" ref="E174:O174" si="41">IF(E42=0,,E42*E108/10^6)</f>
        <v>0</v>
      </c>
      <c r="F174" s="117">
        <f t="shared" si="41"/>
        <v>0</v>
      </c>
      <c r="G174" s="117"/>
      <c r="H174" s="117"/>
      <c r="I174" s="117"/>
      <c r="J174" s="117"/>
      <c r="K174" s="117"/>
      <c r="L174" s="117"/>
      <c r="M174" s="117"/>
      <c r="N174" s="117"/>
      <c r="O174" s="117"/>
      <c r="Q174" s="519"/>
    </row>
    <row r="175" spans="2:17">
      <c r="B175" s="96" t="str">
        <f t="shared" si="27"/>
        <v>100G MM Duplex</v>
      </c>
      <c r="C175" s="97" t="str">
        <f t="shared" si="27"/>
        <v>100 - 300 m</v>
      </c>
      <c r="D175" s="98" t="str">
        <f t="shared" si="27"/>
        <v>QSFP28</v>
      </c>
      <c r="E175" s="117">
        <f t="shared" ref="E175:O175" si="42">IF(E43=0,,E43*E109/10^6)</f>
        <v>0</v>
      </c>
      <c r="F175" s="117">
        <f t="shared" si="42"/>
        <v>0</v>
      </c>
      <c r="G175" s="117"/>
      <c r="H175" s="117"/>
      <c r="I175" s="117"/>
      <c r="J175" s="117"/>
      <c r="K175" s="117"/>
      <c r="L175" s="117"/>
      <c r="M175" s="117"/>
      <c r="N175" s="117"/>
      <c r="O175" s="117"/>
      <c r="Q175" s="519"/>
    </row>
    <row r="176" spans="2:17">
      <c r="B176" s="96" t="str">
        <f t="shared" si="27"/>
        <v>100G eSR4</v>
      </c>
      <c r="C176" s="97" t="str">
        <f t="shared" si="27"/>
        <v>300 m</v>
      </c>
      <c r="D176" s="98" t="str">
        <f t="shared" si="27"/>
        <v>QSFP28</v>
      </c>
      <c r="E176" s="117">
        <f t="shared" ref="E176:O176" si="43">IF(E44=0,,E44*E110/10^6)</f>
        <v>0</v>
      </c>
      <c r="F176" s="117">
        <f t="shared" si="43"/>
        <v>0</v>
      </c>
      <c r="G176" s="117"/>
      <c r="H176" s="117"/>
      <c r="I176" s="117"/>
      <c r="J176" s="117"/>
      <c r="K176" s="117"/>
      <c r="L176" s="117"/>
      <c r="M176" s="117"/>
      <c r="N176" s="117"/>
      <c r="O176" s="117"/>
      <c r="Q176" s="519"/>
    </row>
    <row r="177" spans="2:17">
      <c r="B177" s="96" t="str">
        <f t="shared" si="27"/>
        <v>100G PSM4</v>
      </c>
      <c r="C177" s="97" t="str">
        <f t="shared" si="27"/>
        <v>500 m</v>
      </c>
      <c r="D177" s="98" t="str">
        <f t="shared" si="27"/>
        <v>QSFP28</v>
      </c>
      <c r="E177" s="117">
        <f t="shared" ref="E177:O177" si="44">IF(E45=0,,E45*E111/10^6)</f>
        <v>0</v>
      </c>
      <c r="F177" s="117">
        <f t="shared" si="44"/>
        <v>0</v>
      </c>
      <c r="G177" s="117"/>
      <c r="H177" s="117"/>
      <c r="I177" s="117"/>
      <c r="J177" s="117"/>
      <c r="K177" s="117"/>
      <c r="L177" s="117"/>
      <c r="M177" s="117"/>
      <c r="N177" s="117"/>
      <c r="O177" s="117"/>
      <c r="Q177" s="519"/>
    </row>
    <row r="178" spans="2:17">
      <c r="B178" s="96" t="str">
        <f t="shared" si="27"/>
        <v>100G DR/DR+</v>
      </c>
      <c r="C178" s="97" t="str">
        <f t="shared" si="27"/>
        <v>500m, 2km</v>
      </c>
      <c r="D178" s="98" t="str">
        <f t="shared" si="27"/>
        <v>QSFP28</v>
      </c>
      <c r="E178" s="117">
        <f t="shared" ref="E178:O178" si="45">IF(E46=0,,E46*E112/10^6)</f>
        <v>0</v>
      </c>
      <c r="F178" s="117">
        <f t="shared" si="45"/>
        <v>0</v>
      </c>
      <c r="G178" s="117"/>
      <c r="H178" s="117"/>
      <c r="I178" s="117"/>
      <c r="J178" s="117"/>
      <c r="K178" s="117"/>
      <c r="L178" s="117"/>
      <c r="M178" s="117"/>
      <c r="N178" s="117"/>
      <c r="O178" s="117"/>
      <c r="Q178" s="519"/>
    </row>
    <row r="179" spans="2:17">
      <c r="B179" s="96" t="str">
        <f t="shared" si="27"/>
        <v>100G CWDM4-subspec</v>
      </c>
      <c r="C179" s="97" t="str">
        <f t="shared" si="27"/>
        <v>500 m</v>
      </c>
      <c r="D179" s="98" t="str">
        <f t="shared" si="27"/>
        <v>QSFP28</v>
      </c>
      <c r="E179" s="117">
        <f t="shared" ref="E179:O179" si="46">IF(E47=0,,E47*E113/10^6)</f>
        <v>0</v>
      </c>
      <c r="F179" s="117">
        <f t="shared" si="46"/>
        <v>0</v>
      </c>
      <c r="G179" s="117"/>
      <c r="H179" s="117"/>
      <c r="I179" s="117"/>
      <c r="J179" s="117"/>
      <c r="K179" s="117"/>
      <c r="L179" s="117"/>
      <c r="M179" s="117"/>
      <c r="N179" s="117"/>
      <c r="O179" s="117"/>
      <c r="Q179" s="519"/>
    </row>
    <row r="180" spans="2:17">
      <c r="B180" s="96" t="str">
        <f t="shared" si="27"/>
        <v>100G CWDM4</v>
      </c>
      <c r="C180" s="97" t="str">
        <f t="shared" si="27"/>
        <v>2 km</v>
      </c>
      <c r="D180" s="98" t="str">
        <f t="shared" si="27"/>
        <v>QSFP28</v>
      </c>
      <c r="E180" s="117">
        <f t="shared" ref="E180:O180" si="47">IF(E48=0,,E48*E114/10^6)</f>
        <v>0</v>
      </c>
      <c r="F180" s="117">
        <f t="shared" si="47"/>
        <v>0</v>
      </c>
      <c r="G180" s="117"/>
      <c r="H180" s="117"/>
      <c r="I180" s="117"/>
      <c r="J180" s="117"/>
      <c r="K180" s="117"/>
      <c r="L180" s="117"/>
      <c r="M180" s="117"/>
      <c r="N180" s="117"/>
      <c r="O180" s="117"/>
      <c r="Q180" s="519"/>
    </row>
    <row r="181" spans="2:17">
      <c r="B181" s="96" t="str">
        <f t="shared" ref="B181:D200" si="48">B49</f>
        <v>100G FR1</v>
      </c>
      <c r="C181" s="97" t="str">
        <f t="shared" si="48"/>
        <v>2 km</v>
      </c>
      <c r="D181" s="98" t="str">
        <f t="shared" si="48"/>
        <v>QSFP28</v>
      </c>
      <c r="E181" s="117">
        <f t="shared" ref="E181:O181" si="49">IF(E49=0,,E49*E115/10^6)</f>
        <v>0</v>
      </c>
      <c r="F181" s="117">
        <f t="shared" si="49"/>
        <v>0</v>
      </c>
      <c r="G181" s="117"/>
      <c r="H181" s="117"/>
      <c r="I181" s="117"/>
      <c r="J181" s="117"/>
      <c r="K181" s="117"/>
      <c r="L181" s="117"/>
      <c r="M181" s="117"/>
      <c r="N181" s="117"/>
      <c r="O181" s="117"/>
    </row>
    <row r="182" spans="2:17">
      <c r="B182" s="96" t="str">
        <f t="shared" si="48"/>
        <v>100G LR4</v>
      </c>
      <c r="C182" s="97" t="str">
        <f t="shared" si="48"/>
        <v>10 km</v>
      </c>
      <c r="D182" s="98" t="str">
        <f t="shared" si="48"/>
        <v>CFP</v>
      </c>
      <c r="E182" s="117">
        <f t="shared" ref="E182:O182" si="50">IF(E50=0,,E50*E116/10^6)</f>
        <v>387.84002208207454</v>
      </c>
      <c r="F182" s="117">
        <f t="shared" si="50"/>
        <v>186.42675405916248</v>
      </c>
      <c r="G182" s="117"/>
      <c r="H182" s="117"/>
      <c r="I182" s="117"/>
      <c r="J182" s="117"/>
      <c r="K182" s="117"/>
      <c r="L182" s="117"/>
      <c r="M182" s="117"/>
      <c r="N182" s="117"/>
      <c r="O182" s="117"/>
    </row>
    <row r="183" spans="2:17">
      <c r="B183" s="96" t="str">
        <f t="shared" si="48"/>
        <v>100G LR4</v>
      </c>
      <c r="C183" s="97" t="str">
        <f t="shared" si="48"/>
        <v>10 km</v>
      </c>
      <c r="D183" s="98" t="str">
        <f t="shared" si="48"/>
        <v>CFP2/4</v>
      </c>
      <c r="E183" s="117">
        <f t="shared" ref="E183:O183" si="51">IF(E51=0,,E51*E117/10^6)</f>
        <v>265.89292589706986</v>
      </c>
      <c r="F183" s="117">
        <f t="shared" si="51"/>
        <v>167.37814313065076</v>
      </c>
      <c r="G183" s="117"/>
      <c r="H183" s="117"/>
      <c r="I183" s="117"/>
      <c r="J183" s="117"/>
      <c r="K183" s="117"/>
      <c r="L183" s="117"/>
      <c r="M183" s="117"/>
      <c r="N183" s="117"/>
      <c r="O183" s="117"/>
    </row>
    <row r="184" spans="2:17">
      <c r="B184" s="96" t="str">
        <f t="shared" si="48"/>
        <v>100G LR4 and LR1</v>
      </c>
      <c r="C184" s="97" t="str">
        <f t="shared" si="48"/>
        <v>10 km</v>
      </c>
      <c r="D184" s="98" t="str">
        <f t="shared" si="48"/>
        <v>QSFP28</v>
      </c>
      <c r="E184" s="117">
        <f t="shared" ref="E184:O184" si="52">IF(E52=0,,E52*E118/10^6)</f>
        <v>35.058421943272599</v>
      </c>
      <c r="F184" s="117">
        <f t="shared" si="52"/>
        <v>130.44672</v>
      </c>
      <c r="G184" s="117"/>
      <c r="H184" s="117"/>
      <c r="I184" s="117"/>
      <c r="J184" s="117"/>
      <c r="K184" s="117"/>
      <c r="L184" s="117"/>
      <c r="M184" s="117"/>
      <c r="N184" s="117"/>
      <c r="O184" s="117"/>
    </row>
    <row r="185" spans="2:17">
      <c r="B185" s="96" t="str">
        <f t="shared" si="48"/>
        <v>100G 4WDM10</v>
      </c>
      <c r="C185" s="97" t="str">
        <f t="shared" si="48"/>
        <v>10 km</v>
      </c>
      <c r="D185" s="98" t="str">
        <f t="shared" si="48"/>
        <v>QSFP28</v>
      </c>
      <c r="E185" s="117">
        <f t="shared" ref="E185:O185" si="53">IF(E53=0,,E53*E119/10^6)</f>
        <v>0</v>
      </c>
      <c r="F185" s="117">
        <f t="shared" si="53"/>
        <v>0</v>
      </c>
      <c r="G185" s="117"/>
      <c r="H185" s="117"/>
      <c r="I185" s="117"/>
      <c r="J185" s="117"/>
      <c r="K185" s="117"/>
      <c r="L185" s="117"/>
      <c r="M185" s="117"/>
      <c r="N185" s="117"/>
      <c r="O185" s="117"/>
    </row>
    <row r="186" spans="2:17" ht="12.5" customHeight="1">
      <c r="B186" s="96" t="str">
        <f t="shared" si="48"/>
        <v>100G 4WDM20</v>
      </c>
      <c r="C186" s="97" t="str">
        <f t="shared" si="48"/>
        <v>20 km</v>
      </c>
      <c r="D186" s="98" t="str">
        <f t="shared" si="48"/>
        <v>QSFP28</v>
      </c>
      <c r="E186" s="117">
        <f t="shared" ref="E186:O186" si="54">IF(E54=0,,E54*E120/10^6)</f>
        <v>0</v>
      </c>
      <c r="F186" s="117">
        <f t="shared" si="54"/>
        <v>0</v>
      </c>
      <c r="G186" s="117"/>
      <c r="H186" s="117"/>
      <c r="I186" s="117"/>
      <c r="J186" s="117"/>
      <c r="K186" s="117"/>
      <c r="L186" s="117"/>
      <c r="M186" s="117"/>
      <c r="N186" s="117"/>
      <c r="O186" s="117"/>
    </row>
    <row r="187" spans="2:17" ht="12.5" customHeight="1">
      <c r="B187" s="96" t="str">
        <f t="shared" si="48"/>
        <v>100G ER4-Lite</v>
      </c>
      <c r="C187" s="97" t="str">
        <f t="shared" si="48"/>
        <v>30 km</v>
      </c>
      <c r="D187" s="98" t="str">
        <f t="shared" si="48"/>
        <v>QSFP28</v>
      </c>
      <c r="E187" s="117">
        <f t="shared" ref="E187:O187" si="55">IF(E55=0,,E55*E121/10^6)</f>
        <v>0</v>
      </c>
      <c r="F187" s="117">
        <f t="shared" si="55"/>
        <v>6.9744847890088328</v>
      </c>
      <c r="G187" s="117"/>
      <c r="H187" s="117"/>
      <c r="I187" s="117"/>
      <c r="J187" s="117"/>
      <c r="K187" s="117"/>
      <c r="L187" s="117"/>
      <c r="M187" s="117"/>
      <c r="N187" s="117"/>
      <c r="O187" s="117"/>
    </row>
    <row r="188" spans="2:17" ht="12.5" customHeight="1">
      <c r="B188" s="96" t="str">
        <f t="shared" si="48"/>
        <v>100G ER4</v>
      </c>
      <c r="C188" s="97" t="str">
        <f t="shared" si="48"/>
        <v>40 km</v>
      </c>
      <c r="D188" s="98" t="str">
        <f t="shared" si="48"/>
        <v>QSFP28</v>
      </c>
      <c r="E188" s="117">
        <f t="shared" ref="E188:O188" si="56">IF(E56=0,,E56*E122/10^6)</f>
        <v>67.047039534140794</v>
      </c>
      <c r="F188" s="117">
        <f t="shared" si="56"/>
        <v>55.219616614611596</v>
      </c>
      <c r="G188" s="117"/>
      <c r="H188" s="117"/>
      <c r="I188" s="117"/>
      <c r="J188" s="117"/>
      <c r="K188" s="117"/>
      <c r="L188" s="117"/>
      <c r="M188" s="117"/>
      <c r="N188" s="117"/>
      <c r="O188" s="117"/>
    </row>
    <row r="189" spans="2:17">
      <c r="B189" s="92" t="str">
        <f t="shared" si="48"/>
        <v>100G ZR4</v>
      </c>
      <c r="C189" s="93" t="str">
        <f t="shared" si="48"/>
        <v>80 km</v>
      </c>
      <c r="D189" s="94" t="str">
        <f t="shared" si="48"/>
        <v>QSFP28</v>
      </c>
      <c r="E189" s="116">
        <f t="shared" ref="E189:O189" si="57">IF(E57=0,,E57*E123/10^6)</f>
        <v>0</v>
      </c>
      <c r="F189" s="116">
        <f t="shared" si="57"/>
        <v>0</v>
      </c>
      <c r="G189" s="116"/>
      <c r="H189" s="116"/>
      <c r="I189" s="116"/>
      <c r="J189" s="116"/>
      <c r="K189" s="116"/>
      <c r="L189" s="116"/>
      <c r="M189" s="116"/>
      <c r="N189" s="116"/>
      <c r="O189" s="116"/>
    </row>
    <row r="190" spans="2:17">
      <c r="B190" s="88" t="str">
        <f t="shared" si="48"/>
        <v>200G SR4</v>
      </c>
      <c r="C190" s="89" t="str">
        <f t="shared" si="48"/>
        <v>100 m</v>
      </c>
      <c r="D190" s="90" t="str">
        <f t="shared" si="48"/>
        <v>QSFP56</v>
      </c>
      <c r="E190" s="115">
        <f t="shared" ref="E190:O190" si="58">IF(E58=0,,E58*E124/10^6)</f>
        <v>0</v>
      </c>
      <c r="F190" s="115">
        <f t="shared" si="58"/>
        <v>0</v>
      </c>
      <c r="G190" s="115"/>
      <c r="H190" s="115"/>
      <c r="I190" s="115"/>
      <c r="J190" s="115"/>
      <c r="K190" s="115"/>
      <c r="L190" s="115"/>
      <c r="M190" s="115"/>
      <c r="N190" s="115"/>
      <c r="O190" s="115"/>
    </row>
    <row r="191" spans="2:17">
      <c r="B191" s="96" t="str">
        <f t="shared" si="48"/>
        <v>2x200 (400G-SR8)</v>
      </c>
      <c r="C191" s="97" t="str">
        <f t="shared" si="48"/>
        <v>100 m</v>
      </c>
      <c r="D191" s="98" t="str">
        <f t="shared" si="48"/>
        <v>OSFP, QSFP-DD</v>
      </c>
      <c r="E191" s="117">
        <f t="shared" ref="E191:O191" si="59">IF(E59=0,,E59*E125/10^6)</f>
        <v>0</v>
      </c>
      <c r="F191" s="117">
        <f t="shared" si="59"/>
        <v>0</v>
      </c>
      <c r="G191" s="117"/>
      <c r="H191" s="117"/>
      <c r="I191" s="117"/>
      <c r="J191" s="117"/>
      <c r="K191" s="117"/>
      <c r="L191" s="117"/>
      <c r="M191" s="117"/>
      <c r="N191" s="117"/>
      <c r="O191" s="117"/>
    </row>
    <row r="192" spans="2:17">
      <c r="B192" s="96" t="str">
        <f t="shared" si="48"/>
        <v>200G FR4</v>
      </c>
      <c r="C192" s="97" t="str">
        <f t="shared" si="48"/>
        <v>3 km</v>
      </c>
      <c r="D192" s="98" t="str">
        <f t="shared" si="48"/>
        <v>QSFP56</v>
      </c>
      <c r="E192" s="117">
        <f t="shared" ref="E192:O192" si="60">IF(E60=0,,E60*E126/10^6)</f>
        <v>0</v>
      </c>
      <c r="F192" s="117">
        <f t="shared" si="60"/>
        <v>0</v>
      </c>
      <c r="G192" s="117"/>
      <c r="H192" s="117"/>
      <c r="I192" s="117"/>
      <c r="J192" s="117"/>
      <c r="K192" s="117"/>
      <c r="L192" s="117"/>
      <c r="M192" s="117"/>
      <c r="N192" s="117"/>
      <c r="O192" s="117"/>
    </row>
    <row r="193" spans="2:15">
      <c r="B193" s="92" t="str">
        <f t="shared" si="48"/>
        <v>2x(200G FR4)</v>
      </c>
      <c r="C193" s="93" t="str">
        <f t="shared" si="48"/>
        <v>2 km</v>
      </c>
      <c r="D193" s="94" t="str">
        <f t="shared" si="48"/>
        <v>OSFP</v>
      </c>
      <c r="E193" s="116">
        <f t="shared" ref="E193:O193" si="61">IF(E61=0,,E61*E127/10^6)</f>
        <v>0</v>
      </c>
      <c r="F193" s="116">
        <f t="shared" si="61"/>
        <v>0</v>
      </c>
      <c r="G193" s="116"/>
      <c r="H193" s="116"/>
      <c r="I193" s="116"/>
      <c r="J193" s="116"/>
      <c r="K193" s="116"/>
      <c r="L193" s="116"/>
      <c r="M193" s="116"/>
      <c r="N193" s="116"/>
      <c r="O193" s="116"/>
    </row>
    <row r="194" spans="2:15">
      <c r="B194" s="88" t="str">
        <f t="shared" si="48"/>
        <v>400G SR4.2, SR4</v>
      </c>
      <c r="C194" s="89" t="str">
        <f t="shared" si="48"/>
        <v>100 m</v>
      </c>
      <c r="D194" s="90" t="str">
        <f t="shared" si="48"/>
        <v>OSFP, QSFP-DD, QSFP112</v>
      </c>
      <c r="E194" s="115">
        <f t="shared" ref="E194:O194" si="62">IF(E62=0,,E62*E128/10^6)</f>
        <v>0</v>
      </c>
      <c r="F194" s="115">
        <f t="shared" si="62"/>
        <v>0</v>
      </c>
      <c r="G194" s="115"/>
      <c r="H194" s="115"/>
      <c r="I194" s="115"/>
      <c r="J194" s="115"/>
      <c r="K194" s="115"/>
      <c r="L194" s="115"/>
      <c r="M194" s="115"/>
      <c r="N194" s="115"/>
      <c r="O194" s="115"/>
    </row>
    <row r="195" spans="2:15">
      <c r="B195" s="96" t="str">
        <f t="shared" si="48"/>
        <v>400G DR4</v>
      </c>
      <c r="C195" s="97" t="str">
        <f t="shared" si="48"/>
        <v>500 m</v>
      </c>
      <c r="D195" s="98" t="str">
        <f t="shared" si="48"/>
        <v>OSFP, QSFP-DD, QSFP112</v>
      </c>
      <c r="E195" s="117">
        <f t="shared" ref="E195:O195" si="63">IF(E63=0,,E63*E129/10^6)</f>
        <v>0</v>
      </c>
      <c r="F195" s="117">
        <f t="shared" si="63"/>
        <v>0</v>
      </c>
      <c r="G195" s="117"/>
      <c r="H195" s="117"/>
      <c r="I195" s="117"/>
      <c r="J195" s="117"/>
      <c r="K195" s="117"/>
      <c r="L195" s="117"/>
      <c r="M195" s="117"/>
      <c r="N195" s="117"/>
      <c r="O195" s="117"/>
    </row>
    <row r="196" spans="2:15">
      <c r="B196" s="96" t="str">
        <f t="shared" si="48"/>
        <v>400G FR4</v>
      </c>
      <c r="C196" s="97" t="str">
        <f t="shared" si="48"/>
        <v>2 km</v>
      </c>
      <c r="D196" s="98" t="str">
        <f t="shared" si="48"/>
        <v>OSFP, QSFP-DD, QSFP112</v>
      </c>
      <c r="E196" s="117">
        <f t="shared" ref="E196:O196" si="64">IF(E64=0,,E64*E130/10^6)</f>
        <v>0</v>
      </c>
      <c r="F196" s="117">
        <f t="shared" si="64"/>
        <v>0</v>
      </c>
      <c r="G196" s="117"/>
      <c r="H196" s="117"/>
      <c r="I196" s="117"/>
      <c r="J196" s="117"/>
      <c r="K196" s="117"/>
      <c r="L196" s="117"/>
      <c r="M196" s="117"/>
      <c r="N196" s="117"/>
      <c r="O196" s="117"/>
    </row>
    <row r="197" spans="2:15">
      <c r="B197" s="92" t="str">
        <f t="shared" si="48"/>
        <v>400G LR4, LR8</v>
      </c>
      <c r="C197" s="93" t="str">
        <f t="shared" si="48"/>
        <v>10 km</v>
      </c>
      <c r="D197" s="94" t="str">
        <f t="shared" si="48"/>
        <v>OSFP, QSFP-DD, QSFP112</v>
      </c>
      <c r="E197" s="116">
        <f t="shared" ref="E197:O197" si="65">IF(E65=0,,E65*E131/10^6)</f>
        <v>0</v>
      </c>
      <c r="F197" s="116">
        <f t="shared" si="65"/>
        <v>1.2669999999999999</v>
      </c>
      <c r="G197" s="116"/>
      <c r="H197" s="116"/>
      <c r="I197" s="116"/>
      <c r="J197" s="116"/>
      <c r="K197" s="116"/>
      <c r="L197" s="116"/>
      <c r="M197" s="116"/>
      <c r="N197" s="116"/>
      <c r="O197" s="116"/>
    </row>
    <row r="198" spans="2:15" s="101" customFormat="1">
      <c r="B198" s="96" t="str">
        <f t="shared" si="48"/>
        <v>800G SR8</v>
      </c>
      <c r="C198" s="97" t="str">
        <f t="shared" si="48"/>
        <v>50 m</v>
      </c>
      <c r="D198" s="98" t="str">
        <f t="shared" si="48"/>
        <v>OSFP, QSFP-DD800</v>
      </c>
      <c r="E198" s="117">
        <f t="shared" ref="E198:O198" si="66">IF(E66=0,,E66*E132/10^6)</f>
        <v>0</v>
      </c>
      <c r="F198" s="117">
        <f t="shared" si="66"/>
        <v>0</v>
      </c>
      <c r="G198" s="117"/>
      <c r="H198" s="117"/>
      <c r="I198" s="117"/>
      <c r="J198" s="117"/>
      <c r="K198" s="117"/>
      <c r="L198" s="117"/>
      <c r="M198" s="117"/>
      <c r="N198" s="117"/>
      <c r="O198" s="117"/>
    </row>
    <row r="199" spans="2:15" s="101" customFormat="1">
      <c r="B199" s="96" t="str">
        <f t="shared" si="48"/>
        <v>800G PSM8</v>
      </c>
      <c r="C199" s="97" t="str">
        <f t="shared" si="48"/>
        <v>500 m</v>
      </c>
      <c r="D199" s="98" t="str">
        <f t="shared" si="48"/>
        <v>OSFP, QSFP-DD800</v>
      </c>
      <c r="E199" s="117">
        <f t="shared" ref="E199:O199" si="67">IF(E67=0,,E67*E133/10^6)</f>
        <v>0</v>
      </c>
      <c r="F199" s="117">
        <f t="shared" si="67"/>
        <v>0</v>
      </c>
      <c r="G199" s="117"/>
      <c r="H199" s="117"/>
      <c r="I199" s="117"/>
      <c r="J199" s="117"/>
      <c r="K199" s="117"/>
      <c r="L199" s="117"/>
      <c r="M199" s="117"/>
      <c r="N199" s="117"/>
      <c r="O199" s="117"/>
    </row>
    <row r="200" spans="2:15" s="101" customFormat="1">
      <c r="B200" s="96" t="str">
        <f t="shared" si="48"/>
        <v>2x(400G FR4)</v>
      </c>
      <c r="C200" s="97" t="str">
        <f t="shared" si="48"/>
        <v>2 km</v>
      </c>
      <c r="D200" s="98" t="str">
        <f t="shared" si="48"/>
        <v>OSFP, QSFP-DD800</v>
      </c>
      <c r="E200" s="117">
        <f t="shared" ref="E200:O200" si="68">IF(E68=0,,E68*E134/10^6)</f>
        <v>0</v>
      </c>
      <c r="F200" s="117">
        <f t="shared" si="68"/>
        <v>0</v>
      </c>
      <c r="G200" s="117"/>
      <c r="H200" s="117"/>
      <c r="I200" s="117"/>
      <c r="J200" s="117"/>
      <c r="K200" s="117"/>
      <c r="L200" s="117"/>
      <c r="M200" s="117"/>
      <c r="N200" s="117"/>
      <c r="O200" s="117"/>
    </row>
    <row r="201" spans="2:15" s="101" customFormat="1">
      <c r="B201" s="92"/>
      <c r="C201" s="93"/>
      <c r="D201" s="94"/>
      <c r="E201" s="116"/>
      <c r="F201" s="116"/>
      <c r="G201" s="116"/>
      <c r="H201" s="116"/>
      <c r="I201" s="116"/>
      <c r="J201" s="116"/>
      <c r="K201" s="116"/>
      <c r="L201" s="116"/>
      <c r="M201" s="116"/>
      <c r="N201" s="116"/>
      <c r="O201" s="116"/>
    </row>
    <row r="202" spans="2:15">
      <c r="B202" s="44" t="s">
        <v>20</v>
      </c>
      <c r="C202" s="45"/>
      <c r="D202" s="46"/>
      <c r="E202" s="109">
        <f t="shared" ref="E202:O202" si="69">SUM(E141:E201)</f>
        <v>979.3450860199066</v>
      </c>
      <c r="F202" s="109">
        <f t="shared" si="69"/>
        <v>698.26493765037605</v>
      </c>
      <c r="G202" s="109"/>
      <c r="H202" s="109"/>
      <c r="I202" s="109"/>
      <c r="J202" s="109"/>
      <c r="K202" s="109"/>
      <c r="L202" s="109"/>
      <c r="M202" s="109"/>
      <c r="N202" s="109"/>
      <c r="O202" s="109"/>
    </row>
  </sheetData>
  <pageMargins left="0.7" right="0.7" top="0.75" bottom="0.75" header="0.3" footer="0.3"/>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O202"/>
  <sheetViews>
    <sheetView showGridLines="0" zoomScale="70" zoomScaleNormal="70" zoomScalePageLayoutView="70" workbookViewId="0">
      <pane xSplit="4" ySplit="6" topLeftCell="E72" activePane="bottomRight" state="frozen"/>
      <selection activeCell="E127" sqref="E127"/>
      <selection pane="topRight" activeCell="E127" sqref="E127"/>
      <selection pane="bottomLeft" activeCell="E127" sqref="E127"/>
      <selection pane="bottomRight" activeCell="R82" sqref="R82"/>
    </sheetView>
  </sheetViews>
  <sheetFormatPr defaultColWidth="8.81640625" defaultRowHeight="13"/>
  <cols>
    <col min="1" max="1" width="4.453125" style="83" customWidth="1"/>
    <col min="2" max="2" width="17.81640625" style="83" customWidth="1"/>
    <col min="3" max="3" width="12.453125" style="83" customWidth="1"/>
    <col min="4" max="4" width="17.1796875" style="83" customWidth="1"/>
    <col min="5" max="15" width="12.453125" style="83" customWidth="1"/>
    <col min="16" max="17" width="8.81640625" style="83"/>
    <col min="18" max="25" width="10.453125" style="83" customWidth="1"/>
    <col min="26" max="16384" width="8.81640625" style="83"/>
  </cols>
  <sheetData>
    <row r="2" spans="2:15" ht="18.5">
      <c r="B2" s="6" t="str">
        <f>Introduction!$B$2</f>
        <v>LightCounting Ethernet Transceivers Forecast</v>
      </c>
      <c r="C2" s="62"/>
      <c r="D2" s="62"/>
    </row>
    <row r="3" spans="2:15" ht="15.5">
      <c r="B3" s="43" t="str">
        <f>Introduction!$B$3</f>
        <v xml:space="preserve">Sample template for forecast published 31 March 2021 </v>
      </c>
    </row>
    <row r="4" spans="2:15" ht="18.5">
      <c r="B4" s="6" t="s">
        <v>409</v>
      </c>
      <c r="C4" s="62"/>
      <c r="D4" s="62"/>
    </row>
    <row r="5" spans="2:15" ht="14.5">
      <c r="B5" s="84"/>
    </row>
    <row r="6" spans="2:15">
      <c r="B6" s="258" t="s">
        <v>33</v>
      </c>
      <c r="C6" s="259" t="s">
        <v>32</v>
      </c>
      <c r="D6" s="260" t="s">
        <v>34</v>
      </c>
      <c r="E6" s="161">
        <v>2016</v>
      </c>
      <c r="F6" s="161">
        <v>2017</v>
      </c>
      <c r="G6" s="161">
        <v>2018</v>
      </c>
      <c r="H6" s="161">
        <v>2019</v>
      </c>
      <c r="I6" s="161">
        <v>2020</v>
      </c>
      <c r="J6" s="161">
        <v>2021</v>
      </c>
      <c r="K6" s="161">
        <v>2022</v>
      </c>
      <c r="L6" s="161">
        <v>2023</v>
      </c>
      <c r="M6" s="161">
        <v>2024</v>
      </c>
      <c r="N6" s="161">
        <v>2025</v>
      </c>
      <c r="O6" s="161">
        <v>2026</v>
      </c>
    </row>
    <row r="7" spans="2:15" ht="21">
      <c r="B7" s="14" t="s">
        <v>18</v>
      </c>
      <c r="E7" s="13" t="s">
        <v>17</v>
      </c>
    </row>
    <row r="8" spans="2:15">
      <c r="B8" s="367" t="str">
        <f>B6</f>
        <v>Data Rate</v>
      </c>
      <c r="C8" s="368" t="str">
        <f>C6</f>
        <v>Reach</v>
      </c>
      <c r="D8" s="368" t="str">
        <f>D6</f>
        <v>Form Factor</v>
      </c>
      <c r="E8" s="269">
        <v>2016</v>
      </c>
      <c r="F8" s="269">
        <v>2017</v>
      </c>
      <c r="G8" s="269">
        <v>2018</v>
      </c>
      <c r="H8" s="269">
        <v>2019</v>
      </c>
      <c r="I8" s="269">
        <v>2020</v>
      </c>
      <c r="J8" s="269">
        <v>2021</v>
      </c>
      <c r="K8" s="269">
        <v>2022</v>
      </c>
      <c r="L8" s="269">
        <v>2023</v>
      </c>
      <c r="M8" s="269">
        <v>2024</v>
      </c>
      <c r="N8" s="269">
        <v>2025</v>
      </c>
      <c r="O8" s="269">
        <v>2026</v>
      </c>
    </row>
    <row r="9" spans="2:15">
      <c r="B9" s="88" t="str">
        <f>Products!B36</f>
        <v>1G</v>
      </c>
      <c r="C9" s="89" t="str">
        <f>Products!C36</f>
        <v>500 m</v>
      </c>
      <c r="D9" s="90" t="str">
        <f>Products!D36</f>
        <v>SFP</v>
      </c>
      <c r="E9" s="91">
        <v>4496175.0999999996</v>
      </c>
      <c r="F9" s="91">
        <v>4278484</v>
      </c>
      <c r="G9" s="91"/>
      <c r="H9" s="91"/>
      <c r="I9" s="91"/>
      <c r="J9" s="91"/>
      <c r="K9" s="91"/>
      <c r="L9" s="91"/>
      <c r="M9" s="91"/>
      <c r="N9" s="91"/>
      <c r="O9" s="91"/>
    </row>
    <row r="10" spans="2:15">
      <c r="B10" s="96" t="str">
        <f>Products!B37</f>
        <v>1G</v>
      </c>
      <c r="C10" s="97" t="str">
        <f>Products!C37</f>
        <v>10 km</v>
      </c>
      <c r="D10" s="98" t="str">
        <f>Products!D37</f>
        <v>SFP</v>
      </c>
      <c r="E10" s="99">
        <v>6043317.0336000007</v>
      </c>
      <c r="F10" s="99">
        <v>4616748.72</v>
      </c>
      <c r="G10" s="99"/>
      <c r="H10" s="99"/>
      <c r="I10" s="99"/>
      <c r="J10" s="99"/>
      <c r="K10" s="99"/>
      <c r="L10" s="99"/>
      <c r="M10" s="99"/>
      <c r="N10" s="99"/>
      <c r="O10" s="99"/>
    </row>
    <row r="11" spans="2:15">
      <c r="B11" s="96" t="str">
        <f>Products!B38</f>
        <v>1G</v>
      </c>
      <c r="C11" s="97" t="str">
        <f>Products!C38</f>
        <v>40 km</v>
      </c>
      <c r="D11" s="98" t="str">
        <f>Products!D38</f>
        <v>SFP</v>
      </c>
      <c r="E11" s="99">
        <v>281281.8125</v>
      </c>
      <c r="F11" s="99">
        <v>238750.2</v>
      </c>
      <c r="G11" s="99"/>
      <c r="H11" s="99"/>
      <c r="I11" s="99"/>
      <c r="J11" s="99"/>
      <c r="K11" s="99"/>
      <c r="L11" s="99"/>
      <c r="M11" s="99"/>
      <c r="N11" s="99"/>
      <c r="O11" s="99"/>
    </row>
    <row r="12" spans="2:15">
      <c r="B12" s="96" t="str">
        <f>Products!B39</f>
        <v>1G</v>
      </c>
      <c r="C12" s="97" t="str">
        <f>Products!C39</f>
        <v>80 km</v>
      </c>
      <c r="D12" s="98" t="str">
        <f>Products!D39</f>
        <v>SFP</v>
      </c>
      <c r="E12" s="99">
        <v>0</v>
      </c>
      <c r="F12" s="99">
        <v>0</v>
      </c>
      <c r="G12" s="99"/>
      <c r="H12" s="99"/>
      <c r="I12" s="99"/>
      <c r="J12" s="99"/>
      <c r="K12" s="99"/>
      <c r="L12" s="99"/>
      <c r="M12" s="99"/>
      <c r="N12" s="99"/>
      <c r="O12" s="99"/>
    </row>
    <row r="13" spans="2:15">
      <c r="B13" s="92" t="str">
        <f>Products!B40</f>
        <v>1G &amp; Fast Ethernet</v>
      </c>
      <c r="C13" s="93" t="str">
        <f>Products!C40</f>
        <v>Various</v>
      </c>
      <c r="D13" s="94" t="str">
        <f>Products!D40</f>
        <v>Legacy/discontinued</v>
      </c>
      <c r="E13" s="95">
        <v>0</v>
      </c>
      <c r="F13" s="95">
        <v>0</v>
      </c>
      <c r="G13" s="95"/>
      <c r="H13" s="95"/>
      <c r="I13" s="95"/>
      <c r="J13" s="95"/>
      <c r="K13" s="95"/>
      <c r="L13" s="95"/>
      <c r="M13" s="95"/>
      <c r="N13" s="95"/>
      <c r="O13" s="95"/>
    </row>
    <row r="14" spans="2:15">
      <c r="B14" s="96" t="str">
        <f>Products!B41</f>
        <v>10G</v>
      </c>
      <c r="C14" s="97" t="str">
        <f>Products!C41</f>
        <v>300 m</v>
      </c>
      <c r="D14" s="97" t="str">
        <f>Products!D41</f>
        <v>XFP</v>
      </c>
      <c r="E14" s="99">
        <v>117811</v>
      </c>
      <c r="F14" s="99">
        <v>83582</v>
      </c>
      <c r="G14" s="99"/>
      <c r="H14" s="99"/>
      <c r="I14" s="99"/>
      <c r="J14" s="99"/>
      <c r="K14" s="99"/>
      <c r="L14" s="99"/>
      <c r="M14" s="99"/>
      <c r="N14" s="99"/>
      <c r="O14" s="99"/>
    </row>
    <row r="15" spans="2:15">
      <c r="B15" s="96" t="str">
        <f>Products!B42</f>
        <v>10G</v>
      </c>
      <c r="C15" s="97" t="str">
        <f>Products!C42</f>
        <v>300 m</v>
      </c>
      <c r="D15" s="97" t="str">
        <f>Products!D42</f>
        <v>SFP+</v>
      </c>
      <c r="E15" s="99">
        <v>5828784.1666400004</v>
      </c>
      <c r="F15" s="99">
        <v>6732983.1762297843</v>
      </c>
      <c r="G15" s="99"/>
      <c r="H15" s="99"/>
      <c r="I15" s="99"/>
      <c r="J15" s="99"/>
      <c r="K15" s="99"/>
      <c r="L15" s="99"/>
      <c r="M15" s="99"/>
      <c r="N15" s="99"/>
      <c r="O15" s="99"/>
    </row>
    <row r="16" spans="2:15">
      <c r="B16" s="96" t="str">
        <f>Products!B43</f>
        <v>10G LRM</v>
      </c>
      <c r="C16" s="97" t="str">
        <f>Products!C43</f>
        <v>220 m</v>
      </c>
      <c r="D16" s="97" t="str">
        <f>Products!D43</f>
        <v>SFP+</v>
      </c>
      <c r="E16" s="99">
        <v>121638</v>
      </c>
      <c r="F16" s="99">
        <v>108162</v>
      </c>
      <c r="G16" s="99"/>
      <c r="H16" s="99"/>
      <c r="I16" s="99"/>
      <c r="J16" s="99"/>
      <c r="K16" s="99"/>
      <c r="L16" s="99"/>
      <c r="M16" s="99"/>
      <c r="N16" s="99"/>
      <c r="O16" s="99"/>
    </row>
    <row r="17" spans="2:15">
      <c r="B17" s="96" t="str">
        <f>Products!B44</f>
        <v>10G</v>
      </c>
      <c r="C17" s="97" t="str">
        <f>Products!C44</f>
        <v>10 km</v>
      </c>
      <c r="D17" s="97" t="str">
        <f>Products!D44</f>
        <v>XFP</v>
      </c>
      <c r="E17" s="99">
        <v>36681.300000000003</v>
      </c>
      <c r="F17" s="99">
        <v>19571.400000000001</v>
      </c>
      <c r="G17" s="99"/>
      <c r="H17" s="99"/>
      <c r="I17" s="99"/>
      <c r="J17" s="99"/>
      <c r="K17" s="99"/>
      <c r="L17" s="99"/>
      <c r="M17" s="99"/>
      <c r="N17" s="99"/>
      <c r="O17" s="99"/>
    </row>
    <row r="18" spans="2:15">
      <c r="B18" s="96" t="str">
        <f>Products!B45</f>
        <v>10G</v>
      </c>
      <c r="C18" s="97" t="str">
        <f>Products!C45</f>
        <v>10 km</v>
      </c>
      <c r="D18" s="97" t="str">
        <f>Products!D45</f>
        <v>SFP+</v>
      </c>
      <c r="E18" s="99">
        <v>3392360.6810269356</v>
      </c>
      <c r="F18" s="99">
        <v>3629959.5306415008</v>
      </c>
      <c r="G18" s="99"/>
      <c r="H18" s="99"/>
      <c r="I18" s="99"/>
      <c r="J18" s="99"/>
      <c r="K18" s="99"/>
      <c r="L18" s="99"/>
      <c r="M18" s="99"/>
      <c r="N18" s="99"/>
      <c r="O18" s="99"/>
    </row>
    <row r="19" spans="2:15">
      <c r="B19" s="96" t="str">
        <f>Products!B46</f>
        <v>10G</v>
      </c>
      <c r="C19" s="97" t="str">
        <f>Products!C46</f>
        <v>40 km</v>
      </c>
      <c r="D19" s="97" t="str">
        <f>Products!D46</f>
        <v>XFP</v>
      </c>
      <c r="E19" s="99">
        <v>0</v>
      </c>
      <c r="F19" s="99">
        <v>0</v>
      </c>
      <c r="G19" s="99"/>
      <c r="H19" s="99"/>
      <c r="I19" s="99"/>
      <c r="J19" s="99"/>
      <c r="K19" s="99"/>
      <c r="L19" s="99"/>
      <c r="M19" s="99"/>
      <c r="N19" s="99"/>
      <c r="O19" s="99"/>
    </row>
    <row r="20" spans="2:15">
      <c r="B20" s="96" t="str">
        <f>Products!B47</f>
        <v>10G</v>
      </c>
      <c r="C20" s="97" t="str">
        <f>Products!C47</f>
        <v>40 km</v>
      </c>
      <c r="D20" s="97" t="str">
        <f>Products!D47</f>
        <v>SFP+</v>
      </c>
      <c r="E20" s="99">
        <v>51581.85000000002</v>
      </c>
      <c r="F20" s="99">
        <v>64579.649999999994</v>
      </c>
      <c r="G20" s="99"/>
      <c r="H20" s="99"/>
      <c r="I20" s="99"/>
      <c r="J20" s="99"/>
      <c r="K20" s="99"/>
      <c r="L20" s="99"/>
      <c r="M20" s="99"/>
      <c r="N20" s="99"/>
      <c r="O20" s="99"/>
    </row>
    <row r="21" spans="2:15">
      <c r="B21" s="96" t="str">
        <f>Products!B48</f>
        <v>10G</v>
      </c>
      <c r="C21" s="97" t="str">
        <f>Products!C48</f>
        <v>80 km</v>
      </c>
      <c r="D21" s="97" t="str">
        <f>Products!D48</f>
        <v>XFP</v>
      </c>
      <c r="E21" s="99">
        <v>0</v>
      </c>
      <c r="F21" s="99">
        <v>0</v>
      </c>
      <c r="G21" s="99"/>
      <c r="H21" s="99"/>
      <c r="I21" s="99"/>
      <c r="J21" s="99"/>
      <c r="K21" s="99"/>
      <c r="L21" s="99"/>
      <c r="M21" s="99"/>
      <c r="N21" s="99"/>
      <c r="O21" s="99"/>
    </row>
    <row r="22" spans="2:15">
      <c r="B22" s="96" t="str">
        <f>Products!B49</f>
        <v>10G</v>
      </c>
      <c r="C22" s="97" t="str">
        <f>Products!C49</f>
        <v>80 km</v>
      </c>
      <c r="D22" s="97" t="str">
        <f>Products!D49</f>
        <v>SFP+</v>
      </c>
      <c r="E22" s="99">
        <v>0</v>
      </c>
      <c r="F22" s="99">
        <v>0</v>
      </c>
      <c r="G22" s="99"/>
      <c r="H22" s="99"/>
      <c r="I22" s="99"/>
      <c r="J22" s="99"/>
      <c r="K22" s="99"/>
      <c r="L22" s="99"/>
      <c r="M22" s="99"/>
      <c r="N22" s="99"/>
      <c r="O22" s="99"/>
    </row>
    <row r="23" spans="2:15">
      <c r="B23" s="96" t="str">
        <f>Products!B50</f>
        <v>10G</v>
      </c>
      <c r="C23" s="97" t="str">
        <f>Products!C50</f>
        <v>Various</v>
      </c>
      <c r="D23" s="97" t="str">
        <f>Products!D50</f>
        <v>Legacy/discontinued</v>
      </c>
      <c r="E23" s="99">
        <v>0</v>
      </c>
      <c r="F23" s="99">
        <v>0</v>
      </c>
      <c r="G23" s="99"/>
      <c r="H23" s="99"/>
      <c r="I23" s="99"/>
      <c r="J23" s="99"/>
      <c r="K23" s="99"/>
      <c r="L23" s="99"/>
      <c r="M23" s="99"/>
      <c r="N23" s="99"/>
      <c r="O23" s="99"/>
    </row>
    <row r="24" spans="2:15">
      <c r="B24" s="88" t="str">
        <f>Products!B51</f>
        <v>25G SR, eSR</v>
      </c>
      <c r="C24" s="89" t="str">
        <f>Products!C51</f>
        <v>100 - 300 m</v>
      </c>
      <c r="D24" s="90" t="str">
        <f>Products!D51</f>
        <v>SFP28</v>
      </c>
      <c r="E24" s="91">
        <v>7146</v>
      </c>
      <c r="F24" s="91">
        <v>95865</v>
      </c>
      <c r="G24" s="91"/>
      <c r="H24" s="91"/>
      <c r="I24" s="91"/>
      <c r="J24" s="91"/>
      <c r="K24" s="91"/>
      <c r="L24" s="91"/>
      <c r="M24" s="91"/>
      <c r="N24" s="91"/>
      <c r="O24" s="91"/>
    </row>
    <row r="25" spans="2:15">
      <c r="B25" s="96" t="str">
        <f>Products!B52</f>
        <v>25G LR</v>
      </c>
      <c r="C25" s="97" t="str">
        <f>Products!C52</f>
        <v>10 km</v>
      </c>
      <c r="D25" s="98" t="str">
        <f>Products!D52</f>
        <v>SFP28</v>
      </c>
      <c r="E25" s="99">
        <v>3183.6</v>
      </c>
      <c r="F25" s="99">
        <v>12223.4</v>
      </c>
      <c r="G25" s="99"/>
      <c r="H25" s="99"/>
      <c r="I25" s="99"/>
      <c r="J25" s="99"/>
      <c r="K25" s="99"/>
      <c r="L25" s="99"/>
      <c r="M25" s="99"/>
      <c r="N25" s="99"/>
      <c r="O25" s="99"/>
    </row>
    <row r="26" spans="2:15">
      <c r="B26" s="92" t="str">
        <f>Products!B53</f>
        <v>25G ER</v>
      </c>
      <c r="C26" s="93" t="str">
        <f>Products!C53</f>
        <v>40 km</v>
      </c>
      <c r="D26" s="94" t="str">
        <f>Products!D53</f>
        <v>SFP28</v>
      </c>
      <c r="E26" s="95">
        <v>0</v>
      </c>
      <c r="F26" s="95">
        <v>0</v>
      </c>
      <c r="G26" s="95"/>
      <c r="H26" s="95"/>
      <c r="I26" s="95"/>
      <c r="J26" s="95"/>
      <c r="K26" s="95"/>
      <c r="L26" s="95"/>
      <c r="M26" s="95"/>
      <c r="N26" s="95"/>
      <c r="O26" s="95"/>
    </row>
    <row r="27" spans="2:15">
      <c r="B27" s="96" t="str">
        <f>Products!B54</f>
        <v>40G SR4</v>
      </c>
      <c r="C27" s="97" t="str">
        <f>Products!C54</f>
        <v>100 m</v>
      </c>
      <c r="D27" s="98" t="str">
        <f>Products!D54</f>
        <v>QSFP+</v>
      </c>
      <c r="E27" s="91">
        <v>63993.500000000015</v>
      </c>
      <c r="F27" s="91">
        <v>79381.200000000012</v>
      </c>
      <c r="G27" s="91"/>
      <c r="H27" s="91"/>
      <c r="I27" s="91"/>
      <c r="J27" s="91"/>
      <c r="K27" s="91"/>
      <c r="L27" s="91"/>
      <c r="M27" s="91"/>
      <c r="N27" s="91"/>
      <c r="O27" s="91"/>
    </row>
    <row r="28" spans="2:15">
      <c r="B28" s="96" t="str">
        <f>Products!B55</f>
        <v>40G MM duplex</v>
      </c>
      <c r="C28" s="97" t="str">
        <f>Products!C55</f>
        <v>100 m</v>
      </c>
      <c r="D28" s="98" t="str">
        <f>Products!D55</f>
        <v>QSFP+</v>
      </c>
      <c r="E28" s="99">
        <v>614294</v>
      </c>
      <c r="F28" s="99">
        <v>750519</v>
      </c>
      <c r="G28" s="99"/>
      <c r="H28" s="99"/>
      <c r="I28" s="99"/>
      <c r="J28" s="99"/>
      <c r="K28" s="99"/>
      <c r="L28" s="99"/>
      <c r="M28" s="99"/>
      <c r="N28" s="99"/>
      <c r="O28" s="99"/>
    </row>
    <row r="29" spans="2:15">
      <c r="B29" s="96" t="str">
        <f>Products!B56</f>
        <v>40G eSR4</v>
      </c>
      <c r="C29" s="97" t="str">
        <f>Products!C56</f>
        <v>300 m</v>
      </c>
      <c r="D29" s="98" t="str">
        <f>Products!D56</f>
        <v>QSFP+</v>
      </c>
      <c r="E29" s="99">
        <v>27526.900000000005</v>
      </c>
      <c r="F29" s="99">
        <v>46653.500000000007</v>
      </c>
      <c r="G29" s="99"/>
      <c r="H29" s="99"/>
      <c r="I29" s="99"/>
      <c r="J29" s="99"/>
      <c r="K29" s="99"/>
      <c r="L29" s="99"/>
      <c r="M29" s="99"/>
      <c r="N29" s="99"/>
      <c r="O29" s="99"/>
    </row>
    <row r="30" spans="2:15">
      <c r="B30" s="96" t="s">
        <v>287</v>
      </c>
      <c r="C30" s="97" t="s">
        <v>45</v>
      </c>
      <c r="D30" s="98" t="s">
        <v>94</v>
      </c>
      <c r="E30" s="192">
        <v>0</v>
      </c>
      <c r="F30" s="192">
        <v>0</v>
      </c>
      <c r="G30" s="192"/>
      <c r="H30" s="192"/>
      <c r="I30" s="192"/>
      <c r="J30" s="192"/>
      <c r="K30" s="192"/>
      <c r="L30" s="192"/>
      <c r="M30" s="192"/>
      <c r="N30" s="192"/>
      <c r="O30" s="192"/>
    </row>
    <row r="31" spans="2:15">
      <c r="B31" s="96" t="str">
        <f>Products!B58</f>
        <v>40G (FR)</v>
      </c>
      <c r="C31" s="97" t="str">
        <f>Products!C58</f>
        <v>2 km</v>
      </c>
      <c r="D31" s="98" t="str">
        <f>Products!D58</f>
        <v>CFP</v>
      </c>
      <c r="E31" s="99">
        <v>0</v>
      </c>
      <c r="F31" s="99">
        <v>0</v>
      </c>
      <c r="G31" s="99"/>
      <c r="H31" s="99"/>
      <c r="I31" s="99"/>
      <c r="J31" s="99"/>
      <c r="K31" s="99"/>
      <c r="L31" s="99"/>
      <c r="M31" s="99"/>
      <c r="N31" s="99"/>
      <c r="O31" s="99"/>
    </row>
    <row r="32" spans="2:15">
      <c r="B32" s="96" t="str">
        <f>Products!B59</f>
        <v>40G (LR4 subspec)</v>
      </c>
      <c r="C32" s="97" t="str">
        <f>Products!C59</f>
        <v>2 km</v>
      </c>
      <c r="D32" s="98" t="str">
        <f>Products!D59</f>
        <v>QSFP+</v>
      </c>
      <c r="E32" s="99">
        <v>0</v>
      </c>
      <c r="F32" s="99">
        <v>0</v>
      </c>
      <c r="G32" s="99"/>
      <c r="H32" s="99"/>
      <c r="I32" s="99"/>
      <c r="J32" s="99"/>
      <c r="K32" s="99"/>
      <c r="L32" s="99"/>
      <c r="M32" s="99"/>
      <c r="N32" s="99"/>
      <c r="O32" s="99"/>
    </row>
    <row r="33" spans="2:15">
      <c r="B33" s="96" t="str">
        <f>Products!B60</f>
        <v>40G</v>
      </c>
      <c r="C33" s="97" t="str">
        <f>Products!C60</f>
        <v>10 km</v>
      </c>
      <c r="D33" s="98" t="str">
        <f>Products!D60</f>
        <v>CFP</v>
      </c>
      <c r="E33" s="99">
        <v>0</v>
      </c>
      <c r="F33" s="99">
        <v>0</v>
      </c>
      <c r="G33" s="99"/>
      <c r="H33" s="99"/>
      <c r="I33" s="99"/>
      <c r="J33" s="99"/>
      <c r="K33" s="99"/>
      <c r="L33" s="99"/>
      <c r="M33" s="99"/>
      <c r="N33" s="99"/>
      <c r="O33" s="99"/>
    </row>
    <row r="34" spans="2:15">
      <c r="B34" s="96" t="str">
        <f>Products!B61</f>
        <v>40G</v>
      </c>
      <c r="C34" s="97" t="str">
        <f>Products!C61</f>
        <v>10 km</v>
      </c>
      <c r="D34" s="98" t="str">
        <f>Products!D61</f>
        <v>QSFP+</v>
      </c>
      <c r="E34" s="99">
        <v>65446.199999999983</v>
      </c>
      <c r="F34" s="99">
        <v>84871.599999999977</v>
      </c>
      <c r="G34" s="99"/>
      <c r="H34" s="99"/>
      <c r="I34" s="99"/>
      <c r="J34" s="99"/>
      <c r="K34" s="99"/>
      <c r="L34" s="99"/>
      <c r="M34" s="99"/>
      <c r="N34" s="99"/>
      <c r="O34" s="99"/>
    </row>
    <row r="35" spans="2:15">
      <c r="B35" s="92" t="str">
        <f>Products!B62</f>
        <v>40G</v>
      </c>
      <c r="C35" s="93" t="str">
        <f>Products!C62</f>
        <v>40 km</v>
      </c>
      <c r="D35" s="94" t="str">
        <f>Products!D62</f>
        <v>QSFP+</v>
      </c>
      <c r="E35" s="95">
        <v>2202.3000000000002</v>
      </c>
      <c r="F35" s="95">
        <v>2824.64</v>
      </c>
      <c r="G35" s="95"/>
      <c r="H35" s="95"/>
      <c r="I35" s="95"/>
      <c r="J35" s="95"/>
      <c r="K35" s="95"/>
      <c r="L35" s="95"/>
      <c r="M35" s="95"/>
      <c r="N35" s="95"/>
      <c r="O35" s="95"/>
    </row>
    <row r="36" spans="2:15">
      <c r="B36" s="88" t="str">
        <f>Products!B63</f>
        <v xml:space="preserve">50G </v>
      </c>
      <c r="C36" s="89" t="str">
        <f>Products!C63</f>
        <v>100 m</v>
      </c>
      <c r="D36" s="90" t="str">
        <f>Products!D63</f>
        <v>all</v>
      </c>
      <c r="E36" s="91">
        <v>0</v>
      </c>
      <c r="F36" s="91">
        <v>0</v>
      </c>
      <c r="G36" s="91"/>
      <c r="H36" s="91"/>
      <c r="I36" s="91"/>
      <c r="J36" s="91"/>
      <c r="K36" s="91"/>
      <c r="L36" s="91"/>
      <c r="M36" s="91"/>
      <c r="N36" s="91"/>
      <c r="O36" s="91"/>
    </row>
    <row r="37" spans="2:15">
      <c r="B37" s="96" t="str">
        <f>Products!B64</f>
        <v xml:space="preserve">50G </v>
      </c>
      <c r="C37" s="97" t="str">
        <f>Products!C64</f>
        <v>2 km</v>
      </c>
      <c r="D37" s="98" t="str">
        <f>Products!D64</f>
        <v>all</v>
      </c>
      <c r="E37" s="99">
        <v>0</v>
      </c>
      <c r="F37" s="99">
        <v>0</v>
      </c>
      <c r="G37" s="99"/>
      <c r="H37" s="99"/>
      <c r="I37" s="99"/>
      <c r="J37" s="99"/>
      <c r="K37" s="99"/>
      <c r="L37" s="99"/>
      <c r="M37" s="99"/>
      <c r="N37" s="99"/>
      <c r="O37" s="99"/>
    </row>
    <row r="38" spans="2:15">
      <c r="B38" s="96" t="str">
        <f>Products!B65</f>
        <v xml:space="preserve">50G </v>
      </c>
      <c r="C38" s="97" t="str">
        <f>Products!C65</f>
        <v>10 km</v>
      </c>
      <c r="D38" s="98" t="str">
        <f>Products!D65</f>
        <v>all</v>
      </c>
      <c r="E38" s="99">
        <v>0</v>
      </c>
      <c r="F38" s="99">
        <v>0</v>
      </c>
      <c r="G38" s="99"/>
      <c r="H38" s="99"/>
      <c r="I38" s="99"/>
      <c r="J38" s="99"/>
      <c r="K38" s="99"/>
      <c r="L38" s="99"/>
      <c r="M38" s="99"/>
      <c r="N38" s="99"/>
      <c r="O38" s="99"/>
    </row>
    <row r="39" spans="2:15">
      <c r="B39" s="88" t="str">
        <f>Products!B68</f>
        <v>100G SR4</v>
      </c>
      <c r="C39" s="89" t="str">
        <f>Products!C68</f>
        <v>100 m</v>
      </c>
      <c r="D39" s="90" t="str">
        <f>Products!D68</f>
        <v>CFP</v>
      </c>
      <c r="E39" s="91">
        <v>0</v>
      </c>
      <c r="F39" s="91">
        <v>0</v>
      </c>
      <c r="G39" s="91"/>
      <c r="H39" s="91"/>
      <c r="I39" s="91"/>
      <c r="J39" s="91"/>
      <c r="K39" s="91"/>
      <c r="L39" s="91"/>
      <c r="M39" s="91"/>
      <c r="N39" s="91"/>
      <c r="O39" s="91"/>
    </row>
    <row r="40" spans="2:15">
      <c r="B40" s="96" t="str">
        <f>Products!B69</f>
        <v>100G SR4</v>
      </c>
      <c r="C40" s="97" t="str">
        <f>Products!C69</f>
        <v>100 m</v>
      </c>
      <c r="D40" s="98" t="str">
        <f>Products!D69</f>
        <v>CFP2/4</v>
      </c>
      <c r="E40" s="99">
        <v>0</v>
      </c>
      <c r="F40" s="99">
        <v>0</v>
      </c>
      <c r="G40" s="99"/>
      <c r="H40" s="99"/>
      <c r="I40" s="99"/>
      <c r="J40" s="99"/>
      <c r="K40" s="99"/>
      <c r="L40" s="99"/>
      <c r="M40" s="99"/>
      <c r="N40" s="99"/>
      <c r="O40" s="99"/>
    </row>
    <row r="41" spans="2:15">
      <c r="B41" s="96" t="str">
        <f>Products!B70</f>
        <v>100G SR4</v>
      </c>
      <c r="C41" s="97" t="str">
        <f>Products!C70</f>
        <v>100 m</v>
      </c>
      <c r="D41" s="98" t="str">
        <f>Products!D70</f>
        <v>QSFP28</v>
      </c>
      <c r="E41" s="99">
        <v>0</v>
      </c>
      <c r="F41" s="99">
        <v>0</v>
      </c>
      <c r="G41" s="99"/>
      <c r="H41" s="99"/>
      <c r="I41" s="99"/>
      <c r="J41" s="99"/>
      <c r="K41" s="99"/>
      <c r="L41" s="99"/>
      <c r="M41" s="99"/>
      <c r="N41" s="99"/>
      <c r="O41" s="99"/>
    </row>
    <row r="42" spans="2:15">
      <c r="B42" s="96" t="str">
        <f>Products!B71</f>
        <v>100G SR2</v>
      </c>
      <c r="C42" s="97" t="str">
        <f>Products!C71</f>
        <v>100 m</v>
      </c>
      <c r="D42" s="98" t="str">
        <f>Products!D71</f>
        <v>All</v>
      </c>
      <c r="E42" s="99">
        <v>0</v>
      </c>
      <c r="F42" s="99">
        <v>0</v>
      </c>
      <c r="G42" s="99"/>
      <c r="H42" s="99"/>
      <c r="I42" s="99"/>
      <c r="J42" s="99"/>
      <c r="K42" s="99"/>
      <c r="L42" s="99"/>
      <c r="M42" s="99"/>
      <c r="N42" s="99"/>
      <c r="O42" s="99"/>
    </row>
    <row r="43" spans="2:15">
      <c r="B43" s="96" t="str">
        <f>Products!B72</f>
        <v>100G MM Duplex</v>
      </c>
      <c r="C43" s="97" t="str">
        <f>Products!C72</f>
        <v>100 - 300 m</v>
      </c>
      <c r="D43" s="98" t="str">
        <f>Products!D72</f>
        <v>QSFP28</v>
      </c>
      <c r="E43" s="99">
        <v>0</v>
      </c>
      <c r="F43" s="99">
        <v>0</v>
      </c>
      <c r="G43" s="99"/>
      <c r="H43" s="99"/>
      <c r="I43" s="99"/>
      <c r="J43" s="99"/>
      <c r="K43" s="99"/>
      <c r="L43" s="99"/>
      <c r="M43" s="99"/>
      <c r="N43" s="99"/>
      <c r="O43" s="99"/>
    </row>
    <row r="44" spans="2:15">
      <c r="B44" s="96" t="str">
        <f>Products!B73</f>
        <v>100G eSR4</v>
      </c>
      <c r="C44" s="97" t="str">
        <f>Products!C73</f>
        <v>300 m</v>
      </c>
      <c r="D44" s="98" t="str">
        <f>Products!D73</f>
        <v>QSFP28</v>
      </c>
      <c r="E44" s="99">
        <v>0</v>
      </c>
      <c r="F44" s="99">
        <v>0</v>
      </c>
      <c r="G44" s="99"/>
      <c r="H44" s="99"/>
      <c r="I44" s="99"/>
      <c r="J44" s="99"/>
      <c r="K44" s="99"/>
      <c r="L44" s="99"/>
      <c r="M44" s="99"/>
      <c r="N44" s="99"/>
      <c r="O44" s="99"/>
    </row>
    <row r="45" spans="2:15">
      <c r="B45" s="96" t="str">
        <f>Products!B74</f>
        <v>100G PSM4</v>
      </c>
      <c r="C45" s="97" t="str">
        <f>Products!C74</f>
        <v>500 m</v>
      </c>
      <c r="D45" s="98" t="str">
        <f>Products!D74</f>
        <v>QSFP28</v>
      </c>
      <c r="E45" s="99">
        <v>0</v>
      </c>
      <c r="F45" s="99">
        <v>0</v>
      </c>
      <c r="G45" s="99"/>
      <c r="H45" s="99"/>
      <c r="I45" s="99"/>
      <c r="J45" s="99"/>
      <c r="K45" s="99"/>
      <c r="L45" s="99"/>
      <c r="M45" s="99"/>
      <c r="N45" s="99"/>
      <c r="O45" s="99"/>
    </row>
    <row r="46" spans="2:15">
      <c r="B46" s="96" t="str">
        <f>Products!B75</f>
        <v>100G DR/DR+</v>
      </c>
      <c r="C46" s="97" t="str">
        <f>Products!C75</f>
        <v>500m, 2km</v>
      </c>
      <c r="D46" s="98" t="str">
        <f>Products!D75</f>
        <v>QSFP28</v>
      </c>
      <c r="E46" s="99">
        <v>0</v>
      </c>
      <c r="F46" s="99">
        <v>0</v>
      </c>
      <c r="G46" s="99"/>
      <c r="H46" s="99"/>
      <c r="I46" s="99"/>
      <c r="J46" s="99"/>
      <c r="K46" s="99"/>
      <c r="L46" s="99"/>
      <c r="M46" s="99"/>
      <c r="N46" s="99"/>
      <c r="O46" s="99"/>
    </row>
    <row r="47" spans="2:15">
      <c r="B47" s="96" t="str">
        <f>Products!B76</f>
        <v>100G CWDM4-subspec</v>
      </c>
      <c r="C47" s="97" t="str">
        <f>Products!C76</f>
        <v>500 m</v>
      </c>
      <c r="D47" s="98" t="str">
        <f>Products!D76</f>
        <v>QSFP28</v>
      </c>
      <c r="E47" s="99">
        <v>0</v>
      </c>
      <c r="F47" s="99">
        <v>0</v>
      </c>
      <c r="G47" s="99"/>
      <c r="H47" s="99"/>
      <c r="I47" s="99"/>
      <c r="J47" s="99"/>
      <c r="K47" s="99"/>
      <c r="L47" s="99"/>
      <c r="M47" s="99"/>
      <c r="N47" s="99"/>
      <c r="O47" s="99"/>
    </row>
    <row r="48" spans="2:15">
      <c r="B48" s="96" t="str">
        <f>Products!B77</f>
        <v>100G CWDM4</v>
      </c>
      <c r="C48" s="97" t="str">
        <f>Products!C77</f>
        <v>2 km</v>
      </c>
      <c r="D48" s="98" t="str">
        <f>Products!D77</f>
        <v>QSFP28</v>
      </c>
      <c r="E48" s="99">
        <v>0</v>
      </c>
      <c r="F48" s="99">
        <v>0</v>
      </c>
      <c r="G48" s="99"/>
      <c r="H48" s="99"/>
      <c r="I48" s="99"/>
      <c r="J48" s="99"/>
      <c r="K48" s="99"/>
      <c r="L48" s="99"/>
      <c r="M48" s="99"/>
      <c r="N48" s="99"/>
      <c r="O48" s="99"/>
    </row>
    <row r="49" spans="2:15">
      <c r="B49" s="96" t="str">
        <f>Products!B78</f>
        <v>100G FR1</v>
      </c>
      <c r="C49" s="97" t="str">
        <f>Products!C78</f>
        <v>2 km</v>
      </c>
      <c r="D49" s="98" t="str">
        <f>Products!D78</f>
        <v>QSFP28</v>
      </c>
      <c r="E49" s="99">
        <v>0</v>
      </c>
      <c r="F49" s="99">
        <v>0</v>
      </c>
      <c r="G49" s="99"/>
      <c r="H49" s="99"/>
      <c r="I49" s="99"/>
      <c r="J49" s="99"/>
      <c r="K49" s="99"/>
      <c r="L49" s="99"/>
      <c r="M49" s="99"/>
      <c r="N49" s="99"/>
      <c r="O49" s="99"/>
    </row>
    <row r="50" spans="2:15">
      <c r="B50" s="96" t="str">
        <f>Products!B79</f>
        <v>100G LR4</v>
      </c>
      <c r="C50" s="97" t="str">
        <f>Products!C79</f>
        <v>10 km</v>
      </c>
      <c r="D50" s="98" t="str">
        <f>Products!D79</f>
        <v>CFP</v>
      </c>
      <c r="E50" s="99">
        <v>0</v>
      </c>
      <c r="F50" s="99">
        <v>0</v>
      </c>
      <c r="G50" s="99"/>
      <c r="H50" s="99"/>
      <c r="I50" s="99"/>
      <c r="J50" s="99"/>
      <c r="K50" s="99"/>
      <c r="L50" s="99"/>
      <c r="M50" s="99"/>
      <c r="N50" s="99"/>
      <c r="O50" s="99"/>
    </row>
    <row r="51" spans="2:15">
      <c r="B51" s="96" t="str">
        <f>Products!B80</f>
        <v>100G LR4</v>
      </c>
      <c r="C51" s="97" t="str">
        <f>Products!C80</f>
        <v>10 km</v>
      </c>
      <c r="D51" s="98" t="str">
        <f>Products!D80</f>
        <v>CFP2/4</v>
      </c>
      <c r="E51" s="99">
        <v>0</v>
      </c>
      <c r="F51" s="99">
        <v>0</v>
      </c>
      <c r="G51" s="99"/>
      <c r="H51" s="99"/>
      <c r="I51" s="99"/>
      <c r="J51" s="99"/>
      <c r="K51" s="99"/>
      <c r="L51" s="99"/>
      <c r="M51" s="99"/>
      <c r="N51" s="99"/>
      <c r="O51" s="99"/>
    </row>
    <row r="52" spans="2:15">
      <c r="B52" s="96" t="str">
        <f>Products!B81</f>
        <v>100G LR4 and LR1</v>
      </c>
      <c r="C52" s="97" t="str">
        <f>Products!C81</f>
        <v>10 km</v>
      </c>
      <c r="D52" s="98" t="str">
        <f>Products!D81</f>
        <v>QSFP28</v>
      </c>
      <c r="E52" s="99">
        <v>0</v>
      </c>
      <c r="F52" s="99">
        <v>0</v>
      </c>
      <c r="G52" s="99"/>
      <c r="H52" s="99"/>
      <c r="I52" s="99"/>
      <c r="J52" s="99"/>
      <c r="K52" s="99"/>
      <c r="L52" s="99"/>
      <c r="M52" s="99"/>
      <c r="N52" s="99"/>
      <c r="O52" s="99"/>
    </row>
    <row r="53" spans="2:15">
      <c r="B53" s="96" t="str">
        <f>Products!B82</f>
        <v>100G 4WDM10</v>
      </c>
      <c r="C53" s="97" t="str">
        <f>Products!C82</f>
        <v>10 km</v>
      </c>
      <c r="D53" s="98" t="str">
        <f>Products!D82</f>
        <v>QSFP28</v>
      </c>
      <c r="E53" s="99">
        <v>0</v>
      </c>
      <c r="F53" s="99">
        <v>4499.9999999999991</v>
      </c>
      <c r="G53" s="99"/>
      <c r="H53" s="99"/>
      <c r="I53" s="99"/>
      <c r="J53" s="99"/>
      <c r="K53" s="99"/>
      <c r="L53" s="99"/>
      <c r="M53" s="99"/>
      <c r="N53" s="99"/>
      <c r="O53" s="99"/>
    </row>
    <row r="54" spans="2:15">
      <c r="B54" s="96" t="str">
        <f>Products!B83</f>
        <v>100G 4WDM20</v>
      </c>
      <c r="C54" s="97" t="str">
        <f>Products!C83</f>
        <v>20 km</v>
      </c>
      <c r="D54" s="98" t="str">
        <f>Products!D83</f>
        <v>QSFP28</v>
      </c>
      <c r="E54" s="99">
        <v>0</v>
      </c>
      <c r="F54" s="99">
        <v>0</v>
      </c>
      <c r="G54" s="99"/>
      <c r="H54" s="99"/>
      <c r="I54" s="99"/>
      <c r="J54" s="99"/>
      <c r="K54" s="99"/>
      <c r="L54" s="99"/>
      <c r="M54" s="99"/>
      <c r="N54" s="99"/>
      <c r="O54" s="99"/>
    </row>
    <row r="55" spans="2:15">
      <c r="B55" s="96" t="str">
        <f>Products!B84</f>
        <v>100G ER4-Lite</v>
      </c>
      <c r="C55" s="97" t="str">
        <f>Products!C84</f>
        <v>30 km</v>
      </c>
      <c r="D55" s="98" t="str">
        <f>Products!D84</f>
        <v>QSFP28</v>
      </c>
      <c r="E55" s="99">
        <v>0</v>
      </c>
      <c r="F55" s="99">
        <v>0</v>
      </c>
      <c r="G55" s="99"/>
      <c r="H55" s="99"/>
      <c r="I55" s="99"/>
      <c r="J55" s="99"/>
      <c r="K55" s="99"/>
      <c r="L55" s="99"/>
      <c r="M55" s="99"/>
      <c r="N55" s="99"/>
      <c r="O55" s="99"/>
    </row>
    <row r="56" spans="2:15">
      <c r="B56" s="96" t="str">
        <f>Products!B85</f>
        <v>100G ER4</v>
      </c>
      <c r="C56" s="97" t="str">
        <f>Products!C85</f>
        <v>40 km</v>
      </c>
      <c r="D56" s="98" t="str">
        <f>Products!D85</f>
        <v>QSFP28</v>
      </c>
      <c r="E56" s="99">
        <v>0</v>
      </c>
      <c r="F56" s="99">
        <v>0</v>
      </c>
      <c r="G56" s="99"/>
      <c r="H56" s="99"/>
      <c r="I56" s="99"/>
      <c r="J56" s="99"/>
      <c r="K56" s="99"/>
      <c r="L56" s="99"/>
      <c r="M56" s="99"/>
      <c r="N56" s="99"/>
      <c r="O56" s="99"/>
    </row>
    <row r="57" spans="2:15">
      <c r="B57" s="96" t="str">
        <f>Products!B86</f>
        <v>100G ZR4</v>
      </c>
      <c r="C57" s="97" t="str">
        <f>Products!C86</f>
        <v>80 km</v>
      </c>
      <c r="D57" s="98" t="str">
        <f>Products!D86</f>
        <v>QSFP28</v>
      </c>
      <c r="E57" s="95">
        <v>0</v>
      </c>
      <c r="F57" s="95">
        <v>0</v>
      </c>
      <c r="G57" s="95"/>
      <c r="H57" s="95"/>
      <c r="I57" s="95"/>
      <c r="J57" s="95"/>
      <c r="K57" s="95"/>
      <c r="L57" s="95"/>
      <c r="M57" s="95"/>
      <c r="N57" s="95"/>
      <c r="O57" s="95"/>
    </row>
    <row r="58" spans="2:15">
      <c r="B58" s="88" t="str">
        <f>Products!B87</f>
        <v>200G SR4</v>
      </c>
      <c r="C58" s="89" t="str">
        <f>Products!C87</f>
        <v>100 m</v>
      </c>
      <c r="D58" s="90" t="str">
        <f>Products!D87</f>
        <v>QSFP56</v>
      </c>
      <c r="E58" s="91">
        <v>0</v>
      </c>
      <c r="F58" s="91">
        <v>0</v>
      </c>
      <c r="G58" s="91"/>
      <c r="H58" s="91"/>
      <c r="I58" s="91"/>
      <c r="J58" s="91"/>
      <c r="K58" s="91"/>
      <c r="L58" s="91"/>
      <c r="M58" s="91"/>
      <c r="N58" s="91"/>
      <c r="O58" s="91"/>
    </row>
    <row r="59" spans="2:15">
      <c r="B59" s="96" t="str">
        <f>Products!B88</f>
        <v>2x200 (400G-SR8)</v>
      </c>
      <c r="C59" s="97" t="str">
        <f>Products!C88</f>
        <v>100 m</v>
      </c>
      <c r="D59" s="98" t="str">
        <f>Products!D88</f>
        <v>OSFP, QSFP-DD</v>
      </c>
      <c r="E59" s="99">
        <v>0</v>
      </c>
      <c r="F59" s="99">
        <v>0</v>
      </c>
      <c r="G59" s="99"/>
      <c r="H59" s="99"/>
      <c r="I59" s="99"/>
      <c r="J59" s="99"/>
      <c r="K59" s="99"/>
      <c r="L59" s="99"/>
      <c r="M59" s="99"/>
      <c r="N59" s="99"/>
      <c r="O59" s="99"/>
    </row>
    <row r="60" spans="2:15">
      <c r="B60" s="96" t="str">
        <f>Products!B89</f>
        <v>200G FR4</v>
      </c>
      <c r="C60" s="97" t="str">
        <f>Products!C89</f>
        <v>3 km</v>
      </c>
      <c r="D60" s="98" t="str">
        <f>Products!D89</f>
        <v>QSFP56</v>
      </c>
      <c r="E60" s="99">
        <v>0</v>
      </c>
      <c r="F60" s="99">
        <v>0</v>
      </c>
      <c r="G60" s="99"/>
      <c r="H60" s="99"/>
      <c r="I60" s="99"/>
      <c r="J60" s="99"/>
      <c r="K60" s="99"/>
      <c r="L60" s="99"/>
      <c r="M60" s="99"/>
      <c r="N60" s="99"/>
      <c r="O60" s="99"/>
    </row>
    <row r="61" spans="2:15">
      <c r="B61" s="92" t="str">
        <f>Products!B90</f>
        <v>2x(200G FR4)</v>
      </c>
      <c r="C61" s="93" t="str">
        <f>Products!C90</f>
        <v>2 km</v>
      </c>
      <c r="D61" s="94" t="str">
        <f>Products!D90</f>
        <v>OSFP</v>
      </c>
      <c r="E61" s="95">
        <v>0</v>
      </c>
      <c r="F61" s="95">
        <v>0</v>
      </c>
      <c r="G61" s="95"/>
      <c r="H61" s="95"/>
      <c r="I61" s="95"/>
      <c r="J61" s="95"/>
      <c r="K61" s="95"/>
      <c r="L61" s="95"/>
      <c r="M61" s="95"/>
      <c r="N61" s="95"/>
      <c r="O61" s="95"/>
    </row>
    <row r="62" spans="2:15">
      <c r="B62" s="88" t="str">
        <f>Products!B91</f>
        <v>400G SR4.2, SR4</v>
      </c>
      <c r="C62" s="89" t="str">
        <f>Products!C91</f>
        <v>100 m</v>
      </c>
      <c r="D62" s="90" t="str">
        <f>Products!D91</f>
        <v>OSFP, QSFP-DD, QSFP112</v>
      </c>
      <c r="E62" s="91">
        <v>0</v>
      </c>
      <c r="F62" s="91">
        <v>0</v>
      </c>
      <c r="G62" s="91"/>
      <c r="H62" s="91"/>
      <c r="I62" s="91"/>
      <c r="J62" s="91"/>
      <c r="K62" s="91"/>
      <c r="L62" s="91"/>
      <c r="M62" s="91"/>
      <c r="N62" s="91"/>
      <c r="O62" s="91"/>
    </row>
    <row r="63" spans="2:15">
      <c r="B63" s="96" t="str">
        <f>Products!B92</f>
        <v>400G DR4</v>
      </c>
      <c r="C63" s="97" t="str">
        <f>Products!C92</f>
        <v>500 m</v>
      </c>
      <c r="D63" s="98" t="str">
        <f>Products!D92</f>
        <v>OSFP, QSFP-DD, QSFP112</v>
      </c>
      <c r="E63" s="99">
        <v>0</v>
      </c>
      <c r="F63" s="99">
        <v>0</v>
      </c>
      <c r="G63" s="99"/>
      <c r="H63" s="99"/>
      <c r="I63" s="99"/>
      <c r="J63" s="99"/>
      <c r="K63" s="99"/>
      <c r="L63" s="99"/>
      <c r="M63" s="99"/>
      <c r="N63" s="99"/>
      <c r="O63" s="99"/>
    </row>
    <row r="64" spans="2:15">
      <c r="B64" s="96" t="str">
        <f>Products!B93</f>
        <v>400G FR4</v>
      </c>
      <c r="C64" s="97" t="str">
        <f>Products!C93</f>
        <v>2 km</v>
      </c>
      <c r="D64" s="98" t="str">
        <f>Products!D93</f>
        <v>OSFP, QSFP-DD, QSFP112</v>
      </c>
      <c r="E64" s="99">
        <v>0</v>
      </c>
      <c r="F64" s="99">
        <v>0</v>
      </c>
      <c r="G64" s="99"/>
      <c r="H64" s="99"/>
      <c r="I64" s="99"/>
      <c r="J64" s="99"/>
      <c r="K64" s="99"/>
      <c r="L64" s="99"/>
      <c r="M64" s="99"/>
      <c r="N64" s="99"/>
      <c r="O64" s="99"/>
    </row>
    <row r="65" spans="2:15">
      <c r="B65" s="92" t="str">
        <f>Products!B94</f>
        <v>400G LR4, LR8</v>
      </c>
      <c r="C65" s="93" t="str">
        <f>Products!C94</f>
        <v>10 km</v>
      </c>
      <c r="D65" s="94" t="str">
        <f>Products!D94</f>
        <v>OSFP, QSFP-DD, QSFP112</v>
      </c>
      <c r="E65" s="95">
        <v>0</v>
      </c>
      <c r="F65" s="95">
        <v>0</v>
      </c>
      <c r="G65" s="95"/>
      <c r="H65" s="95"/>
      <c r="I65" s="95"/>
      <c r="J65" s="95"/>
      <c r="K65" s="95"/>
      <c r="L65" s="95"/>
      <c r="M65" s="95"/>
      <c r="N65" s="95"/>
      <c r="O65" s="95"/>
    </row>
    <row r="66" spans="2:15" s="101" customFormat="1">
      <c r="B66" s="96" t="str">
        <f>Products!B95</f>
        <v>800G SR8</v>
      </c>
      <c r="C66" s="97" t="str">
        <f>Products!C95</f>
        <v>50 m</v>
      </c>
      <c r="D66" s="98" t="str">
        <f>Products!D95</f>
        <v>OSFP, QSFP-DD800</v>
      </c>
      <c r="E66" s="99">
        <v>0</v>
      </c>
      <c r="F66" s="99">
        <v>0</v>
      </c>
      <c r="G66" s="99"/>
      <c r="H66" s="99"/>
      <c r="I66" s="99"/>
      <c r="J66" s="99"/>
      <c r="K66" s="99"/>
      <c r="L66" s="99"/>
      <c r="M66" s="99"/>
      <c r="N66" s="99"/>
      <c r="O66" s="99"/>
    </row>
    <row r="67" spans="2:15" s="101" customFormat="1">
      <c r="B67" s="96" t="str">
        <f>Products!B96</f>
        <v>800G PSM8</v>
      </c>
      <c r="C67" s="97" t="str">
        <f>Products!C96</f>
        <v>500 m</v>
      </c>
      <c r="D67" s="98" t="str">
        <f>Products!D96</f>
        <v>OSFP, QSFP-DD800</v>
      </c>
      <c r="E67" s="99">
        <v>0</v>
      </c>
      <c r="F67" s="99">
        <v>0</v>
      </c>
      <c r="G67" s="99"/>
      <c r="H67" s="99"/>
      <c r="I67" s="99"/>
      <c r="J67" s="99"/>
      <c r="K67" s="99"/>
      <c r="L67" s="99"/>
      <c r="M67" s="99"/>
      <c r="N67" s="99"/>
      <c r="O67" s="99"/>
    </row>
    <row r="68" spans="2:15" s="101" customFormat="1">
      <c r="B68" s="96" t="str">
        <f>Products!B97</f>
        <v>2x(400G FR4)</v>
      </c>
      <c r="C68" s="97" t="str">
        <f>Products!C97</f>
        <v>2 km</v>
      </c>
      <c r="D68" s="98" t="str">
        <f>Products!D97</f>
        <v>OSFP, QSFP-DD800</v>
      </c>
      <c r="E68" s="99">
        <v>0</v>
      </c>
      <c r="F68" s="99">
        <v>0</v>
      </c>
      <c r="G68" s="99"/>
      <c r="H68" s="99"/>
      <c r="I68" s="99"/>
      <c r="J68" s="99"/>
      <c r="K68" s="99"/>
      <c r="L68" s="99"/>
      <c r="M68" s="99"/>
      <c r="N68" s="99"/>
      <c r="O68" s="99"/>
    </row>
    <row r="69" spans="2:15" s="101" customFormat="1">
      <c r="B69" s="92"/>
      <c r="C69" s="93"/>
      <c r="D69" s="94"/>
      <c r="E69" s="95"/>
      <c r="F69" s="95"/>
      <c r="G69" s="95"/>
      <c r="H69" s="95"/>
      <c r="I69" s="95"/>
      <c r="J69" s="95"/>
      <c r="K69" s="95"/>
      <c r="L69" s="95"/>
      <c r="M69" s="95"/>
      <c r="N69" s="95"/>
      <c r="O69" s="95"/>
    </row>
    <row r="70" spans="2:15">
      <c r="B70" s="51" t="s">
        <v>20</v>
      </c>
      <c r="C70" s="52"/>
      <c r="D70" s="53"/>
      <c r="E70" s="105">
        <f t="shared" ref="E70:O70" si="0">SUM(E9:E69)</f>
        <v>21153423.44376694</v>
      </c>
      <c r="F70" s="105">
        <f t="shared" si="0"/>
        <v>20849659.016871281</v>
      </c>
      <c r="G70" s="105"/>
      <c r="H70" s="105"/>
      <c r="I70" s="105"/>
      <c r="J70" s="105"/>
      <c r="K70" s="105"/>
      <c r="L70" s="105"/>
      <c r="M70" s="105"/>
      <c r="N70" s="105"/>
      <c r="O70" s="105"/>
    </row>
    <row r="73" spans="2:15" ht="21">
      <c r="B73" s="14" t="s">
        <v>19</v>
      </c>
      <c r="C73" s="14"/>
      <c r="D73" s="14"/>
    </row>
    <row r="74" spans="2:15">
      <c r="B74" s="86" t="str">
        <f>B6</f>
        <v>Data Rate</v>
      </c>
      <c r="C74" s="86" t="str">
        <f>C6</f>
        <v>Reach</v>
      </c>
      <c r="D74" s="86" t="str">
        <f>D6</f>
        <v>Form Factor</v>
      </c>
      <c r="E74" s="107">
        <v>2016</v>
      </c>
      <c r="F74" s="107">
        <v>2017</v>
      </c>
      <c r="G74" s="107"/>
      <c r="H74" s="107"/>
      <c r="I74" s="107"/>
      <c r="J74" s="107"/>
      <c r="K74" s="107"/>
      <c r="L74" s="107"/>
      <c r="M74" s="107"/>
      <c r="N74" s="107"/>
      <c r="O74" s="107"/>
    </row>
    <row r="75" spans="2:15">
      <c r="B75" s="88" t="str">
        <f t="shared" ref="B75:D94" si="1">B9</f>
        <v>1G</v>
      </c>
      <c r="C75" s="89" t="str">
        <f t="shared" si="1"/>
        <v>500 m</v>
      </c>
      <c r="D75" s="90" t="str">
        <f t="shared" si="1"/>
        <v>SFP</v>
      </c>
      <c r="E75" s="108">
        <f>'Products x speed'!E84</f>
        <v>10.178233731377588</v>
      </c>
      <c r="F75" s="108">
        <f>'Products x speed'!F84</f>
        <v>8.9746992158904888</v>
      </c>
      <c r="G75" s="108"/>
      <c r="H75" s="108"/>
      <c r="I75" s="108"/>
      <c r="J75" s="108"/>
      <c r="K75" s="108"/>
      <c r="L75" s="108"/>
      <c r="M75" s="108"/>
      <c r="N75" s="108"/>
      <c r="O75" s="108"/>
    </row>
    <row r="76" spans="2:15">
      <c r="B76" s="96" t="str">
        <f t="shared" si="1"/>
        <v>1G</v>
      </c>
      <c r="C76" s="97" t="str">
        <f t="shared" si="1"/>
        <v>10 km</v>
      </c>
      <c r="D76" s="98" t="str">
        <f t="shared" si="1"/>
        <v>SFP</v>
      </c>
      <c r="E76" s="110">
        <f>'Products x speed'!E85</f>
        <v>11.313150064475876</v>
      </c>
      <c r="F76" s="110">
        <f>'Products x speed'!F85</f>
        <v>9.7279618337487541</v>
      </c>
      <c r="G76" s="110"/>
      <c r="H76" s="110"/>
      <c r="I76" s="110"/>
      <c r="J76" s="110"/>
      <c r="K76" s="110"/>
      <c r="L76" s="110"/>
      <c r="M76" s="110"/>
      <c r="N76" s="110"/>
      <c r="O76" s="110"/>
    </row>
    <row r="77" spans="2:15">
      <c r="B77" s="96" t="str">
        <f t="shared" si="1"/>
        <v>1G</v>
      </c>
      <c r="C77" s="97" t="str">
        <f t="shared" si="1"/>
        <v>40 km</v>
      </c>
      <c r="D77" s="98" t="str">
        <f t="shared" si="1"/>
        <v>SFP</v>
      </c>
      <c r="E77" s="110">
        <f>'Products x speed'!E86</f>
        <v>14.223250006112197</v>
      </c>
      <c r="F77" s="110">
        <f>'Products x speed'!F86</f>
        <v>11.270556706605298</v>
      </c>
      <c r="G77" s="110"/>
      <c r="H77" s="110"/>
      <c r="I77" s="110"/>
      <c r="J77" s="110"/>
      <c r="K77" s="110"/>
      <c r="L77" s="110"/>
      <c r="M77" s="110"/>
      <c r="N77" s="110"/>
      <c r="O77" s="110"/>
    </row>
    <row r="78" spans="2:15">
      <c r="B78" s="96" t="str">
        <f t="shared" si="1"/>
        <v>1G</v>
      </c>
      <c r="C78" s="97" t="str">
        <f t="shared" si="1"/>
        <v>80 km</v>
      </c>
      <c r="D78" s="97" t="str">
        <f t="shared" si="1"/>
        <v>SFP</v>
      </c>
      <c r="E78" s="110">
        <f>'Products x speed'!E87</f>
        <v>47.263945249069465</v>
      </c>
      <c r="F78" s="110">
        <f>'Products x speed'!F87</f>
        <v>42.349942382451964</v>
      </c>
      <c r="G78" s="110"/>
      <c r="H78" s="110"/>
      <c r="I78" s="110"/>
      <c r="J78" s="110"/>
      <c r="K78" s="110"/>
      <c r="L78" s="110"/>
      <c r="M78" s="110"/>
      <c r="N78" s="110"/>
      <c r="O78" s="110"/>
    </row>
    <row r="79" spans="2:15">
      <c r="B79" s="92" t="str">
        <f t="shared" si="1"/>
        <v>1G &amp; Fast Ethernet</v>
      </c>
      <c r="C79" s="93" t="str">
        <f t="shared" si="1"/>
        <v>Various</v>
      </c>
      <c r="D79" s="93" t="str">
        <f t="shared" si="1"/>
        <v>Legacy/discontinued</v>
      </c>
      <c r="E79" s="109">
        <f>'Products x speed'!E88</f>
        <v>18</v>
      </c>
      <c r="F79" s="109" t="str">
        <f>'Products x speed'!F88</f>
        <v/>
      </c>
      <c r="G79" s="109"/>
      <c r="H79" s="109"/>
      <c r="I79" s="109"/>
      <c r="J79" s="109"/>
      <c r="K79" s="109"/>
      <c r="L79" s="109"/>
      <c r="M79" s="109"/>
      <c r="N79" s="109"/>
      <c r="O79" s="109"/>
    </row>
    <row r="80" spans="2:15">
      <c r="B80" s="96" t="str">
        <f t="shared" si="1"/>
        <v>10G</v>
      </c>
      <c r="C80" s="97" t="str">
        <f t="shared" si="1"/>
        <v>300 m</v>
      </c>
      <c r="D80" s="97" t="str">
        <f t="shared" si="1"/>
        <v>XFP</v>
      </c>
      <c r="E80" s="110">
        <f>'Products x speed'!E89</f>
        <v>65.084287545305614</v>
      </c>
      <c r="F80" s="110">
        <f>'Products x speed'!F89</f>
        <v>58.749084731162213</v>
      </c>
      <c r="G80" s="110"/>
      <c r="H80" s="110"/>
      <c r="I80" s="110"/>
      <c r="J80" s="110"/>
      <c r="K80" s="110"/>
      <c r="L80" s="110"/>
      <c r="M80" s="110"/>
      <c r="N80" s="110"/>
      <c r="O80" s="110"/>
    </row>
    <row r="81" spans="2:15">
      <c r="B81" s="96" t="str">
        <f t="shared" si="1"/>
        <v>10G</v>
      </c>
      <c r="C81" s="97" t="str">
        <f t="shared" si="1"/>
        <v>300 m</v>
      </c>
      <c r="D81" s="97" t="str">
        <f t="shared" si="1"/>
        <v>SFP+</v>
      </c>
      <c r="E81" s="110">
        <f>'Products x speed'!E90</f>
        <v>18.016278339273537</v>
      </c>
      <c r="F81" s="110">
        <f>'Products x speed'!F90</f>
        <v>15.097691372748406</v>
      </c>
      <c r="G81" s="110"/>
      <c r="H81" s="110"/>
      <c r="I81" s="110"/>
      <c r="J81" s="110"/>
      <c r="K81" s="110"/>
      <c r="L81" s="110"/>
      <c r="M81" s="110"/>
      <c r="N81" s="110"/>
      <c r="O81" s="110"/>
    </row>
    <row r="82" spans="2:15">
      <c r="B82" s="96" t="str">
        <f t="shared" si="1"/>
        <v>10G LRM</v>
      </c>
      <c r="C82" s="97" t="str">
        <f t="shared" si="1"/>
        <v>220 m</v>
      </c>
      <c r="D82" s="97" t="str">
        <f t="shared" si="1"/>
        <v>SFP+</v>
      </c>
      <c r="E82" s="110">
        <f>'Products x speed'!E91</f>
        <v>78.390761412913719</v>
      </c>
      <c r="F82" s="110">
        <f>'Products x speed'!F91</f>
        <v>66.716018564745482</v>
      </c>
      <c r="G82" s="110"/>
      <c r="H82" s="110"/>
      <c r="I82" s="110"/>
      <c r="J82" s="110"/>
      <c r="K82" s="110"/>
      <c r="L82" s="110"/>
      <c r="M82" s="110"/>
      <c r="N82" s="110"/>
      <c r="O82" s="110"/>
    </row>
    <row r="83" spans="2:15">
      <c r="B83" s="96" t="str">
        <f t="shared" si="1"/>
        <v>10G</v>
      </c>
      <c r="C83" s="97" t="str">
        <f t="shared" si="1"/>
        <v>10 km</v>
      </c>
      <c r="D83" s="97" t="str">
        <f t="shared" si="1"/>
        <v>XFP</v>
      </c>
      <c r="E83" s="110">
        <f>'Products x speed'!E92</f>
        <v>67.576972221049004</v>
      </c>
      <c r="F83" s="110">
        <f>'Products x speed'!F92</f>
        <v>51.799368807617711</v>
      </c>
      <c r="G83" s="110"/>
      <c r="H83" s="110"/>
      <c r="I83" s="110"/>
      <c r="J83" s="110"/>
      <c r="K83" s="110"/>
      <c r="L83" s="110"/>
      <c r="M83" s="110"/>
      <c r="N83" s="110"/>
      <c r="O83" s="110"/>
    </row>
    <row r="84" spans="2:15">
      <c r="B84" s="96" t="str">
        <f t="shared" si="1"/>
        <v>10G</v>
      </c>
      <c r="C84" s="97" t="str">
        <f t="shared" si="1"/>
        <v>10 km</v>
      </c>
      <c r="D84" s="97" t="str">
        <f t="shared" si="1"/>
        <v>SFP+</v>
      </c>
      <c r="E84" s="111">
        <f>'Products x speed'!E93</f>
        <v>38.465958311427336</v>
      </c>
      <c r="F84" s="111">
        <f>'Products x speed'!F93</f>
        <v>30.5</v>
      </c>
      <c r="G84" s="111"/>
      <c r="H84" s="111"/>
      <c r="I84" s="111"/>
      <c r="J84" s="111"/>
      <c r="K84" s="111"/>
      <c r="L84" s="111"/>
      <c r="M84" s="111"/>
      <c r="N84" s="111"/>
      <c r="O84" s="111"/>
    </row>
    <row r="85" spans="2:15">
      <c r="B85" s="96" t="str">
        <f t="shared" si="1"/>
        <v>10G</v>
      </c>
      <c r="C85" s="97" t="str">
        <f t="shared" si="1"/>
        <v>40 km</v>
      </c>
      <c r="D85" s="97" t="str">
        <f t="shared" si="1"/>
        <v>XFP</v>
      </c>
      <c r="E85" s="110">
        <f>'Products x speed'!E94</f>
        <v>202.96860771881492</v>
      </c>
      <c r="F85" s="110">
        <f>'Products x speed'!F94</f>
        <v>139.47449702400385</v>
      </c>
      <c r="G85" s="110"/>
      <c r="H85" s="110"/>
      <c r="I85" s="110"/>
      <c r="J85" s="110"/>
      <c r="K85" s="110"/>
      <c r="L85" s="110"/>
      <c r="M85" s="110"/>
      <c r="N85" s="110"/>
      <c r="O85" s="110"/>
    </row>
    <row r="86" spans="2:15">
      <c r="B86" s="96" t="str">
        <f t="shared" si="1"/>
        <v>10G</v>
      </c>
      <c r="C86" s="97" t="str">
        <f t="shared" si="1"/>
        <v>40 km</v>
      </c>
      <c r="D86" s="97" t="str">
        <f t="shared" si="1"/>
        <v>SFP+</v>
      </c>
      <c r="E86" s="110">
        <f>'Products x speed'!E95</f>
        <v>191.20778168956542</v>
      </c>
      <c r="F86" s="110">
        <f>'Products x speed'!F95</f>
        <v>155.78241680453388</v>
      </c>
      <c r="G86" s="110"/>
      <c r="H86" s="110"/>
      <c r="I86" s="110"/>
      <c r="J86" s="110"/>
      <c r="K86" s="110"/>
      <c r="L86" s="110"/>
      <c r="M86" s="110"/>
      <c r="N86" s="110"/>
      <c r="O86" s="110"/>
    </row>
    <row r="87" spans="2:15">
      <c r="B87" s="96" t="str">
        <f t="shared" si="1"/>
        <v>10G</v>
      </c>
      <c r="C87" s="97" t="str">
        <f t="shared" si="1"/>
        <v>80 km</v>
      </c>
      <c r="D87" s="97" t="str">
        <f t="shared" si="1"/>
        <v>XFP</v>
      </c>
      <c r="E87" s="110">
        <f>'Products x speed'!E96</f>
        <v>272.0748723385496</v>
      </c>
      <c r="F87" s="110">
        <f>'Products x speed'!F96</f>
        <v>279.05568350167476</v>
      </c>
      <c r="G87" s="110"/>
      <c r="H87" s="110"/>
      <c r="I87" s="110"/>
      <c r="J87" s="110"/>
      <c r="K87" s="110"/>
      <c r="L87" s="110"/>
      <c r="M87" s="110"/>
      <c r="N87" s="110"/>
      <c r="O87" s="110"/>
    </row>
    <row r="88" spans="2:15">
      <c r="B88" s="96" t="str">
        <f t="shared" si="1"/>
        <v>10G</v>
      </c>
      <c r="C88" s="97" t="str">
        <f t="shared" si="1"/>
        <v>80 km</v>
      </c>
      <c r="D88" s="97" t="str">
        <f t="shared" si="1"/>
        <v>SFP+</v>
      </c>
      <c r="E88" s="110">
        <f>'Products x speed'!E97</f>
        <v>362.31733736347383</v>
      </c>
      <c r="F88" s="110">
        <f>'Products x speed'!F97</f>
        <v>296.14130230693672</v>
      </c>
      <c r="G88" s="110"/>
      <c r="H88" s="110"/>
      <c r="I88" s="110"/>
      <c r="J88" s="110"/>
      <c r="K88" s="110"/>
      <c r="L88" s="110"/>
      <c r="M88" s="110"/>
      <c r="N88" s="110"/>
      <c r="O88" s="110"/>
    </row>
    <row r="89" spans="2:15">
      <c r="B89" s="96" t="str">
        <f t="shared" si="1"/>
        <v>10G</v>
      </c>
      <c r="C89" s="97" t="str">
        <f t="shared" si="1"/>
        <v>Various</v>
      </c>
      <c r="D89" s="97" t="str">
        <f t="shared" si="1"/>
        <v>Legacy/discontinued</v>
      </c>
      <c r="E89" s="110">
        <f>'Products x speed'!E98</f>
        <v>99.093186017554928</v>
      </c>
      <c r="F89" s="110">
        <f>'Products x speed'!F98</f>
        <v>94.281145957499305</v>
      </c>
      <c r="G89" s="110"/>
      <c r="H89" s="110"/>
      <c r="I89" s="110"/>
      <c r="J89" s="110"/>
      <c r="K89" s="110"/>
      <c r="L89" s="110"/>
      <c r="M89" s="110"/>
      <c r="N89" s="110"/>
      <c r="O89" s="110"/>
    </row>
    <row r="90" spans="2:15">
      <c r="B90" s="88" t="str">
        <f t="shared" si="1"/>
        <v>25G SR, eSR</v>
      </c>
      <c r="C90" s="89" t="str">
        <f t="shared" si="1"/>
        <v>100 - 300 m</v>
      </c>
      <c r="D90" s="90" t="str">
        <f t="shared" si="1"/>
        <v>SFP28</v>
      </c>
      <c r="E90" s="108">
        <f>'Products x speed'!E99</f>
        <v>187.14315701091519</v>
      </c>
      <c r="F90" s="108">
        <f>'Products x speed'!F99</f>
        <v>141.11071819746516</v>
      </c>
      <c r="G90" s="108"/>
      <c r="H90" s="108"/>
      <c r="I90" s="108"/>
      <c r="J90" s="108"/>
      <c r="K90" s="108"/>
      <c r="L90" s="108"/>
      <c r="M90" s="108"/>
      <c r="N90" s="108"/>
      <c r="O90" s="108"/>
    </row>
    <row r="91" spans="2:15">
      <c r="B91" s="96" t="str">
        <f t="shared" si="1"/>
        <v>25G LR</v>
      </c>
      <c r="C91" s="97" t="str">
        <f t="shared" si="1"/>
        <v>10 km</v>
      </c>
      <c r="D91" s="98" t="str">
        <f t="shared" si="1"/>
        <v>SFP28</v>
      </c>
      <c r="E91" s="110">
        <f>'Products x speed'!E100</f>
        <v>456.24032541776609</v>
      </c>
      <c r="F91" s="110">
        <f>'Products x speed'!F100</f>
        <v>324.10355668962507</v>
      </c>
      <c r="G91" s="110"/>
      <c r="H91" s="110"/>
      <c r="I91" s="110"/>
      <c r="J91" s="110"/>
      <c r="K91" s="110"/>
      <c r="L91" s="110"/>
      <c r="M91" s="110"/>
      <c r="N91" s="110"/>
      <c r="O91" s="110"/>
    </row>
    <row r="92" spans="2:15">
      <c r="B92" s="92" t="str">
        <f t="shared" si="1"/>
        <v>25G ER</v>
      </c>
      <c r="C92" s="93" t="str">
        <f t="shared" si="1"/>
        <v>40 km</v>
      </c>
      <c r="D92" s="94" t="str">
        <f t="shared" si="1"/>
        <v>SFP28</v>
      </c>
      <c r="E92" s="109" t="str">
        <f>'Products x speed'!E101</f>
        <v/>
      </c>
      <c r="F92" s="109" t="str">
        <f>'Products x speed'!F101</f>
        <v/>
      </c>
      <c r="G92" s="109"/>
      <c r="H92" s="109"/>
      <c r="I92" s="109"/>
      <c r="J92" s="109"/>
      <c r="K92" s="109"/>
      <c r="L92" s="109"/>
      <c r="M92" s="109"/>
      <c r="N92" s="109"/>
      <c r="O92" s="109"/>
    </row>
    <row r="93" spans="2:15">
      <c r="B93" s="88" t="str">
        <f t="shared" si="1"/>
        <v>40G SR4</v>
      </c>
      <c r="C93" s="89" t="str">
        <f t="shared" si="1"/>
        <v>100 m</v>
      </c>
      <c r="D93" s="90" t="str">
        <f t="shared" si="1"/>
        <v>QSFP+</v>
      </c>
      <c r="E93" s="108">
        <f>'Products x speed'!E102</f>
        <v>96.595063887564976</v>
      </c>
      <c r="F93" s="108">
        <f>'Products x speed'!F102</f>
        <v>80.379797575925679</v>
      </c>
      <c r="G93" s="108"/>
      <c r="H93" s="108"/>
      <c r="I93" s="108"/>
      <c r="J93" s="108"/>
      <c r="K93" s="108"/>
      <c r="L93" s="108"/>
      <c r="M93" s="108"/>
      <c r="N93" s="108"/>
      <c r="O93" s="108"/>
    </row>
    <row r="94" spans="2:15">
      <c r="B94" s="96" t="str">
        <f t="shared" si="1"/>
        <v>40G MM duplex</v>
      </c>
      <c r="C94" s="97" t="str">
        <f t="shared" si="1"/>
        <v>100 m</v>
      </c>
      <c r="D94" s="98" t="str">
        <f t="shared" si="1"/>
        <v>QSFP+</v>
      </c>
      <c r="E94" s="110">
        <f>'Products x speed'!E103</f>
        <v>250</v>
      </c>
      <c r="F94" s="110">
        <f>'Products x speed'!F103</f>
        <v>240</v>
      </c>
      <c r="G94" s="110"/>
      <c r="H94" s="110"/>
      <c r="I94" s="110"/>
      <c r="J94" s="110"/>
      <c r="K94" s="110"/>
      <c r="L94" s="110"/>
      <c r="M94" s="110"/>
      <c r="N94" s="110"/>
      <c r="O94" s="110"/>
    </row>
    <row r="95" spans="2:15">
      <c r="B95" s="96" t="str">
        <f t="shared" ref="B95:D114" si="2">B29</f>
        <v>40G eSR4</v>
      </c>
      <c r="C95" s="97" t="str">
        <f t="shared" si="2"/>
        <v>300 m</v>
      </c>
      <c r="D95" s="98" t="str">
        <f t="shared" si="2"/>
        <v>QSFP+</v>
      </c>
      <c r="E95" s="110">
        <f>'Products x speed'!E104</f>
        <v>106.66614587912188</v>
      </c>
      <c r="F95" s="110">
        <f>'Products x speed'!F104</f>
        <v>80.99928194026171</v>
      </c>
      <c r="G95" s="110"/>
      <c r="H95" s="110"/>
      <c r="I95" s="110"/>
      <c r="J95" s="110"/>
      <c r="K95" s="110"/>
      <c r="L95" s="110"/>
      <c r="M95" s="110"/>
      <c r="N95" s="110"/>
      <c r="O95" s="110"/>
    </row>
    <row r="96" spans="2:15">
      <c r="B96" s="96" t="str">
        <f t="shared" si="2"/>
        <v>40 G PSM4</v>
      </c>
      <c r="C96" s="97" t="str">
        <f t="shared" si="2"/>
        <v>500 m</v>
      </c>
      <c r="D96" s="98" t="str">
        <f t="shared" si="2"/>
        <v>QSFP+</v>
      </c>
      <c r="E96" s="110">
        <f>'Products x speed'!E105</f>
        <v>253.19068527507093</v>
      </c>
      <c r="F96" s="110">
        <f>'Products x speed'!F105</f>
        <v>262.79055146339874</v>
      </c>
      <c r="G96" s="110"/>
      <c r="H96" s="110"/>
      <c r="I96" s="110"/>
      <c r="J96" s="110"/>
      <c r="K96" s="110"/>
      <c r="L96" s="110"/>
      <c r="M96" s="110"/>
      <c r="N96" s="110"/>
      <c r="O96" s="110"/>
    </row>
    <row r="97" spans="2:15">
      <c r="B97" s="96" t="str">
        <f t="shared" si="2"/>
        <v>40G (FR)</v>
      </c>
      <c r="C97" s="97" t="str">
        <f t="shared" si="2"/>
        <v>2 km</v>
      </c>
      <c r="D97" s="98" t="str">
        <f t="shared" si="2"/>
        <v>CFP</v>
      </c>
      <c r="E97" s="110">
        <f>'Products x speed'!E106</f>
        <v>4569.894941368153</v>
      </c>
      <c r="F97" s="110">
        <f>'Products x speed'!F106</f>
        <v>5251.681208639473</v>
      </c>
      <c r="G97" s="110"/>
      <c r="H97" s="110"/>
      <c r="I97" s="110"/>
      <c r="J97" s="110"/>
      <c r="K97" s="110"/>
      <c r="L97" s="110"/>
      <c r="M97" s="110"/>
      <c r="N97" s="110"/>
      <c r="O97" s="110"/>
    </row>
    <row r="98" spans="2:15">
      <c r="B98" s="96" t="str">
        <f t="shared" si="2"/>
        <v>40G (LR4 subspec)</v>
      </c>
      <c r="C98" s="97" t="str">
        <f t="shared" si="2"/>
        <v>2 km</v>
      </c>
      <c r="D98" s="98" t="str">
        <f t="shared" si="2"/>
        <v>QSFP+</v>
      </c>
      <c r="E98" s="110">
        <f>'Products x speed'!E107</f>
        <v>377.60055209491952</v>
      </c>
      <c r="F98" s="110">
        <f>'Products x speed'!F107</f>
        <v>343.5254726908467</v>
      </c>
      <c r="G98" s="110"/>
      <c r="H98" s="110"/>
      <c r="I98" s="110"/>
      <c r="J98" s="110"/>
      <c r="K98" s="110"/>
      <c r="L98" s="110"/>
      <c r="M98" s="110"/>
      <c r="N98" s="110"/>
      <c r="O98" s="110"/>
    </row>
    <row r="99" spans="2:15">
      <c r="B99" s="96" t="str">
        <f t="shared" si="2"/>
        <v>40G</v>
      </c>
      <c r="C99" s="97" t="str">
        <f t="shared" si="2"/>
        <v>10 km</v>
      </c>
      <c r="D99" s="98" t="str">
        <f t="shared" si="2"/>
        <v>CFP</v>
      </c>
      <c r="E99" s="110">
        <f>'Products x speed'!E108</f>
        <v>1174.9655306999969</v>
      </c>
      <c r="F99" s="110">
        <f>'Products x speed'!F108</f>
        <v>1350.8997571323105</v>
      </c>
      <c r="G99" s="110"/>
      <c r="H99" s="110"/>
      <c r="I99" s="110"/>
      <c r="J99" s="110"/>
      <c r="K99" s="110"/>
      <c r="L99" s="110"/>
      <c r="M99" s="110"/>
      <c r="N99" s="110"/>
      <c r="O99" s="110"/>
    </row>
    <row r="100" spans="2:15">
      <c r="B100" s="96" t="str">
        <f t="shared" si="2"/>
        <v>40G</v>
      </c>
      <c r="C100" s="97" t="str">
        <f t="shared" si="2"/>
        <v>10 km</v>
      </c>
      <c r="D100" s="98" t="str">
        <f t="shared" si="2"/>
        <v>QSFP+</v>
      </c>
      <c r="E100" s="110">
        <f>'Products x speed'!E109</f>
        <v>427.72742888770347</v>
      </c>
      <c r="F100" s="110">
        <f>'Products x speed'!F109</f>
        <v>401.36672508917627</v>
      </c>
      <c r="G100" s="110"/>
      <c r="H100" s="110"/>
      <c r="I100" s="110"/>
      <c r="J100" s="110"/>
      <c r="K100" s="110"/>
      <c r="L100" s="110"/>
      <c r="M100" s="110"/>
      <c r="N100" s="110"/>
      <c r="O100" s="110"/>
    </row>
    <row r="101" spans="2:15">
      <c r="B101" s="92" t="str">
        <f t="shared" si="2"/>
        <v>40G</v>
      </c>
      <c r="C101" s="93" t="str">
        <f t="shared" si="2"/>
        <v>40 km</v>
      </c>
      <c r="D101" s="94" t="str">
        <f t="shared" si="2"/>
        <v>QSFP+</v>
      </c>
      <c r="E101" s="110">
        <f>'Products x speed'!E110</f>
        <v>1673.0572324239708</v>
      </c>
      <c r="F101" s="110">
        <f>'Products x speed'!F110</f>
        <v>1459.2330281290015</v>
      </c>
      <c r="G101" s="110"/>
      <c r="H101" s="110"/>
      <c r="I101" s="110"/>
      <c r="J101" s="110"/>
      <c r="K101" s="110"/>
      <c r="L101" s="110"/>
      <c r="M101" s="110"/>
      <c r="N101" s="110"/>
      <c r="O101" s="110"/>
    </row>
    <row r="102" spans="2:15">
      <c r="B102" s="88" t="str">
        <f t="shared" si="2"/>
        <v xml:space="preserve">50G </v>
      </c>
      <c r="C102" s="89" t="str">
        <f t="shared" si="2"/>
        <v>100 m</v>
      </c>
      <c r="D102" s="90" t="str">
        <f t="shared" si="2"/>
        <v>all</v>
      </c>
      <c r="E102" s="108" t="str">
        <f>'Products x speed'!E111</f>
        <v/>
      </c>
      <c r="F102" s="108" t="str">
        <f>'Products x speed'!F111</f>
        <v/>
      </c>
      <c r="G102" s="108"/>
      <c r="H102" s="108"/>
      <c r="I102" s="108"/>
      <c r="J102" s="108"/>
      <c r="K102" s="108"/>
      <c r="L102" s="108"/>
      <c r="M102" s="108"/>
      <c r="N102" s="108"/>
      <c r="O102" s="108"/>
    </row>
    <row r="103" spans="2:15">
      <c r="B103" s="96" t="str">
        <f t="shared" si="2"/>
        <v xml:space="preserve">50G </v>
      </c>
      <c r="C103" s="97" t="str">
        <f t="shared" si="2"/>
        <v>2 km</v>
      </c>
      <c r="D103" s="98" t="str">
        <f t="shared" si="2"/>
        <v>all</v>
      </c>
      <c r="E103" s="110" t="str">
        <f>'Products x speed'!E112</f>
        <v/>
      </c>
      <c r="F103" s="110" t="str">
        <f>'Products x speed'!F112</f>
        <v/>
      </c>
      <c r="G103" s="110"/>
      <c r="H103" s="110"/>
      <c r="I103" s="110"/>
      <c r="J103" s="110"/>
      <c r="K103" s="110"/>
      <c r="L103" s="110"/>
      <c r="M103" s="110"/>
      <c r="N103" s="110"/>
      <c r="O103" s="110"/>
    </row>
    <row r="104" spans="2:15">
      <c r="B104" s="96" t="str">
        <f t="shared" si="2"/>
        <v xml:space="preserve">50G </v>
      </c>
      <c r="C104" s="97" t="str">
        <f t="shared" si="2"/>
        <v>10 km</v>
      </c>
      <c r="D104" s="98" t="str">
        <f t="shared" si="2"/>
        <v>all</v>
      </c>
      <c r="E104" s="110" t="str">
        <f>'Products x speed'!E113</f>
        <v/>
      </c>
      <c r="F104" s="110" t="str">
        <f>'Products x speed'!F113</f>
        <v/>
      </c>
      <c r="G104" s="110"/>
      <c r="H104" s="110"/>
      <c r="I104" s="110"/>
      <c r="J104" s="110"/>
      <c r="K104" s="110"/>
      <c r="L104" s="110"/>
      <c r="M104" s="110"/>
      <c r="N104" s="110"/>
      <c r="O104" s="110"/>
    </row>
    <row r="105" spans="2:15">
      <c r="B105" s="88" t="str">
        <f t="shared" si="2"/>
        <v>100G SR4</v>
      </c>
      <c r="C105" s="89" t="str">
        <f t="shared" si="2"/>
        <v>100 m</v>
      </c>
      <c r="D105" s="90" t="str">
        <f t="shared" si="2"/>
        <v>CFP</v>
      </c>
      <c r="E105" s="108">
        <f>'Products x speed'!E114</f>
        <v>1422.7039686825053</v>
      </c>
      <c r="F105" s="108">
        <f>'Products x speed'!F114</f>
        <v>1273.3986691740201</v>
      </c>
      <c r="G105" s="108"/>
      <c r="H105" s="108"/>
      <c r="I105" s="108"/>
      <c r="J105" s="108"/>
      <c r="K105" s="108"/>
      <c r="L105" s="108"/>
      <c r="M105" s="108"/>
      <c r="N105" s="108"/>
      <c r="O105" s="108"/>
    </row>
    <row r="106" spans="2:15">
      <c r="B106" s="96" t="str">
        <f t="shared" si="2"/>
        <v>100G SR4</v>
      </c>
      <c r="C106" s="97" t="str">
        <f t="shared" si="2"/>
        <v>100 m</v>
      </c>
      <c r="D106" s="98" t="str">
        <f t="shared" si="2"/>
        <v>CFP2/4</v>
      </c>
      <c r="E106" s="110">
        <f>'Products x speed'!E115</f>
        <v>1204.7629951912068</v>
      </c>
      <c r="F106" s="110">
        <f>'Products x speed'!F115</f>
        <v>1092.608197443808</v>
      </c>
      <c r="G106" s="110"/>
      <c r="H106" s="110"/>
      <c r="I106" s="110"/>
      <c r="J106" s="110"/>
      <c r="K106" s="110"/>
      <c r="L106" s="110"/>
      <c r="M106" s="110"/>
      <c r="N106" s="110"/>
      <c r="O106" s="110"/>
    </row>
    <row r="107" spans="2:15">
      <c r="B107" s="96" t="str">
        <f t="shared" si="2"/>
        <v>100G SR4</v>
      </c>
      <c r="C107" s="97" t="str">
        <f t="shared" si="2"/>
        <v>100 m</v>
      </c>
      <c r="D107" s="98" t="str">
        <f t="shared" si="2"/>
        <v>QSFP28</v>
      </c>
      <c r="E107" s="110">
        <f>'Products x speed'!E116</f>
        <v>258.09426618771823</v>
      </c>
      <c r="F107" s="110">
        <f>'Products x speed'!F116</f>
        <v>182.02277386466108</v>
      </c>
      <c r="G107" s="110"/>
      <c r="H107" s="110"/>
      <c r="I107" s="110"/>
      <c r="J107" s="110"/>
      <c r="K107" s="110"/>
      <c r="L107" s="110"/>
      <c r="M107" s="110"/>
      <c r="N107" s="110"/>
      <c r="O107" s="110"/>
    </row>
    <row r="108" spans="2:15">
      <c r="B108" s="96" t="str">
        <f t="shared" si="2"/>
        <v>100G SR2</v>
      </c>
      <c r="C108" s="97" t="str">
        <f t="shared" si="2"/>
        <v>100 m</v>
      </c>
      <c r="D108" s="98" t="str">
        <f t="shared" si="2"/>
        <v>All</v>
      </c>
      <c r="E108" s="110" t="str">
        <f>'Products x speed'!E117</f>
        <v/>
      </c>
      <c r="F108" s="110" t="str">
        <f>'Products x speed'!F117</f>
        <v/>
      </c>
      <c r="G108" s="110"/>
      <c r="H108" s="110"/>
      <c r="I108" s="110"/>
      <c r="J108" s="110"/>
      <c r="K108" s="110"/>
      <c r="L108" s="110"/>
      <c r="M108" s="110"/>
      <c r="N108" s="110"/>
      <c r="O108" s="110"/>
    </row>
    <row r="109" spans="2:15">
      <c r="B109" s="96" t="str">
        <f t="shared" si="2"/>
        <v>100G MM Duplex</v>
      </c>
      <c r="C109" s="97" t="str">
        <f t="shared" si="2"/>
        <v>100 - 300 m</v>
      </c>
      <c r="D109" s="98" t="str">
        <f t="shared" si="2"/>
        <v>QSFP28</v>
      </c>
      <c r="E109" s="110" t="str">
        <f>'Products x speed'!E118</f>
        <v/>
      </c>
      <c r="F109" s="110" t="str">
        <f>'Products x speed'!F118</f>
        <v/>
      </c>
      <c r="G109" s="110"/>
      <c r="H109" s="110"/>
      <c r="I109" s="110"/>
      <c r="J109" s="110"/>
      <c r="K109" s="110"/>
      <c r="L109" s="110"/>
      <c r="M109" s="110"/>
      <c r="N109" s="110"/>
      <c r="O109" s="110"/>
    </row>
    <row r="110" spans="2:15">
      <c r="B110" s="96" t="str">
        <f t="shared" si="2"/>
        <v>100G eSR4</v>
      </c>
      <c r="C110" s="97" t="str">
        <f t="shared" si="2"/>
        <v>300 m</v>
      </c>
      <c r="D110" s="98" t="str">
        <f t="shared" si="2"/>
        <v>QSFP28</v>
      </c>
      <c r="E110" s="110" t="str">
        <f>'Products x speed'!E119</f>
        <v/>
      </c>
      <c r="F110" s="110" t="str">
        <f>'Products x speed'!F119</f>
        <v/>
      </c>
      <c r="G110" s="110"/>
      <c r="H110" s="110"/>
      <c r="I110" s="110"/>
      <c r="J110" s="110"/>
      <c r="K110" s="110"/>
      <c r="L110" s="110"/>
      <c r="M110" s="110"/>
      <c r="N110" s="110"/>
      <c r="O110" s="110"/>
    </row>
    <row r="111" spans="2:15">
      <c r="B111" s="96" t="str">
        <f t="shared" si="2"/>
        <v>100G PSM4</v>
      </c>
      <c r="C111" s="97" t="str">
        <f t="shared" si="2"/>
        <v>500 m</v>
      </c>
      <c r="D111" s="98" t="str">
        <f t="shared" si="2"/>
        <v>QSFP28</v>
      </c>
      <c r="E111" s="110">
        <f>'Products x speed'!E120</f>
        <v>337.41687156790022</v>
      </c>
      <c r="F111" s="110">
        <f>'Products x speed'!F120</f>
        <v>222.65569307558187</v>
      </c>
      <c r="G111" s="110"/>
      <c r="H111" s="110"/>
      <c r="I111" s="110"/>
      <c r="J111" s="110"/>
      <c r="K111" s="110"/>
      <c r="L111" s="110"/>
      <c r="M111" s="110"/>
      <c r="N111" s="110"/>
      <c r="O111" s="110"/>
    </row>
    <row r="112" spans="2:15">
      <c r="B112" s="96" t="str">
        <f t="shared" si="2"/>
        <v>100G DR/DR+</v>
      </c>
      <c r="C112" s="97" t="str">
        <f t="shared" si="2"/>
        <v>500m, 2km</v>
      </c>
      <c r="D112" s="98" t="str">
        <f t="shared" si="2"/>
        <v>QSFP28</v>
      </c>
      <c r="E112" s="110" t="str">
        <f>'Products x speed'!E121</f>
        <v/>
      </c>
      <c r="F112" s="110" t="str">
        <f>'Products x speed'!F121</f>
        <v/>
      </c>
      <c r="G112" s="110"/>
      <c r="H112" s="110"/>
      <c r="I112" s="110"/>
      <c r="J112" s="110"/>
      <c r="K112" s="110"/>
      <c r="L112" s="110"/>
      <c r="M112" s="110"/>
      <c r="N112" s="110"/>
      <c r="O112" s="110"/>
    </row>
    <row r="113" spans="2:15">
      <c r="B113" s="96" t="str">
        <f t="shared" si="2"/>
        <v>100G CWDM4-subspec</v>
      </c>
      <c r="C113" s="97" t="str">
        <f t="shared" si="2"/>
        <v>500 m</v>
      </c>
      <c r="D113" s="98" t="str">
        <f t="shared" si="2"/>
        <v>QSFP28</v>
      </c>
      <c r="E113" s="110">
        <f>'Products x speed'!E122</f>
        <v>625</v>
      </c>
      <c r="F113" s="110">
        <f>'Products x speed'!F122</f>
        <v>450</v>
      </c>
      <c r="G113" s="110"/>
      <c r="H113" s="110"/>
      <c r="I113" s="110"/>
      <c r="J113" s="110"/>
      <c r="K113" s="110"/>
      <c r="L113" s="110"/>
      <c r="M113" s="110"/>
      <c r="N113" s="110"/>
      <c r="O113" s="110"/>
    </row>
    <row r="114" spans="2:15">
      <c r="B114" s="96" t="str">
        <f t="shared" si="2"/>
        <v>100G CWDM4</v>
      </c>
      <c r="C114" s="97" t="str">
        <f t="shared" si="2"/>
        <v>2 km</v>
      </c>
      <c r="D114" s="98" t="str">
        <f t="shared" si="2"/>
        <v>QSFP28</v>
      </c>
      <c r="E114" s="110">
        <f>'Products x speed'!E123</f>
        <v>825</v>
      </c>
      <c r="F114" s="110">
        <f>'Products x speed'!F123</f>
        <v>650</v>
      </c>
      <c r="G114" s="110"/>
      <c r="H114" s="110"/>
      <c r="I114" s="110"/>
      <c r="J114" s="110"/>
      <c r="K114" s="110"/>
      <c r="L114" s="110"/>
      <c r="M114" s="110"/>
      <c r="N114" s="110"/>
      <c r="O114" s="110"/>
    </row>
    <row r="115" spans="2:15">
      <c r="B115" s="96" t="str">
        <f t="shared" ref="B115:D134" si="3">B49</f>
        <v>100G FR1</v>
      </c>
      <c r="C115" s="97" t="str">
        <f t="shared" si="3"/>
        <v>2 km</v>
      </c>
      <c r="D115" s="98" t="str">
        <f t="shared" si="3"/>
        <v>QSFP28</v>
      </c>
      <c r="E115" s="110" t="str">
        <f>'Products x speed'!E124</f>
        <v/>
      </c>
      <c r="F115" s="110" t="str">
        <f>'Products x speed'!F124</f>
        <v/>
      </c>
      <c r="G115" s="110"/>
      <c r="H115" s="110"/>
      <c r="I115" s="110"/>
      <c r="J115" s="110"/>
      <c r="K115" s="110"/>
      <c r="L115" s="110"/>
      <c r="M115" s="110"/>
      <c r="N115" s="110"/>
      <c r="O115" s="110"/>
    </row>
    <row r="116" spans="2:15">
      <c r="B116" s="96" t="str">
        <f t="shared" si="3"/>
        <v>100G LR4</v>
      </c>
      <c r="C116" s="97" t="str">
        <f t="shared" si="3"/>
        <v>10 km</v>
      </c>
      <c r="D116" s="98" t="str">
        <f t="shared" si="3"/>
        <v>CFP</v>
      </c>
      <c r="E116" s="110">
        <f>'Products x speed'!E125</f>
        <v>3527.8709620331333</v>
      </c>
      <c r="F116" s="110">
        <f>'Products x speed'!F125</f>
        <v>2768.0701132780364</v>
      </c>
      <c r="G116" s="110"/>
      <c r="H116" s="110"/>
      <c r="I116" s="110"/>
      <c r="J116" s="110"/>
      <c r="K116" s="110"/>
      <c r="L116" s="110"/>
      <c r="M116" s="110"/>
      <c r="N116" s="110"/>
      <c r="O116" s="110"/>
    </row>
    <row r="117" spans="2:15">
      <c r="B117" s="96" t="str">
        <f t="shared" si="3"/>
        <v>100G LR4</v>
      </c>
      <c r="C117" s="97" t="str">
        <f t="shared" si="3"/>
        <v>10 km</v>
      </c>
      <c r="D117" s="98" t="str">
        <f t="shared" si="3"/>
        <v>CFP2/4</v>
      </c>
      <c r="E117" s="110">
        <f>'Products x speed'!E126</f>
        <v>2882.5268681316725</v>
      </c>
      <c r="F117" s="110">
        <f>'Products x speed'!F126</f>
        <v>2140.3307221126156</v>
      </c>
      <c r="G117" s="110"/>
      <c r="H117" s="110"/>
      <c r="I117" s="110"/>
      <c r="J117" s="110"/>
      <c r="K117" s="110"/>
      <c r="L117" s="110"/>
      <c r="M117" s="110"/>
      <c r="N117" s="110"/>
      <c r="O117" s="110"/>
    </row>
    <row r="118" spans="2:15">
      <c r="B118" s="96" t="str">
        <f t="shared" si="3"/>
        <v>100G LR4 and LR1</v>
      </c>
      <c r="C118" s="97" t="str">
        <f t="shared" si="3"/>
        <v>10 km</v>
      </c>
      <c r="D118" s="98" t="str">
        <f t="shared" si="3"/>
        <v>QSFP28</v>
      </c>
      <c r="E118" s="110">
        <f>'Products x speed'!E127</f>
        <v>1938.1501024552811</v>
      </c>
      <c r="F118" s="110">
        <f>'Products x speed'!F127</f>
        <v>1200</v>
      </c>
      <c r="G118" s="110"/>
      <c r="H118" s="110"/>
      <c r="I118" s="110"/>
      <c r="J118" s="110"/>
      <c r="K118" s="110"/>
      <c r="L118" s="110"/>
      <c r="M118" s="110"/>
      <c r="N118" s="110"/>
      <c r="O118" s="110"/>
    </row>
    <row r="119" spans="2:15">
      <c r="B119" s="96" t="str">
        <f t="shared" si="3"/>
        <v>100G 4WDM10</v>
      </c>
      <c r="C119" s="97" t="str">
        <f t="shared" si="3"/>
        <v>10 km</v>
      </c>
      <c r="D119" s="98" t="str">
        <f t="shared" si="3"/>
        <v>QSFP28</v>
      </c>
      <c r="E119" s="110" t="str">
        <f>'Products x speed'!E128</f>
        <v/>
      </c>
      <c r="F119" s="110">
        <f>'Products x speed'!F128</f>
        <v>500</v>
      </c>
      <c r="G119" s="110"/>
      <c r="H119" s="110"/>
      <c r="I119" s="110"/>
      <c r="J119" s="110"/>
      <c r="K119" s="110"/>
      <c r="L119" s="110"/>
      <c r="M119" s="110"/>
      <c r="N119" s="110"/>
      <c r="O119" s="110"/>
    </row>
    <row r="120" spans="2:15">
      <c r="B120" s="96" t="str">
        <f t="shared" si="3"/>
        <v>100G 4WDM20</v>
      </c>
      <c r="C120" s="97" t="str">
        <f t="shared" si="3"/>
        <v>20 km</v>
      </c>
      <c r="D120" s="98" t="str">
        <f t="shared" si="3"/>
        <v>QSFP28</v>
      </c>
      <c r="E120" s="110" t="str">
        <f>'Products x speed'!E129</f>
        <v/>
      </c>
      <c r="F120" s="110" t="str">
        <f>'Products x speed'!F129</f>
        <v/>
      </c>
      <c r="G120" s="110"/>
      <c r="H120" s="110"/>
      <c r="I120" s="110"/>
      <c r="J120" s="110"/>
      <c r="K120" s="110"/>
      <c r="L120" s="110"/>
      <c r="M120" s="110"/>
      <c r="N120" s="110"/>
      <c r="O120" s="110"/>
    </row>
    <row r="121" spans="2:15">
      <c r="B121" s="96" t="str">
        <f t="shared" si="3"/>
        <v>100G ER4-Lite</v>
      </c>
      <c r="C121" s="97" t="str">
        <f t="shared" si="3"/>
        <v>30 km</v>
      </c>
      <c r="D121" s="98" t="str">
        <f t="shared" si="3"/>
        <v>QSFP28</v>
      </c>
      <c r="E121" s="110" t="str">
        <f>'Products x speed'!E130</f>
        <v/>
      </c>
      <c r="F121" s="110">
        <f>'Products x speed'!F130</f>
        <v>3487.2423945044161</v>
      </c>
      <c r="G121" s="110"/>
      <c r="H121" s="110"/>
      <c r="I121" s="110"/>
      <c r="J121" s="110"/>
      <c r="K121" s="110"/>
      <c r="L121" s="110"/>
      <c r="M121" s="110"/>
      <c r="N121" s="110"/>
      <c r="O121" s="110"/>
    </row>
    <row r="122" spans="2:15">
      <c r="B122" s="96" t="str">
        <f t="shared" si="3"/>
        <v>100G ER4</v>
      </c>
      <c r="C122" s="97" t="str">
        <f t="shared" si="3"/>
        <v>40 km</v>
      </c>
      <c r="D122" s="98" t="str">
        <f t="shared" si="3"/>
        <v>QSFP28</v>
      </c>
      <c r="E122" s="110">
        <f>'Products x speed'!E131</f>
        <v>8992.3604525403425</v>
      </c>
      <c r="F122" s="110">
        <f>'Products x speed'!F131</f>
        <v>6675.4855675304152</v>
      </c>
      <c r="G122" s="110"/>
      <c r="H122" s="110"/>
      <c r="I122" s="110"/>
      <c r="J122" s="110"/>
      <c r="K122" s="110"/>
      <c r="L122" s="110"/>
      <c r="M122" s="110"/>
      <c r="N122" s="110"/>
      <c r="O122" s="110"/>
    </row>
    <row r="123" spans="2:15">
      <c r="B123" s="92" t="str">
        <f t="shared" si="3"/>
        <v>100G ZR4</v>
      </c>
      <c r="C123" s="93" t="str">
        <f t="shared" si="3"/>
        <v>80 km</v>
      </c>
      <c r="D123" s="94" t="str">
        <f t="shared" si="3"/>
        <v>QSFP28</v>
      </c>
      <c r="E123" s="109" t="str">
        <f>'Products x speed'!E132</f>
        <v/>
      </c>
      <c r="F123" s="109" t="str">
        <f>'Products x speed'!F132</f>
        <v/>
      </c>
      <c r="G123" s="109"/>
      <c r="H123" s="109"/>
      <c r="I123" s="109"/>
      <c r="J123" s="109"/>
      <c r="K123" s="109"/>
      <c r="L123" s="109"/>
      <c r="M123" s="109"/>
      <c r="N123" s="109"/>
      <c r="O123" s="109"/>
    </row>
    <row r="124" spans="2:15">
      <c r="B124" s="88" t="str">
        <f t="shared" si="3"/>
        <v>200G SR4</v>
      </c>
      <c r="C124" s="89" t="str">
        <f t="shared" si="3"/>
        <v>100 m</v>
      </c>
      <c r="D124" s="90" t="str">
        <f t="shared" si="3"/>
        <v>QSFP56</v>
      </c>
      <c r="E124" s="108">
        <f>'Products x speed'!E133</f>
        <v>0</v>
      </c>
      <c r="F124" s="108">
        <f>'Products x speed'!F133</f>
        <v>0</v>
      </c>
      <c r="G124" s="108"/>
      <c r="H124" s="108"/>
      <c r="I124" s="108"/>
      <c r="J124" s="108"/>
      <c r="K124" s="108"/>
      <c r="L124" s="108"/>
      <c r="M124" s="108"/>
      <c r="N124" s="108"/>
      <c r="O124" s="108"/>
    </row>
    <row r="125" spans="2:15">
      <c r="B125" s="96" t="str">
        <f t="shared" si="3"/>
        <v>2x200 (400G-SR8)</v>
      </c>
      <c r="C125" s="97" t="str">
        <f t="shared" si="3"/>
        <v>100 m</v>
      </c>
      <c r="D125" s="98" t="str">
        <f t="shared" si="3"/>
        <v>OSFP, QSFP-DD</v>
      </c>
      <c r="E125" s="110">
        <f>'Products x speed'!E134</f>
        <v>0</v>
      </c>
      <c r="F125" s="110">
        <f>'Products x speed'!F134</f>
        <v>0</v>
      </c>
      <c r="G125" s="110"/>
      <c r="H125" s="110"/>
      <c r="I125" s="110"/>
      <c r="J125" s="110"/>
      <c r="K125" s="110"/>
      <c r="L125" s="110"/>
      <c r="M125" s="110"/>
      <c r="N125" s="110"/>
      <c r="O125" s="110"/>
    </row>
    <row r="126" spans="2:15">
      <c r="B126" s="96" t="str">
        <f t="shared" si="3"/>
        <v>200G FR4</v>
      </c>
      <c r="C126" s="97" t="str">
        <f t="shared" si="3"/>
        <v>3 km</v>
      </c>
      <c r="D126" s="98" t="str">
        <f t="shared" si="3"/>
        <v>QSFP56</v>
      </c>
      <c r="E126" s="110">
        <f>'Products x speed'!E135</f>
        <v>0</v>
      </c>
      <c r="F126" s="110">
        <f>'Products x speed'!F135</f>
        <v>0</v>
      </c>
      <c r="G126" s="110"/>
      <c r="H126" s="110"/>
      <c r="I126" s="110"/>
      <c r="J126" s="110"/>
      <c r="K126" s="110"/>
      <c r="L126" s="110"/>
      <c r="M126" s="110"/>
      <c r="N126" s="110"/>
      <c r="O126" s="110"/>
    </row>
    <row r="127" spans="2:15">
      <c r="B127" s="92" t="str">
        <f t="shared" si="3"/>
        <v>2x(200G FR4)</v>
      </c>
      <c r="C127" s="93" t="str">
        <f t="shared" si="3"/>
        <v>2 km</v>
      </c>
      <c r="D127" s="94" t="str">
        <f t="shared" si="3"/>
        <v>OSFP</v>
      </c>
      <c r="E127" s="109">
        <f>'Products x speed'!E136</f>
        <v>0</v>
      </c>
      <c r="F127" s="109">
        <f>'Products x speed'!F136</f>
        <v>0</v>
      </c>
      <c r="G127" s="109"/>
      <c r="H127" s="109"/>
      <c r="I127" s="109"/>
      <c r="J127" s="109"/>
      <c r="K127" s="109"/>
      <c r="L127" s="109"/>
      <c r="M127" s="109"/>
      <c r="N127" s="109"/>
      <c r="O127" s="109"/>
    </row>
    <row r="128" spans="2:15">
      <c r="B128" s="88" t="str">
        <f t="shared" si="3"/>
        <v>400G SR4.2, SR4</v>
      </c>
      <c r="C128" s="89" t="str">
        <f t="shared" si="3"/>
        <v>100 m</v>
      </c>
      <c r="D128" s="90" t="str">
        <f t="shared" si="3"/>
        <v>OSFP, QSFP-DD, QSFP112</v>
      </c>
      <c r="E128" s="108">
        <f>'Products x speed'!E137</f>
        <v>0</v>
      </c>
      <c r="F128" s="108">
        <f>'Products x speed'!F137</f>
        <v>0</v>
      </c>
      <c r="G128" s="108"/>
      <c r="H128" s="108"/>
      <c r="I128" s="108"/>
      <c r="J128" s="108"/>
      <c r="K128" s="108"/>
      <c r="L128" s="108"/>
      <c r="M128" s="108"/>
      <c r="N128" s="108"/>
      <c r="O128" s="108"/>
    </row>
    <row r="129" spans="2:15">
      <c r="B129" s="96" t="str">
        <f t="shared" si="3"/>
        <v>400G DR4</v>
      </c>
      <c r="C129" s="97" t="str">
        <f t="shared" si="3"/>
        <v>500 m</v>
      </c>
      <c r="D129" s="98" t="str">
        <f t="shared" si="3"/>
        <v>OSFP, QSFP-DD, QSFP112</v>
      </c>
      <c r="E129" s="110">
        <f>'Products x speed'!E138</f>
        <v>0</v>
      </c>
      <c r="F129" s="110">
        <f>'Products x speed'!F138</f>
        <v>0</v>
      </c>
      <c r="G129" s="110"/>
      <c r="H129" s="110"/>
      <c r="I129" s="110"/>
      <c r="J129" s="110"/>
      <c r="K129" s="110"/>
      <c r="L129" s="110"/>
      <c r="M129" s="110"/>
      <c r="N129" s="110"/>
      <c r="O129" s="110"/>
    </row>
    <row r="130" spans="2:15">
      <c r="B130" s="96" t="str">
        <f t="shared" si="3"/>
        <v>400G FR4</v>
      </c>
      <c r="C130" s="97" t="str">
        <f t="shared" si="3"/>
        <v>2 km</v>
      </c>
      <c r="D130" s="98" t="str">
        <f t="shared" si="3"/>
        <v>OSFP, QSFP-DD, QSFP112</v>
      </c>
      <c r="E130" s="110">
        <f>'Products x speed'!E139</f>
        <v>0</v>
      </c>
      <c r="F130" s="110">
        <f>'Products x speed'!F139</f>
        <v>11614.285714285714</v>
      </c>
      <c r="G130" s="110"/>
      <c r="H130" s="110"/>
      <c r="I130" s="110"/>
      <c r="J130" s="110"/>
      <c r="K130" s="110"/>
      <c r="L130" s="110"/>
      <c r="M130" s="110"/>
      <c r="N130" s="110"/>
      <c r="O130" s="110"/>
    </row>
    <row r="131" spans="2:15">
      <c r="B131" s="92" t="str">
        <f t="shared" si="3"/>
        <v>400G LR4, LR8</v>
      </c>
      <c r="C131" s="93" t="str">
        <f t="shared" si="3"/>
        <v>10 km</v>
      </c>
      <c r="D131" s="94" t="str">
        <f t="shared" si="3"/>
        <v>OSFP, QSFP-DD, QSFP112</v>
      </c>
      <c r="E131" s="109">
        <f>'Products x speed'!E140</f>
        <v>0</v>
      </c>
      <c r="F131" s="109">
        <f>'Products x speed'!F140</f>
        <v>15451.219512195123</v>
      </c>
      <c r="G131" s="109"/>
      <c r="H131" s="109"/>
      <c r="I131" s="109"/>
      <c r="J131" s="109"/>
      <c r="K131" s="109"/>
      <c r="L131" s="109"/>
      <c r="M131" s="109"/>
      <c r="N131" s="109"/>
      <c r="O131" s="109"/>
    </row>
    <row r="132" spans="2:15" s="101" customFormat="1">
      <c r="B132" s="96" t="str">
        <f t="shared" si="3"/>
        <v>800G SR8</v>
      </c>
      <c r="C132" s="97" t="str">
        <f t="shared" si="3"/>
        <v>50 m</v>
      </c>
      <c r="D132" s="98" t="str">
        <f t="shared" si="3"/>
        <v>OSFP, QSFP-DD800</v>
      </c>
      <c r="E132" s="110">
        <f>'Products x speed'!E141</f>
        <v>0</v>
      </c>
      <c r="F132" s="110">
        <f>'Products x speed'!F141</f>
        <v>0</v>
      </c>
      <c r="G132" s="110"/>
      <c r="H132" s="110"/>
      <c r="I132" s="110"/>
      <c r="J132" s="110"/>
      <c r="K132" s="110"/>
      <c r="L132" s="110"/>
      <c r="M132" s="110"/>
      <c r="N132" s="110"/>
      <c r="O132" s="110"/>
    </row>
    <row r="133" spans="2:15" s="101" customFormat="1">
      <c r="B133" s="96" t="str">
        <f t="shared" si="3"/>
        <v>800G PSM8</v>
      </c>
      <c r="C133" s="97" t="str">
        <f t="shared" si="3"/>
        <v>500 m</v>
      </c>
      <c r="D133" s="97" t="str">
        <f t="shared" si="3"/>
        <v>OSFP, QSFP-DD800</v>
      </c>
      <c r="E133" s="110">
        <f>'Products x speed'!E142</f>
        <v>0</v>
      </c>
      <c r="F133" s="110">
        <f>'Products x speed'!F142</f>
        <v>0</v>
      </c>
      <c r="G133" s="110"/>
      <c r="H133" s="110"/>
      <c r="I133" s="110"/>
      <c r="J133" s="110"/>
      <c r="K133" s="110"/>
      <c r="L133" s="110"/>
      <c r="M133" s="110"/>
      <c r="N133" s="110"/>
      <c r="O133" s="110"/>
    </row>
    <row r="134" spans="2:15" s="101" customFormat="1">
      <c r="B134" s="96" t="str">
        <f t="shared" si="3"/>
        <v>2x(400G FR4)</v>
      </c>
      <c r="C134" s="97" t="str">
        <f t="shared" si="3"/>
        <v>2 km</v>
      </c>
      <c r="D134" s="97" t="str">
        <f t="shared" si="3"/>
        <v>OSFP, QSFP-DD800</v>
      </c>
      <c r="E134" s="110">
        <f>'Products x speed'!E143</f>
        <v>0</v>
      </c>
      <c r="F134" s="110">
        <f>'Products x speed'!F143</f>
        <v>0</v>
      </c>
      <c r="G134" s="110"/>
      <c r="H134" s="110"/>
      <c r="I134" s="110"/>
      <c r="J134" s="110"/>
      <c r="K134" s="110"/>
      <c r="L134" s="110"/>
      <c r="M134" s="110"/>
      <c r="N134" s="110"/>
      <c r="O134" s="110"/>
    </row>
    <row r="135" spans="2:15" s="101" customFormat="1">
      <c r="B135" s="92"/>
      <c r="C135" s="93"/>
      <c r="D135" s="93"/>
      <c r="E135" s="109"/>
      <c r="F135" s="109"/>
      <c r="G135" s="109"/>
      <c r="H135" s="109"/>
      <c r="I135" s="109"/>
      <c r="J135" s="109"/>
      <c r="K135" s="109"/>
      <c r="L135" s="109"/>
      <c r="M135" s="109"/>
      <c r="N135" s="109"/>
      <c r="O135" s="109"/>
    </row>
    <row r="136" spans="2:15">
      <c r="B136" s="44" t="s">
        <v>20</v>
      </c>
      <c r="C136" s="45"/>
      <c r="D136" s="45"/>
      <c r="E136" s="113">
        <f t="shared" ref="E136:O136" si="4">IF(E70=0,,E202*10^6/E70)</f>
        <v>27.43477843621918</v>
      </c>
      <c r="F136" s="113">
        <f t="shared" si="4"/>
        <v>27.327891391222025</v>
      </c>
      <c r="G136" s="113">
        <f t="shared" si="4"/>
        <v>0</v>
      </c>
      <c r="H136" s="113">
        <f t="shared" si="4"/>
        <v>0</v>
      </c>
      <c r="I136" s="113">
        <f t="shared" si="4"/>
        <v>0</v>
      </c>
      <c r="J136" s="113">
        <f t="shared" si="4"/>
        <v>0</v>
      </c>
      <c r="K136" s="113">
        <f t="shared" si="4"/>
        <v>0</v>
      </c>
      <c r="L136" s="113">
        <f t="shared" si="4"/>
        <v>0</v>
      </c>
      <c r="M136" s="113">
        <f t="shared" si="4"/>
        <v>0</v>
      </c>
      <c r="N136" s="113">
        <f t="shared" si="4"/>
        <v>0</v>
      </c>
      <c r="O136" s="113">
        <f t="shared" si="4"/>
        <v>0</v>
      </c>
    </row>
    <row r="139" spans="2:15" ht="21">
      <c r="B139" s="15" t="s">
        <v>29</v>
      </c>
      <c r="C139" s="14"/>
      <c r="D139" s="14"/>
    </row>
    <row r="140" spans="2:15">
      <c r="B140" s="367" t="str">
        <f>B6</f>
        <v>Data Rate</v>
      </c>
      <c r="C140" s="368" t="str">
        <f>C6</f>
        <v>Reach</v>
      </c>
      <c r="D140" s="368" t="str">
        <f>D6</f>
        <v>Form Factor</v>
      </c>
      <c r="E140" s="269">
        <v>2016</v>
      </c>
      <c r="F140" s="269">
        <v>2017</v>
      </c>
      <c r="G140" s="269">
        <v>2018</v>
      </c>
      <c r="H140" s="269">
        <v>2019</v>
      </c>
      <c r="I140" s="269">
        <v>2020</v>
      </c>
      <c r="J140" s="269">
        <v>2021</v>
      </c>
      <c r="K140" s="269">
        <v>2022</v>
      </c>
      <c r="L140" s="269">
        <v>2023</v>
      </c>
      <c r="M140" s="269">
        <v>2024</v>
      </c>
      <c r="N140" s="269">
        <v>2025</v>
      </c>
      <c r="O140" s="269">
        <v>2026</v>
      </c>
    </row>
    <row r="141" spans="2:15">
      <c r="B141" s="88" t="str">
        <f t="shared" ref="B141:D160" si="5">B9</f>
        <v>1G</v>
      </c>
      <c r="C141" s="89" t="str">
        <f t="shared" si="5"/>
        <v>500 m</v>
      </c>
      <c r="D141" s="89" t="str">
        <f t="shared" si="5"/>
        <v>SFP</v>
      </c>
      <c r="E141" s="115">
        <f t="shared" ref="E141:O141" si="6">IF(E9=0,,E9*E75/10^6)</f>
        <v>45.763121065</v>
      </c>
      <c r="F141" s="115">
        <f t="shared" si="6"/>
        <v>38.398107000000003</v>
      </c>
      <c r="G141" s="115"/>
      <c r="H141" s="115"/>
      <c r="I141" s="115"/>
      <c r="J141" s="115"/>
      <c r="K141" s="115"/>
      <c r="L141" s="115"/>
      <c r="M141" s="115"/>
      <c r="N141" s="115"/>
      <c r="O141" s="115"/>
    </row>
    <row r="142" spans="2:15">
      <c r="B142" s="96" t="str">
        <f t="shared" si="5"/>
        <v>1G</v>
      </c>
      <c r="C142" s="97" t="str">
        <f t="shared" si="5"/>
        <v>10 km</v>
      </c>
      <c r="D142" s="97" t="str">
        <f t="shared" si="5"/>
        <v>SFP</v>
      </c>
      <c r="E142" s="117">
        <f t="shared" ref="E142:O142" si="7">IF(E10=0,,E10*E76/10^6)</f>
        <v>68.368952488320005</v>
      </c>
      <c r="F142" s="117">
        <f t="shared" si="7"/>
        <v>44.911555344168413</v>
      </c>
      <c r="G142" s="117"/>
      <c r="H142" s="117"/>
      <c r="I142" s="117"/>
      <c r="J142" s="117"/>
      <c r="K142" s="117"/>
      <c r="L142" s="117"/>
      <c r="M142" s="117"/>
      <c r="N142" s="117"/>
      <c r="O142" s="117"/>
    </row>
    <row r="143" spans="2:15">
      <c r="B143" s="96" t="str">
        <f t="shared" si="5"/>
        <v>1G</v>
      </c>
      <c r="C143" s="97" t="str">
        <f t="shared" si="5"/>
        <v>40 km</v>
      </c>
      <c r="D143" s="97" t="str">
        <f t="shared" si="5"/>
        <v>SFP</v>
      </c>
      <c r="E143" s="117">
        <f t="shared" ref="E143:O143" si="8">IF(E11=0,,E11*E77/10^6)</f>
        <v>4.0007415413598748</v>
      </c>
      <c r="F143" s="117">
        <f t="shared" si="8"/>
        <v>2.6908476678133564</v>
      </c>
      <c r="G143" s="117"/>
      <c r="H143" s="117"/>
      <c r="I143" s="117"/>
      <c r="J143" s="117"/>
      <c r="K143" s="117"/>
      <c r="L143" s="117"/>
      <c r="M143" s="117"/>
      <c r="N143" s="117"/>
      <c r="O143" s="117"/>
    </row>
    <row r="144" spans="2:15">
      <c r="B144" s="96" t="str">
        <f t="shared" si="5"/>
        <v>1G</v>
      </c>
      <c r="C144" s="97" t="str">
        <f t="shared" si="5"/>
        <v>80 km</v>
      </c>
      <c r="D144" s="97" t="str">
        <f t="shared" si="5"/>
        <v>SFP</v>
      </c>
      <c r="E144" s="117">
        <f t="shared" ref="E144:O144" si="9">IF(E12=0,,E12*E78/10^6)</f>
        <v>0</v>
      </c>
      <c r="F144" s="117">
        <f t="shared" si="9"/>
        <v>0</v>
      </c>
      <c r="G144" s="117"/>
      <c r="H144" s="117"/>
      <c r="I144" s="117"/>
      <c r="J144" s="117"/>
      <c r="K144" s="117"/>
      <c r="L144" s="117"/>
      <c r="M144" s="117"/>
      <c r="N144" s="117"/>
      <c r="O144" s="117"/>
    </row>
    <row r="145" spans="2:15">
      <c r="B145" s="92" t="str">
        <f t="shared" si="5"/>
        <v>1G &amp; Fast Ethernet</v>
      </c>
      <c r="C145" s="93" t="str">
        <f t="shared" si="5"/>
        <v>Various</v>
      </c>
      <c r="D145" s="93" t="str">
        <f t="shared" si="5"/>
        <v>Legacy/discontinued</v>
      </c>
      <c r="E145" s="116"/>
      <c r="F145" s="116"/>
      <c r="G145" s="116"/>
      <c r="H145" s="116"/>
      <c r="I145" s="116"/>
      <c r="J145" s="116"/>
      <c r="K145" s="116"/>
      <c r="L145" s="116"/>
      <c r="M145" s="116"/>
      <c r="N145" s="116"/>
      <c r="O145" s="116"/>
    </row>
    <row r="146" spans="2:15">
      <c r="B146" s="96" t="str">
        <f t="shared" si="5"/>
        <v>10G</v>
      </c>
      <c r="C146" s="97" t="str">
        <f t="shared" si="5"/>
        <v>300 m</v>
      </c>
      <c r="D146" s="97" t="str">
        <f t="shared" si="5"/>
        <v>XFP</v>
      </c>
      <c r="E146" s="117">
        <f t="shared" ref="E146:O146" si="10">IF(E14=0,,E14*E80/10^6)</f>
        <v>7.6676450000000003</v>
      </c>
      <c r="F146" s="117">
        <f t="shared" si="10"/>
        <v>4.9103659999999998</v>
      </c>
      <c r="G146" s="117"/>
      <c r="H146" s="117"/>
      <c r="I146" s="117"/>
      <c r="J146" s="117"/>
      <c r="K146" s="117"/>
      <c r="L146" s="117"/>
      <c r="M146" s="117"/>
      <c r="N146" s="117"/>
      <c r="O146" s="117"/>
    </row>
    <row r="147" spans="2:15">
      <c r="B147" s="96" t="str">
        <f t="shared" si="5"/>
        <v>10G</v>
      </c>
      <c r="C147" s="97" t="str">
        <f t="shared" si="5"/>
        <v>300 m</v>
      </c>
      <c r="D147" s="97" t="str">
        <f t="shared" si="5"/>
        <v>SFP+</v>
      </c>
      <c r="E147" s="117">
        <f t="shared" ref="E147:O147" si="11">IF(E15=0,,E15*E81/10^6)</f>
        <v>105.0129979257368</v>
      </c>
      <c r="F147" s="117">
        <f t="shared" si="11"/>
        <v>101.65250201262458</v>
      </c>
      <c r="G147" s="117"/>
      <c r="H147" s="117"/>
      <c r="I147" s="117"/>
      <c r="J147" s="117"/>
      <c r="K147" s="117"/>
      <c r="L147" s="117"/>
      <c r="M147" s="117"/>
      <c r="N147" s="117"/>
      <c r="O147" s="117"/>
    </row>
    <row r="148" spans="2:15">
      <c r="B148" s="96" t="str">
        <f t="shared" si="5"/>
        <v>10G LRM</v>
      </c>
      <c r="C148" s="97" t="str">
        <f t="shared" si="5"/>
        <v>220 m</v>
      </c>
      <c r="D148" s="97" t="str">
        <f t="shared" si="5"/>
        <v>SFP+</v>
      </c>
      <c r="E148" s="117">
        <f t="shared" ref="E148:O148" si="12">IF(E16=0,,E16*E82/10^6)</f>
        <v>9.5352954367439988</v>
      </c>
      <c r="F148" s="117">
        <f t="shared" si="12"/>
        <v>7.2161380000000008</v>
      </c>
      <c r="G148" s="117"/>
      <c r="H148" s="117"/>
      <c r="I148" s="117"/>
      <c r="J148" s="117"/>
      <c r="K148" s="117"/>
      <c r="L148" s="117"/>
      <c r="M148" s="117"/>
      <c r="N148" s="117"/>
      <c r="O148" s="117"/>
    </row>
    <row r="149" spans="2:15">
      <c r="B149" s="96" t="str">
        <f t="shared" si="5"/>
        <v>10G</v>
      </c>
      <c r="C149" s="97" t="str">
        <f t="shared" si="5"/>
        <v>10 km</v>
      </c>
      <c r="D149" s="97" t="str">
        <f t="shared" si="5"/>
        <v>XFP</v>
      </c>
      <c r="E149" s="117">
        <f t="shared" ref="E149:O149" si="13">IF(E17=0,,E17*E83/10^6)</f>
        <v>2.4788111911319652</v>
      </c>
      <c r="F149" s="117">
        <f t="shared" si="13"/>
        <v>1.0137861666814094</v>
      </c>
      <c r="G149" s="117"/>
      <c r="H149" s="117"/>
      <c r="I149" s="117"/>
      <c r="J149" s="117"/>
      <c r="K149" s="117"/>
      <c r="L149" s="117"/>
      <c r="M149" s="117"/>
      <c r="N149" s="117"/>
      <c r="O149" s="117"/>
    </row>
    <row r="150" spans="2:15">
      <c r="B150" s="96" t="str">
        <f t="shared" si="5"/>
        <v>10G</v>
      </c>
      <c r="C150" s="97" t="str">
        <f t="shared" si="5"/>
        <v>10 km</v>
      </c>
      <c r="D150" s="97" t="str">
        <f t="shared" si="5"/>
        <v>SFP+</v>
      </c>
      <c r="E150" s="117">
        <f t="shared" ref="E150:O150" si="14">IF(E18=0,,E18*E84/10^6)</f>
        <v>130.49040453370736</v>
      </c>
      <c r="F150" s="117">
        <f t="shared" si="14"/>
        <v>110.71376568456579</v>
      </c>
      <c r="G150" s="117"/>
      <c r="H150" s="117"/>
      <c r="I150" s="117"/>
      <c r="J150" s="117"/>
      <c r="K150" s="117"/>
      <c r="L150" s="117"/>
      <c r="M150" s="117"/>
      <c r="N150" s="117"/>
      <c r="O150" s="117"/>
    </row>
    <row r="151" spans="2:15">
      <c r="B151" s="96" t="str">
        <f t="shared" si="5"/>
        <v>10G</v>
      </c>
      <c r="C151" s="97" t="str">
        <f t="shared" si="5"/>
        <v>40 km</v>
      </c>
      <c r="D151" s="97" t="str">
        <f t="shared" si="5"/>
        <v>XFP</v>
      </c>
      <c r="E151" s="117">
        <f t="shared" ref="E151:O151" si="15">IF(E19=0,,E19*E85/10^6)</f>
        <v>0</v>
      </c>
      <c r="F151" s="117">
        <f t="shared" si="15"/>
        <v>0</v>
      </c>
      <c r="G151" s="117"/>
      <c r="H151" s="117"/>
      <c r="I151" s="117"/>
      <c r="J151" s="117"/>
      <c r="K151" s="117"/>
      <c r="L151" s="117"/>
      <c r="M151" s="117"/>
      <c r="N151" s="117"/>
      <c r="O151" s="117"/>
    </row>
    <row r="152" spans="2:15">
      <c r="B152" s="96" t="str">
        <f t="shared" si="5"/>
        <v>10G</v>
      </c>
      <c r="C152" s="97" t="str">
        <f t="shared" si="5"/>
        <v>40 km</v>
      </c>
      <c r="D152" s="97" t="str">
        <f t="shared" si="5"/>
        <v>SFP+</v>
      </c>
      <c r="E152" s="117">
        <f t="shared" ref="E152:O152" si="16">IF(E20=0,,E20*E86/10^6)</f>
        <v>9.8628511139439148</v>
      </c>
      <c r="F152" s="117">
        <f t="shared" si="16"/>
        <v>10.060373953390915</v>
      </c>
      <c r="G152" s="117"/>
      <c r="H152" s="117"/>
      <c r="I152" s="117"/>
      <c r="J152" s="117"/>
      <c r="K152" s="117"/>
      <c r="L152" s="117"/>
      <c r="M152" s="117"/>
      <c r="N152" s="117"/>
      <c r="O152" s="117"/>
    </row>
    <row r="153" spans="2:15">
      <c r="B153" s="96" t="str">
        <f t="shared" si="5"/>
        <v>10G</v>
      </c>
      <c r="C153" s="97" t="str">
        <f t="shared" si="5"/>
        <v>80 km</v>
      </c>
      <c r="D153" s="97" t="str">
        <f t="shared" si="5"/>
        <v>XFP</v>
      </c>
      <c r="E153" s="117">
        <f t="shared" ref="E153:O153" si="17">IF(E21=0,,E21*E87/10^6)</f>
        <v>0</v>
      </c>
      <c r="F153" s="117">
        <f t="shared" si="17"/>
        <v>0</v>
      </c>
      <c r="G153" s="117"/>
      <c r="H153" s="117"/>
      <c r="I153" s="117"/>
      <c r="J153" s="117"/>
      <c r="K153" s="117"/>
      <c r="L153" s="117"/>
      <c r="M153" s="117"/>
      <c r="N153" s="117"/>
      <c r="O153" s="117"/>
    </row>
    <row r="154" spans="2:15">
      <c r="B154" s="96" t="str">
        <f t="shared" si="5"/>
        <v>10G</v>
      </c>
      <c r="C154" s="97" t="str">
        <f t="shared" si="5"/>
        <v>80 km</v>
      </c>
      <c r="D154" s="97" t="str">
        <f t="shared" si="5"/>
        <v>SFP+</v>
      </c>
      <c r="E154" s="117">
        <f t="shared" ref="E154:O154" si="18">IF(E22=0,,E22*E88/10^6)</f>
        <v>0</v>
      </c>
      <c r="F154" s="117">
        <f t="shared" si="18"/>
        <v>0</v>
      </c>
      <c r="G154" s="117"/>
      <c r="H154" s="117"/>
      <c r="I154" s="117"/>
      <c r="J154" s="117"/>
      <c r="K154" s="117"/>
      <c r="L154" s="117"/>
      <c r="M154" s="117"/>
      <c r="N154" s="117"/>
      <c r="O154" s="117"/>
    </row>
    <row r="155" spans="2:15">
      <c r="B155" s="96" t="str">
        <f t="shared" si="5"/>
        <v>10G</v>
      </c>
      <c r="C155" s="97" t="str">
        <f t="shared" si="5"/>
        <v>Various</v>
      </c>
      <c r="D155" s="97" t="str">
        <f t="shared" si="5"/>
        <v>Legacy/discontinued</v>
      </c>
      <c r="E155" s="117"/>
      <c r="F155" s="117"/>
      <c r="G155" s="117"/>
      <c r="H155" s="117"/>
      <c r="I155" s="117"/>
      <c r="J155" s="117"/>
      <c r="K155" s="117"/>
      <c r="L155" s="117"/>
      <c r="M155" s="117"/>
      <c r="N155" s="117"/>
      <c r="O155" s="117"/>
    </row>
    <row r="156" spans="2:15">
      <c r="B156" s="88" t="str">
        <f t="shared" si="5"/>
        <v>25G SR, eSR</v>
      </c>
      <c r="C156" s="89" t="str">
        <f t="shared" si="5"/>
        <v>100 - 300 m</v>
      </c>
      <c r="D156" s="90" t="str">
        <f t="shared" si="5"/>
        <v>SFP28</v>
      </c>
      <c r="E156" s="115">
        <f t="shared" ref="E156:O156" si="19">IF(E24=0,,E24*E90/10^6)</f>
        <v>1.3373250000000001</v>
      </c>
      <c r="F156" s="115">
        <f t="shared" si="19"/>
        <v>13.527578999999998</v>
      </c>
      <c r="G156" s="115"/>
      <c r="H156" s="115"/>
      <c r="I156" s="115"/>
      <c r="J156" s="115"/>
      <c r="K156" s="115"/>
      <c r="L156" s="115"/>
      <c r="M156" s="115"/>
      <c r="N156" s="115"/>
      <c r="O156" s="115"/>
    </row>
    <row r="157" spans="2:15">
      <c r="B157" s="96" t="str">
        <f t="shared" si="5"/>
        <v>25G LR</v>
      </c>
      <c r="C157" s="97" t="str">
        <f t="shared" si="5"/>
        <v>10 km</v>
      </c>
      <c r="D157" s="98" t="str">
        <f t="shared" si="5"/>
        <v>SFP28</v>
      </c>
      <c r="E157" s="117">
        <f t="shared" ref="E157:O157" si="20">IF(E25=0,,E25*E91/10^6)</f>
        <v>1.4524867000000001</v>
      </c>
      <c r="F157" s="117">
        <f t="shared" si="20"/>
        <v>3.961647414839963</v>
      </c>
      <c r="G157" s="117"/>
      <c r="H157" s="117"/>
      <c r="I157" s="117"/>
      <c r="J157" s="117"/>
      <c r="K157" s="117"/>
      <c r="L157" s="117"/>
      <c r="M157" s="117"/>
      <c r="N157" s="117"/>
      <c r="O157" s="117"/>
    </row>
    <row r="158" spans="2:15">
      <c r="B158" s="92" t="str">
        <f t="shared" si="5"/>
        <v>25G ER</v>
      </c>
      <c r="C158" s="93" t="str">
        <f t="shared" si="5"/>
        <v>40 km</v>
      </c>
      <c r="D158" s="94" t="str">
        <f t="shared" si="5"/>
        <v>SFP28</v>
      </c>
      <c r="E158" s="116">
        <f t="shared" ref="E158:O158" si="21">IF(E26=0,,E26*E92/10^6)</f>
        <v>0</v>
      </c>
      <c r="F158" s="116">
        <f t="shared" si="21"/>
        <v>0</v>
      </c>
      <c r="G158" s="116"/>
      <c r="H158" s="116"/>
      <c r="I158" s="116"/>
      <c r="J158" s="116"/>
      <c r="K158" s="116"/>
      <c r="L158" s="116"/>
      <c r="M158" s="116"/>
      <c r="N158" s="116"/>
      <c r="O158" s="116"/>
    </row>
    <row r="159" spans="2:15">
      <c r="B159" s="96" t="str">
        <f t="shared" si="5"/>
        <v>40G SR4</v>
      </c>
      <c r="C159" s="97" t="str">
        <f t="shared" si="5"/>
        <v>100 m</v>
      </c>
      <c r="D159" s="98" t="str">
        <f t="shared" si="5"/>
        <v>QSFP+</v>
      </c>
      <c r="E159" s="115">
        <f t="shared" ref="E159:O159" si="22">IF(E27=0,,E27*E93/10^6)</f>
        <v>6.1814562208888901</v>
      </c>
      <c r="F159" s="115">
        <f t="shared" si="22"/>
        <v>6.3806447873340728</v>
      </c>
      <c r="G159" s="115"/>
      <c r="H159" s="115"/>
      <c r="I159" s="115"/>
      <c r="J159" s="115"/>
      <c r="K159" s="115"/>
      <c r="L159" s="115"/>
      <c r="M159" s="115"/>
      <c r="N159" s="115"/>
      <c r="O159" s="115"/>
    </row>
    <row r="160" spans="2:15">
      <c r="B160" s="96" t="str">
        <f t="shared" si="5"/>
        <v>40G MM duplex</v>
      </c>
      <c r="C160" s="97" t="str">
        <f t="shared" si="5"/>
        <v>100 m</v>
      </c>
      <c r="D160" s="98" t="str">
        <f t="shared" si="5"/>
        <v>QSFP+</v>
      </c>
      <c r="E160" s="117">
        <f t="shared" ref="E160:O160" si="23">IF(E28=0,,E28*E94/10^6)</f>
        <v>153.5735</v>
      </c>
      <c r="F160" s="117">
        <f t="shared" si="23"/>
        <v>180.12456</v>
      </c>
      <c r="G160" s="117"/>
      <c r="H160" s="117"/>
      <c r="I160" s="117"/>
      <c r="J160" s="117"/>
      <c r="K160" s="117"/>
      <c r="L160" s="117"/>
      <c r="M160" s="117"/>
      <c r="N160" s="117"/>
      <c r="O160" s="117"/>
    </row>
    <row r="161" spans="2:15">
      <c r="B161" s="96" t="str">
        <f t="shared" ref="B161:D180" si="24">B29</f>
        <v>40G eSR4</v>
      </c>
      <c r="C161" s="97" t="str">
        <f t="shared" si="24"/>
        <v>300 m</v>
      </c>
      <c r="D161" s="98" t="str">
        <f t="shared" si="24"/>
        <v>QSFP+</v>
      </c>
      <c r="E161" s="117">
        <f t="shared" ref="E161:O161" si="25">IF(E29=0,,E29*E95/10^6)</f>
        <v>2.9361883310000008</v>
      </c>
      <c r="F161" s="117">
        <f t="shared" si="25"/>
        <v>3.7789000000000006</v>
      </c>
      <c r="G161" s="117"/>
      <c r="H161" s="117"/>
      <c r="I161" s="117"/>
      <c r="J161" s="117"/>
      <c r="K161" s="117"/>
      <c r="L161" s="117"/>
      <c r="M161" s="117"/>
      <c r="N161" s="117"/>
      <c r="O161" s="117"/>
    </row>
    <row r="162" spans="2:15">
      <c r="B162" s="96" t="str">
        <f t="shared" si="24"/>
        <v>40 G PSM4</v>
      </c>
      <c r="C162" s="97" t="str">
        <f t="shared" si="24"/>
        <v>500 m</v>
      </c>
      <c r="D162" s="98" t="str">
        <f t="shared" si="24"/>
        <v>QSFP+</v>
      </c>
      <c r="E162" s="117">
        <f t="shared" ref="E162:O162" si="26">IF(E30=0,,E30*E96/10^6)</f>
        <v>0</v>
      </c>
      <c r="F162" s="117">
        <f t="shared" si="26"/>
        <v>0</v>
      </c>
      <c r="G162" s="117"/>
      <c r="H162" s="117"/>
      <c r="I162" s="117"/>
      <c r="J162" s="117"/>
      <c r="K162" s="117"/>
      <c r="L162" s="117"/>
      <c r="M162" s="117"/>
      <c r="N162" s="117"/>
      <c r="O162" s="117"/>
    </row>
    <row r="163" spans="2:15">
      <c r="B163" s="96" t="str">
        <f t="shared" si="24"/>
        <v>40G (FR)</v>
      </c>
      <c r="C163" s="97" t="str">
        <f t="shared" si="24"/>
        <v>2 km</v>
      </c>
      <c r="D163" s="98" t="str">
        <f t="shared" si="24"/>
        <v>CFP</v>
      </c>
      <c r="E163" s="117">
        <f t="shared" ref="E163:O163" si="27">IF(E31=0,,E31*E97/10^6)</f>
        <v>0</v>
      </c>
      <c r="F163" s="117">
        <f t="shared" si="27"/>
        <v>0</v>
      </c>
      <c r="G163" s="117"/>
      <c r="H163" s="117"/>
      <c r="I163" s="117"/>
      <c r="J163" s="117"/>
      <c r="K163" s="117"/>
      <c r="L163" s="117"/>
      <c r="M163" s="117"/>
      <c r="N163" s="117"/>
      <c r="O163" s="117"/>
    </row>
    <row r="164" spans="2:15">
      <c r="B164" s="96" t="str">
        <f t="shared" si="24"/>
        <v>40G (LR4 subspec)</v>
      </c>
      <c r="C164" s="97" t="str">
        <f t="shared" si="24"/>
        <v>2 km</v>
      </c>
      <c r="D164" s="98" t="str">
        <f t="shared" si="24"/>
        <v>QSFP+</v>
      </c>
      <c r="E164" s="117">
        <f t="shared" ref="E164:O164" si="28">IF(E32=0,,E32*E98/10^6)</f>
        <v>0</v>
      </c>
      <c r="F164" s="117">
        <f t="shared" si="28"/>
        <v>0</v>
      </c>
      <c r="G164" s="117"/>
      <c r="H164" s="117"/>
      <c r="I164" s="117"/>
      <c r="J164" s="117"/>
      <c r="K164" s="117"/>
      <c r="L164" s="117"/>
      <c r="M164" s="117"/>
      <c r="N164" s="117"/>
      <c r="O164" s="117"/>
    </row>
    <row r="165" spans="2:15">
      <c r="B165" s="96" t="str">
        <f t="shared" si="24"/>
        <v>40G</v>
      </c>
      <c r="C165" s="97" t="str">
        <f t="shared" si="24"/>
        <v>10 km</v>
      </c>
      <c r="D165" s="98" t="str">
        <f t="shared" si="24"/>
        <v>CFP</v>
      </c>
      <c r="E165" s="117">
        <f t="shared" ref="E165:O165" si="29">IF(E33=0,,E33*E99/10^6)</f>
        <v>0</v>
      </c>
      <c r="F165" s="117">
        <f t="shared" si="29"/>
        <v>0</v>
      </c>
      <c r="G165" s="117"/>
      <c r="H165" s="117"/>
      <c r="I165" s="117"/>
      <c r="J165" s="117"/>
      <c r="K165" s="117"/>
      <c r="L165" s="117"/>
      <c r="M165" s="117"/>
      <c r="N165" s="117"/>
      <c r="O165" s="117"/>
    </row>
    <row r="166" spans="2:15">
      <c r="B166" s="96" t="str">
        <f t="shared" si="24"/>
        <v>40G</v>
      </c>
      <c r="C166" s="97" t="str">
        <f t="shared" si="24"/>
        <v>10 km</v>
      </c>
      <c r="D166" s="98" t="str">
        <f t="shared" si="24"/>
        <v>QSFP+</v>
      </c>
      <c r="E166" s="117">
        <f t="shared" ref="E166:O166" si="30">IF(E34=0,,E34*E100/10^6)</f>
        <v>27.993134856470409</v>
      </c>
      <c r="F166" s="117">
        <f t="shared" si="30"/>
        <v>34.064636145078524</v>
      </c>
      <c r="G166" s="117"/>
      <c r="H166" s="117"/>
      <c r="I166" s="117"/>
      <c r="J166" s="117"/>
      <c r="K166" s="117"/>
      <c r="L166" s="117"/>
      <c r="M166" s="117"/>
      <c r="N166" s="117"/>
      <c r="O166" s="117"/>
    </row>
    <row r="167" spans="2:15">
      <c r="B167" s="96" t="str">
        <f t="shared" si="24"/>
        <v>40G</v>
      </c>
      <c r="C167" s="97" t="str">
        <f t="shared" si="24"/>
        <v>40 km</v>
      </c>
      <c r="D167" s="98" t="str">
        <f t="shared" si="24"/>
        <v>QSFP+</v>
      </c>
      <c r="E167" s="117">
        <f t="shared" ref="E167:O167" si="31">IF(E35=0,,E35*E101/10^6)</f>
        <v>3.6845739429673117</v>
      </c>
      <c r="F167" s="117">
        <f t="shared" si="31"/>
        <v>4.1218079805743022</v>
      </c>
      <c r="G167" s="117"/>
      <c r="H167" s="117"/>
      <c r="I167" s="117"/>
      <c r="J167" s="117"/>
      <c r="K167" s="117"/>
      <c r="L167" s="117"/>
      <c r="M167" s="117"/>
      <c r="N167" s="117"/>
      <c r="O167" s="117"/>
    </row>
    <row r="168" spans="2:15" s="101" customFormat="1">
      <c r="B168" s="88" t="str">
        <f t="shared" si="24"/>
        <v xml:space="preserve">50G </v>
      </c>
      <c r="C168" s="89" t="str">
        <f t="shared" si="24"/>
        <v>100 m</v>
      </c>
      <c r="D168" s="90" t="str">
        <f t="shared" si="24"/>
        <v>all</v>
      </c>
      <c r="E168" s="115">
        <f t="shared" ref="E168:O168" si="32">IF(E36=0,,E36*E102/10^6)</f>
        <v>0</v>
      </c>
      <c r="F168" s="115">
        <f t="shared" si="32"/>
        <v>0</v>
      </c>
      <c r="G168" s="115"/>
      <c r="H168" s="115"/>
      <c r="I168" s="115"/>
      <c r="J168" s="115"/>
      <c r="K168" s="115"/>
      <c r="L168" s="115"/>
      <c r="M168" s="115"/>
      <c r="N168" s="115"/>
      <c r="O168" s="115"/>
    </row>
    <row r="169" spans="2:15" s="101" customFormat="1">
      <c r="B169" s="96" t="str">
        <f t="shared" si="24"/>
        <v xml:space="preserve">50G </v>
      </c>
      <c r="C169" s="97" t="str">
        <f t="shared" si="24"/>
        <v>2 km</v>
      </c>
      <c r="D169" s="98" t="str">
        <f t="shared" si="24"/>
        <v>all</v>
      </c>
      <c r="E169" s="117">
        <f t="shared" ref="E169:O169" si="33">IF(E37=0,,E37*E103/10^6)</f>
        <v>0</v>
      </c>
      <c r="F169" s="117">
        <f t="shared" si="33"/>
        <v>0</v>
      </c>
      <c r="G169" s="117"/>
      <c r="H169" s="117"/>
      <c r="I169" s="117"/>
      <c r="J169" s="117"/>
      <c r="K169" s="117"/>
      <c r="L169" s="117"/>
      <c r="M169" s="117"/>
      <c r="N169" s="117"/>
      <c r="O169" s="117"/>
    </row>
    <row r="170" spans="2:15" s="101" customFormat="1">
      <c r="B170" s="96" t="str">
        <f t="shared" si="24"/>
        <v xml:space="preserve">50G </v>
      </c>
      <c r="C170" s="97" t="str">
        <f t="shared" si="24"/>
        <v>10 km</v>
      </c>
      <c r="D170" s="98" t="str">
        <f t="shared" si="24"/>
        <v>all</v>
      </c>
      <c r="E170" s="117">
        <f t="shared" ref="E170:O170" si="34">IF(E38=0,,E38*E104/10^6)</f>
        <v>0</v>
      </c>
      <c r="F170" s="117">
        <f t="shared" si="34"/>
        <v>0</v>
      </c>
      <c r="G170" s="117"/>
      <c r="H170" s="117"/>
      <c r="I170" s="117"/>
      <c r="J170" s="117"/>
      <c r="K170" s="117"/>
      <c r="L170" s="117"/>
      <c r="M170" s="117"/>
      <c r="N170" s="117"/>
      <c r="O170" s="117"/>
    </row>
    <row r="171" spans="2:15">
      <c r="B171" s="88" t="str">
        <f t="shared" si="24"/>
        <v>100G SR4</v>
      </c>
      <c r="C171" s="89" t="str">
        <f t="shared" si="24"/>
        <v>100 m</v>
      </c>
      <c r="D171" s="90" t="str">
        <f t="shared" si="24"/>
        <v>CFP</v>
      </c>
      <c r="E171" s="115">
        <f t="shared" ref="E171:O171" si="35">IF(E39=0,,E39*E105/10^6)</f>
        <v>0</v>
      </c>
      <c r="F171" s="115">
        <f t="shared" si="35"/>
        <v>0</v>
      </c>
      <c r="G171" s="115"/>
      <c r="H171" s="115"/>
      <c r="I171" s="115"/>
      <c r="J171" s="115"/>
      <c r="K171" s="115"/>
      <c r="L171" s="115"/>
      <c r="M171" s="115"/>
      <c r="N171" s="115"/>
      <c r="O171" s="115"/>
    </row>
    <row r="172" spans="2:15">
      <c r="B172" s="96" t="str">
        <f t="shared" si="24"/>
        <v>100G SR4</v>
      </c>
      <c r="C172" s="97" t="str">
        <f t="shared" si="24"/>
        <v>100 m</v>
      </c>
      <c r="D172" s="98" t="str">
        <f t="shared" si="24"/>
        <v>CFP2/4</v>
      </c>
      <c r="E172" s="117">
        <f t="shared" ref="E172:O172" si="36">IF(E40=0,,E40*E106/10^6)</f>
        <v>0</v>
      </c>
      <c r="F172" s="117">
        <f t="shared" si="36"/>
        <v>0</v>
      </c>
      <c r="G172" s="117"/>
      <c r="H172" s="117"/>
      <c r="I172" s="117"/>
      <c r="J172" s="117"/>
      <c r="K172" s="117"/>
      <c r="L172" s="117"/>
      <c r="M172" s="117"/>
      <c r="N172" s="117"/>
      <c r="O172" s="117"/>
    </row>
    <row r="173" spans="2:15">
      <c r="B173" s="96" t="str">
        <f t="shared" si="24"/>
        <v>100G SR4</v>
      </c>
      <c r="C173" s="97" t="str">
        <f t="shared" si="24"/>
        <v>100 m</v>
      </c>
      <c r="D173" s="98" t="str">
        <f t="shared" si="24"/>
        <v>QSFP28</v>
      </c>
      <c r="E173" s="117">
        <f t="shared" ref="E173:O173" si="37">IF(E41=0,,E41*E107/10^6)</f>
        <v>0</v>
      </c>
      <c r="F173" s="117">
        <f t="shared" si="37"/>
        <v>0</v>
      </c>
      <c r="G173" s="117"/>
      <c r="H173" s="117"/>
      <c r="I173" s="117"/>
      <c r="J173" s="117"/>
      <c r="K173" s="117"/>
      <c r="L173" s="117"/>
      <c r="M173" s="117"/>
      <c r="N173" s="117"/>
      <c r="O173" s="117"/>
    </row>
    <row r="174" spans="2:15">
      <c r="B174" s="96" t="str">
        <f t="shared" si="24"/>
        <v>100G SR2</v>
      </c>
      <c r="C174" s="97" t="str">
        <f t="shared" si="24"/>
        <v>100 m</v>
      </c>
      <c r="D174" s="98" t="str">
        <f t="shared" si="24"/>
        <v>All</v>
      </c>
      <c r="E174" s="117">
        <f t="shared" ref="E174:O174" si="38">IF(E42=0,,E42*E108/10^6)</f>
        <v>0</v>
      </c>
      <c r="F174" s="117">
        <f t="shared" si="38"/>
        <v>0</v>
      </c>
      <c r="G174" s="117"/>
      <c r="H174" s="117"/>
      <c r="I174" s="117"/>
      <c r="J174" s="117"/>
      <c r="K174" s="117"/>
      <c r="L174" s="117"/>
      <c r="M174" s="117"/>
      <c r="N174" s="117"/>
      <c r="O174" s="117"/>
    </row>
    <row r="175" spans="2:15">
      <c r="B175" s="96" t="str">
        <f t="shared" si="24"/>
        <v>100G MM Duplex</v>
      </c>
      <c r="C175" s="97" t="str">
        <f t="shared" si="24"/>
        <v>100 - 300 m</v>
      </c>
      <c r="D175" s="98" t="str">
        <f t="shared" si="24"/>
        <v>QSFP28</v>
      </c>
      <c r="E175" s="117">
        <f t="shared" ref="E175:O175" si="39">IF(E43=0,,E43*E109/10^6)</f>
        <v>0</v>
      </c>
      <c r="F175" s="117">
        <f t="shared" si="39"/>
        <v>0</v>
      </c>
      <c r="G175" s="117"/>
      <c r="H175" s="117"/>
      <c r="I175" s="117"/>
      <c r="J175" s="117"/>
      <c r="K175" s="117"/>
      <c r="L175" s="117"/>
      <c r="M175" s="117"/>
      <c r="N175" s="117"/>
      <c r="O175" s="117"/>
    </row>
    <row r="176" spans="2:15">
      <c r="B176" s="96" t="str">
        <f t="shared" si="24"/>
        <v>100G eSR4</v>
      </c>
      <c r="C176" s="97" t="str">
        <f t="shared" si="24"/>
        <v>300 m</v>
      </c>
      <c r="D176" s="98" t="str">
        <f t="shared" si="24"/>
        <v>QSFP28</v>
      </c>
      <c r="E176" s="117">
        <f t="shared" ref="E176:O176" si="40">IF(E44=0,,E44*E110/10^6)</f>
        <v>0</v>
      </c>
      <c r="F176" s="117">
        <f t="shared" si="40"/>
        <v>0</v>
      </c>
      <c r="G176" s="117"/>
      <c r="H176" s="117"/>
      <c r="I176" s="117"/>
      <c r="J176" s="117"/>
      <c r="K176" s="117"/>
      <c r="L176" s="117"/>
      <c r="M176" s="117"/>
      <c r="N176" s="117"/>
      <c r="O176" s="117"/>
    </row>
    <row r="177" spans="2:15">
      <c r="B177" s="96" t="str">
        <f t="shared" si="24"/>
        <v>100G PSM4</v>
      </c>
      <c r="C177" s="97" t="str">
        <f t="shared" si="24"/>
        <v>500 m</v>
      </c>
      <c r="D177" s="98" t="str">
        <f t="shared" si="24"/>
        <v>QSFP28</v>
      </c>
      <c r="E177" s="117">
        <f t="shared" ref="E177:O177" si="41">IF(E45=0,,E45*E111/10^6)</f>
        <v>0</v>
      </c>
      <c r="F177" s="117">
        <f t="shared" si="41"/>
        <v>0</v>
      </c>
      <c r="G177" s="117"/>
      <c r="H177" s="117"/>
      <c r="I177" s="117"/>
      <c r="J177" s="117"/>
      <c r="K177" s="117"/>
      <c r="L177" s="117"/>
      <c r="M177" s="117"/>
      <c r="N177" s="117"/>
      <c r="O177" s="117"/>
    </row>
    <row r="178" spans="2:15">
      <c r="B178" s="96" t="str">
        <f t="shared" si="24"/>
        <v>100G DR/DR+</v>
      </c>
      <c r="C178" s="97" t="str">
        <f t="shared" si="24"/>
        <v>500m, 2km</v>
      </c>
      <c r="D178" s="98" t="str">
        <f t="shared" si="24"/>
        <v>QSFP28</v>
      </c>
      <c r="E178" s="117">
        <f t="shared" ref="E178:O178" si="42">IF(E46=0,,E46*E112/10^6)</f>
        <v>0</v>
      </c>
      <c r="F178" s="117">
        <f t="shared" si="42"/>
        <v>0</v>
      </c>
      <c r="G178" s="117"/>
      <c r="H178" s="117"/>
      <c r="I178" s="117"/>
      <c r="J178" s="117"/>
      <c r="K178" s="117"/>
      <c r="L178" s="117"/>
      <c r="M178" s="117"/>
      <c r="N178" s="117"/>
      <c r="O178" s="117"/>
    </row>
    <row r="179" spans="2:15">
      <c r="B179" s="96" t="str">
        <f t="shared" si="24"/>
        <v>100G CWDM4-subspec</v>
      </c>
      <c r="C179" s="97" t="str">
        <f t="shared" si="24"/>
        <v>500 m</v>
      </c>
      <c r="D179" s="98" t="str">
        <f t="shared" si="24"/>
        <v>QSFP28</v>
      </c>
      <c r="E179" s="117">
        <f t="shared" ref="E179:O179" si="43">IF(E47=0,,E47*E113/10^6)</f>
        <v>0</v>
      </c>
      <c r="F179" s="117">
        <f t="shared" si="43"/>
        <v>0</v>
      </c>
      <c r="G179" s="117"/>
      <c r="H179" s="117"/>
      <c r="I179" s="117"/>
      <c r="J179" s="117"/>
      <c r="K179" s="117"/>
      <c r="L179" s="117"/>
      <c r="M179" s="117"/>
      <c r="N179" s="117"/>
      <c r="O179" s="117"/>
    </row>
    <row r="180" spans="2:15">
      <c r="B180" s="96" t="str">
        <f t="shared" si="24"/>
        <v>100G CWDM4</v>
      </c>
      <c r="C180" s="97" t="str">
        <f t="shared" si="24"/>
        <v>2 km</v>
      </c>
      <c r="D180" s="98" t="str">
        <f t="shared" si="24"/>
        <v>QSFP28</v>
      </c>
      <c r="E180" s="117">
        <f t="shared" ref="E180:O180" si="44">IF(E48=0,,E48*E114/10^6)</f>
        <v>0</v>
      </c>
      <c r="F180" s="117">
        <f t="shared" si="44"/>
        <v>0</v>
      </c>
      <c r="G180" s="117"/>
      <c r="H180" s="117"/>
      <c r="I180" s="117"/>
      <c r="J180" s="117"/>
      <c r="K180" s="117"/>
      <c r="L180" s="117"/>
      <c r="M180" s="117"/>
      <c r="N180" s="117"/>
      <c r="O180" s="117"/>
    </row>
    <row r="181" spans="2:15">
      <c r="B181" s="96" t="str">
        <f t="shared" ref="B181:D200" si="45">B49</f>
        <v>100G FR1</v>
      </c>
      <c r="C181" s="97" t="str">
        <f t="shared" si="45"/>
        <v>2 km</v>
      </c>
      <c r="D181" s="98" t="str">
        <f t="shared" si="45"/>
        <v>QSFP28</v>
      </c>
      <c r="E181" s="117">
        <f t="shared" ref="E181:O181" si="46">IF(E49=0,,E49*E115/10^6)</f>
        <v>0</v>
      </c>
      <c r="F181" s="117">
        <f t="shared" si="46"/>
        <v>0</v>
      </c>
      <c r="G181" s="117"/>
      <c r="H181" s="117"/>
      <c r="I181" s="117"/>
      <c r="J181" s="117"/>
      <c r="K181" s="117"/>
      <c r="L181" s="117"/>
      <c r="M181" s="117"/>
      <c r="N181" s="117"/>
      <c r="O181" s="117"/>
    </row>
    <row r="182" spans="2:15">
      <c r="B182" s="96" t="str">
        <f t="shared" si="45"/>
        <v>100G LR4</v>
      </c>
      <c r="C182" s="97" t="str">
        <f t="shared" si="45"/>
        <v>10 km</v>
      </c>
      <c r="D182" s="98" t="str">
        <f t="shared" si="45"/>
        <v>CFP</v>
      </c>
      <c r="E182" s="117">
        <f t="shared" ref="E182:O182" si="47">IF(E50=0,,E50*E116/10^6)</f>
        <v>0</v>
      </c>
      <c r="F182" s="117">
        <f t="shared" si="47"/>
        <v>0</v>
      </c>
      <c r="G182" s="117"/>
      <c r="H182" s="117"/>
      <c r="I182" s="117"/>
      <c r="J182" s="117"/>
      <c r="K182" s="117"/>
      <c r="L182" s="117"/>
      <c r="M182" s="117"/>
      <c r="N182" s="117"/>
      <c r="O182" s="117"/>
    </row>
    <row r="183" spans="2:15">
      <c r="B183" s="96" t="str">
        <f t="shared" si="45"/>
        <v>100G LR4</v>
      </c>
      <c r="C183" s="97" t="str">
        <f t="shared" si="45"/>
        <v>10 km</v>
      </c>
      <c r="D183" s="98" t="str">
        <f t="shared" si="45"/>
        <v>CFP2/4</v>
      </c>
      <c r="E183" s="117">
        <f t="shared" ref="E183:O183" si="48">IF(E51=0,,E51*E117/10^6)</f>
        <v>0</v>
      </c>
      <c r="F183" s="117">
        <f t="shared" si="48"/>
        <v>0</v>
      </c>
      <c r="G183" s="117"/>
      <c r="H183" s="117"/>
      <c r="I183" s="117"/>
      <c r="J183" s="117"/>
      <c r="K183" s="117"/>
      <c r="L183" s="117"/>
      <c r="M183" s="117"/>
      <c r="N183" s="117"/>
      <c r="O183" s="117"/>
    </row>
    <row r="184" spans="2:15">
      <c r="B184" s="96" t="str">
        <f t="shared" si="45"/>
        <v>100G LR4 and LR1</v>
      </c>
      <c r="C184" s="97" t="str">
        <f t="shared" si="45"/>
        <v>10 km</v>
      </c>
      <c r="D184" s="98" t="str">
        <f t="shared" si="45"/>
        <v>QSFP28</v>
      </c>
      <c r="E184" s="117">
        <f t="shared" ref="E184:O184" si="49">IF(E52=0,,E52*E118/10^6)</f>
        <v>0</v>
      </c>
      <c r="F184" s="117">
        <f t="shared" si="49"/>
        <v>0</v>
      </c>
      <c r="G184" s="117"/>
      <c r="H184" s="117"/>
      <c r="I184" s="117"/>
      <c r="J184" s="117"/>
      <c r="K184" s="117"/>
      <c r="L184" s="117"/>
      <c r="M184" s="117"/>
      <c r="N184" s="117"/>
      <c r="O184" s="117"/>
    </row>
    <row r="185" spans="2:15">
      <c r="B185" s="96" t="str">
        <f t="shared" si="45"/>
        <v>100G 4WDM10</v>
      </c>
      <c r="C185" s="97" t="str">
        <f t="shared" si="45"/>
        <v>10 km</v>
      </c>
      <c r="D185" s="98" t="str">
        <f t="shared" si="45"/>
        <v>QSFP28</v>
      </c>
      <c r="E185" s="117">
        <f t="shared" ref="E185:O185" si="50">IF(E53=0,,E53*E119/10^6)</f>
        <v>0</v>
      </c>
      <c r="F185" s="117">
        <f t="shared" si="50"/>
        <v>2.2499999999999996</v>
      </c>
      <c r="G185" s="117"/>
      <c r="H185" s="117"/>
      <c r="I185" s="117"/>
      <c r="J185" s="117"/>
      <c r="K185" s="117"/>
      <c r="L185" s="117"/>
      <c r="M185" s="117"/>
      <c r="N185" s="117"/>
      <c r="O185" s="117"/>
    </row>
    <row r="186" spans="2:15" ht="12.5" customHeight="1">
      <c r="B186" s="96" t="str">
        <f t="shared" si="45"/>
        <v>100G 4WDM20</v>
      </c>
      <c r="C186" s="97" t="str">
        <f t="shared" si="45"/>
        <v>20 km</v>
      </c>
      <c r="D186" s="98" t="str">
        <f t="shared" si="45"/>
        <v>QSFP28</v>
      </c>
      <c r="E186" s="117">
        <f t="shared" ref="E186:O186" si="51">IF(E54=0,,E54*E120/10^6)</f>
        <v>0</v>
      </c>
      <c r="F186" s="117">
        <f t="shared" si="51"/>
        <v>0</v>
      </c>
      <c r="G186" s="117"/>
      <c r="H186" s="117"/>
      <c r="I186" s="117"/>
      <c r="J186" s="117"/>
      <c r="K186" s="117"/>
      <c r="L186" s="117"/>
      <c r="M186" s="117"/>
      <c r="N186" s="117"/>
      <c r="O186" s="117"/>
    </row>
    <row r="187" spans="2:15" ht="12.5" customHeight="1">
      <c r="B187" s="96" t="str">
        <f t="shared" si="45"/>
        <v>100G ER4-Lite</v>
      </c>
      <c r="C187" s="97" t="str">
        <f t="shared" si="45"/>
        <v>30 km</v>
      </c>
      <c r="D187" s="98" t="str">
        <f t="shared" si="45"/>
        <v>QSFP28</v>
      </c>
      <c r="E187" s="117">
        <f t="shared" ref="E187:O187" si="52">IF(E55=0,,E55*E121/10^6)</f>
        <v>0</v>
      </c>
      <c r="F187" s="117">
        <f t="shared" si="52"/>
        <v>0</v>
      </c>
      <c r="G187" s="117"/>
      <c r="H187" s="117"/>
      <c r="I187" s="117"/>
      <c r="J187" s="117"/>
      <c r="K187" s="117"/>
      <c r="L187" s="117"/>
      <c r="M187" s="117"/>
      <c r="N187" s="117"/>
      <c r="O187" s="117"/>
    </row>
    <row r="188" spans="2:15" ht="12.5" customHeight="1">
      <c r="B188" s="96" t="str">
        <f t="shared" si="45"/>
        <v>100G ER4</v>
      </c>
      <c r="C188" s="97" t="str">
        <f t="shared" si="45"/>
        <v>40 km</v>
      </c>
      <c r="D188" s="98" t="str">
        <f t="shared" si="45"/>
        <v>QSFP28</v>
      </c>
      <c r="E188" s="117">
        <f t="shared" ref="E188:O188" si="53">IF(E56=0,,E56*E122/10^6)</f>
        <v>0</v>
      </c>
      <c r="F188" s="117">
        <f t="shared" si="53"/>
        <v>0</v>
      </c>
      <c r="G188" s="117"/>
      <c r="H188" s="117"/>
      <c r="I188" s="117"/>
      <c r="J188" s="117"/>
      <c r="K188" s="117"/>
      <c r="L188" s="117"/>
      <c r="M188" s="117"/>
      <c r="N188" s="117"/>
      <c r="O188" s="117"/>
    </row>
    <row r="189" spans="2:15">
      <c r="B189" s="92" t="str">
        <f t="shared" si="45"/>
        <v>100G ZR4</v>
      </c>
      <c r="C189" s="93" t="str">
        <f t="shared" si="45"/>
        <v>80 km</v>
      </c>
      <c r="D189" s="94" t="str">
        <f t="shared" si="45"/>
        <v>QSFP28</v>
      </c>
      <c r="E189" s="116">
        <f t="shared" ref="E189:O189" si="54">IF(E57=0,,E57*E123/10^6)</f>
        <v>0</v>
      </c>
      <c r="F189" s="116">
        <f t="shared" si="54"/>
        <v>0</v>
      </c>
      <c r="G189" s="116"/>
      <c r="H189" s="116"/>
      <c r="I189" s="116"/>
      <c r="J189" s="116"/>
      <c r="K189" s="116"/>
      <c r="L189" s="116"/>
      <c r="M189" s="116"/>
      <c r="N189" s="116"/>
      <c r="O189" s="116"/>
    </row>
    <row r="190" spans="2:15">
      <c r="B190" s="88" t="str">
        <f t="shared" si="45"/>
        <v>200G SR4</v>
      </c>
      <c r="C190" s="89" t="str">
        <f t="shared" si="45"/>
        <v>100 m</v>
      </c>
      <c r="D190" s="90" t="str">
        <f t="shared" si="45"/>
        <v>QSFP56</v>
      </c>
      <c r="E190" s="115">
        <f t="shared" ref="E190:O190" si="55">IF(E58=0,,E58*E124/10^6)</f>
        <v>0</v>
      </c>
      <c r="F190" s="115">
        <f t="shared" si="55"/>
        <v>0</v>
      </c>
      <c r="G190" s="115"/>
      <c r="H190" s="115"/>
      <c r="I190" s="115"/>
      <c r="J190" s="115"/>
      <c r="K190" s="115"/>
      <c r="L190" s="115"/>
      <c r="M190" s="115"/>
      <c r="N190" s="115"/>
      <c r="O190" s="115"/>
    </row>
    <row r="191" spans="2:15">
      <c r="B191" s="96" t="str">
        <f t="shared" si="45"/>
        <v>2x200 (400G-SR8)</v>
      </c>
      <c r="C191" s="97" t="str">
        <f t="shared" si="45"/>
        <v>100 m</v>
      </c>
      <c r="D191" s="98" t="str">
        <f t="shared" si="45"/>
        <v>OSFP, QSFP-DD</v>
      </c>
      <c r="E191" s="117">
        <f t="shared" ref="E191:O191" si="56">IF(E59=0,,E59*E125/10^6)</f>
        <v>0</v>
      </c>
      <c r="F191" s="117">
        <f t="shared" si="56"/>
        <v>0</v>
      </c>
      <c r="G191" s="117"/>
      <c r="H191" s="117"/>
      <c r="I191" s="117"/>
      <c r="J191" s="117"/>
      <c r="K191" s="117"/>
      <c r="L191" s="117"/>
      <c r="M191" s="117"/>
      <c r="N191" s="117"/>
      <c r="O191" s="117"/>
    </row>
    <row r="192" spans="2:15">
      <c r="B192" s="96" t="str">
        <f t="shared" si="45"/>
        <v>200G FR4</v>
      </c>
      <c r="C192" s="97" t="str">
        <f t="shared" si="45"/>
        <v>3 km</v>
      </c>
      <c r="D192" s="98" t="str">
        <f t="shared" si="45"/>
        <v>QSFP56</v>
      </c>
      <c r="E192" s="117">
        <f t="shared" ref="E192:O192" si="57">IF(E60=0,,E60*E126/10^6)</f>
        <v>0</v>
      </c>
      <c r="F192" s="117">
        <f t="shared" si="57"/>
        <v>0</v>
      </c>
      <c r="G192" s="117"/>
      <c r="H192" s="117"/>
      <c r="I192" s="117"/>
      <c r="J192" s="117"/>
      <c r="K192" s="117"/>
      <c r="L192" s="117"/>
      <c r="M192" s="117"/>
      <c r="N192" s="117"/>
      <c r="O192" s="117"/>
    </row>
    <row r="193" spans="2:15">
      <c r="B193" s="92" t="str">
        <f t="shared" si="45"/>
        <v>2x(200G FR4)</v>
      </c>
      <c r="C193" s="93" t="str">
        <f t="shared" si="45"/>
        <v>2 km</v>
      </c>
      <c r="D193" s="94" t="str">
        <f t="shared" si="45"/>
        <v>OSFP</v>
      </c>
      <c r="E193" s="116">
        <f t="shared" ref="E193:O193" si="58">IF(E61=0,,E61*E127/10^6)</f>
        <v>0</v>
      </c>
      <c r="F193" s="116">
        <f t="shared" si="58"/>
        <v>0</v>
      </c>
      <c r="G193" s="116"/>
      <c r="H193" s="116"/>
      <c r="I193" s="116"/>
      <c r="J193" s="116"/>
      <c r="K193" s="116"/>
      <c r="L193" s="116"/>
      <c r="M193" s="116"/>
      <c r="N193" s="116"/>
      <c r="O193" s="116"/>
    </row>
    <row r="194" spans="2:15">
      <c r="B194" s="88" t="str">
        <f t="shared" si="45"/>
        <v>400G SR4.2, SR4</v>
      </c>
      <c r="C194" s="89" t="str">
        <f t="shared" si="45"/>
        <v>100 m</v>
      </c>
      <c r="D194" s="90" t="str">
        <f t="shared" si="45"/>
        <v>OSFP, QSFP-DD, QSFP112</v>
      </c>
      <c r="E194" s="115">
        <f t="shared" ref="E194:O194" si="59">IF(E62=0,,E62*E128/10^6)</f>
        <v>0</v>
      </c>
      <c r="F194" s="115">
        <f t="shared" si="59"/>
        <v>0</v>
      </c>
      <c r="G194" s="115"/>
      <c r="H194" s="115"/>
      <c r="I194" s="115"/>
      <c r="J194" s="115"/>
      <c r="K194" s="115"/>
      <c r="L194" s="115"/>
      <c r="M194" s="115"/>
      <c r="N194" s="115"/>
      <c r="O194" s="115"/>
    </row>
    <row r="195" spans="2:15">
      <c r="B195" s="96" t="str">
        <f t="shared" si="45"/>
        <v>400G DR4</v>
      </c>
      <c r="C195" s="97" t="str">
        <f t="shared" si="45"/>
        <v>500 m</v>
      </c>
      <c r="D195" s="98" t="str">
        <f t="shared" si="45"/>
        <v>OSFP, QSFP-DD, QSFP112</v>
      </c>
      <c r="E195" s="117">
        <f t="shared" ref="E195:O195" si="60">IF(E63=0,,E63*E129/10^6)</f>
        <v>0</v>
      </c>
      <c r="F195" s="117">
        <f t="shared" si="60"/>
        <v>0</v>
      </c>
      <c r="G195" s="117"/>
      <c r="H195" s="117"/>
      <c r="I195" s="117"/>
      <c r="J195" s="117"/>
      <c r="K195" s="117"/>
      <c r="L195" s="117"/>
      <c r="M195" s="117"/>
      <c r="N195" s="117"/>
      <c r="O195" s="117"/>
    </row>
    <row r="196" spans="2:15">
      <c r="B196" s="96" t="str">
        <f t="shared" si="45"/>
        <v>400G FR4</v>
      </c>
      <c r="C196" s="97" t="str">
        <f t="shared" si="45"/>
        <v>2 km</v>
      </c>
      <c r="D196" s="98" t="str">
        <f t="shared" si="45"/>
        <v>OSFP, QSFP-DD, QSFP112</v>
      </c>
      <c r="E196" s="117">
        <f t="shared" ref="E196:O196" si="61">IF(E64=0,,E64*E130/10^6)</f>
        <v>0</v>
      </c>
      <c r="F196" s="117">
        <f t="shared" si="61"/>
        <v>0</v>
      </c>
      <c r="G196" s="117"/>
      <c r="H196" s="117"/>
      <c r="I196" s="117"/>
      <c r="J196" s="117"/>
      <c r="K196" s="117"/>
      <c r="L196" s="117"/>
      <c r="M196" s="117"/>
      <c r="N196" s="117"/>
      <c r="O196" s="117"/>
    </row>
    <row r="197" spans="2:15">
      <c r="B197" s="92" t="str">
        <f t="shared" si="45"/>
        <v>400G LR4, LR8</v>
      </c>
      <c r="C197" s="93" t="str">
        <f t="shared" si="45"/>
        <v>10 km</v>
      </c>
      <c r="D197" s="94" t="str">
        <f t="shared" si="45"/>
        <v>OSFP, QSFP-DD, QSFP112</v>
      </c>
      <c r="E197" s="116">
        <f t="shared" ref="E197:O197" si="62">IF(E65=0,,E65*E131/10^6)</f>
        <v>0</v>
      </c>
      <c r="F197" s="116">
        <f t="shared" si="62"/>
        <v>0</v>
      </c>
      <c r="G197" s="116"/>
      <c r="H197" s="116"/>
      <c r="I197" s="116"/>
      <c r="J197" s="116"/>
      <c r="K197" s="116"/>
      <c r="L197" s="116"/>
      <c r="M197" s="116"/>
      <c r="N197" s="116"/>
      <c r="O197" s="116"/>
    </row>
    <row r="198" spans="2:15" s="101" customFormat="1">
      <c r="B198" s="96" t="str">
        <f t="shared" si="45"/>
        <v>800G SR8</v>
      </c>
      <c r="C198" s="97" t="str">
        <f t="shared" si="45"/>
        <v>50 m</v>
      </c>
      <c r="D198" s="98" t="str">
        <f t="shared" si="45"/>
        <v>OSFP, QSFP-DD800</v>
      </c>
      <c r="E198" s="117">
        <f t="shared" ref="E198:O198" si="63">IF(E66=0,,E66*E132/10^6)</f>
        <v>0</v>
      </c>
      <c r="F198" s="117">
        <f t="shared" si="63"/>
        <v>0</v>
      </c>
      <c r="G198" s="117"/>
      <c r="H198" s="117"/>
      <c r="I198" s="117"/>
      <c r="J198" s="117"/>
      <c r="K198" s="117"/>
      <c r="L198" s="117"/>
      <c r="M198" s="117"/>
      <c r="N198" s="117"/>
      <c r="O198" s="117"/>
    </row>
    <row r="199" spans="2:15" s="101" customFormat="1">
      <c r="B199" s="96" t="str">
        <f t="shared" si="45"/>
        <v>800G PSM8</v>
      </c>
      <c r="C199" s="97" t="str">
        <f t="shared" si="45"/>
        <v>500 m</v>
      </c>
      <c r="D199" s="98" t="str">
        <f t="shared" si="45"/>
        <v>OSFP, QSFP-DD800</v>
      </c>
      <c r="E199" s="117">
        <f t="shared" ref="E199:O199" si="64">IF(E67=0,,E67*E133/10^6)</f>
        <v>0</v>
      </c>
      <c r="F199" s="117">
        <f t="shared" si="64"/>
        <v>0</v>
      </c>
      <c r="G199" s="117"/>
      <c r="H199" s="117"/>
      <c r="I199" s="117"/>
      <c r="J199" s="117"/>
      <c r="K199" s="117"/>
      <c r="L199" s="117"/>
      <c r="M199" s="117"/>
      <c r="N199" s="117"/>
      <c r="O199" s="117"/>
    </row>
    <row r="200" spans="2:15" s="101" customFormat="1">
      <c r="B200" s="96" t="str">
        <f t="shared" si="45"/>
        <v>2x(400G FR4)</v>
      </c>
      <c r="C200" s="97" t="str">
        <f t="shared" si="45"/>
        <v>2 km</v>
      </c>
      <c r="D200" s="98" t="str">
        <f t="shared" si="45"/>
        <v>OSFP, QSFP-DD800</v>
      </c>
      <c r="E200" s="117">
        <f t="shared" ref="E200:O200" si="65">IF(E68=0,,E68*E134/10^6)</f>
        <v>0</v>
      </c>
      <c r="F200" s="117">
        <f t="shared" si="65"/>
        <v>0</v>
      </c>
      <c r="G200" s="117"/>
      <c r="H200" s="117"/>
      <c r="I200" s="117"/>
      <c r="J200" s="117"/>
      <c r="K200" s="117"/>
      <c r="L200" s="117"/>
      <c r="M200" s="117"/>
      <c r="N200" s="117"/>
      <c r="O200" s="117"/>
    </row>
    <row r="201" spans="2:15" s="101" customFormat="1">
      <c r="B201" s="92">
        <f>B69</f>
        <v>0</v>
      </c>
      <c r="C201" s="93"/>
      <c r="D201" s="94"/>
      <c r="E201" s="116"/>
      <c r="F201" s="116"/>
      <c r="G201" s="116"/>
      <c r="H201" s="116"/>
      <c r="I201" s="116"/>
      <c r="J201" s="116"/>
      <c r="K201" s="116"/>
      <c r="L201" s="116"/>
      <c r="M201" s="116"/>
      <c r="N201" s="116"/>
      <c r="O201" s="116"/>
    </row>
    <row r="202" spans="2:15">
      <c r="B202" s="51" t="s">
        <v>20</v>
      </c>
      <c r="C202" s="52"/>
      <c r="D202" s="53"/>
      <c r="E202" s="109">
        <f t="shared" ref="E202:O202" si="66">SUM(E141:E201)</f>
        <v>580.33948534727051</v>
      </c>
      <c r="F202" s="109">
        <f t="shared" si="66"/>
        <v>569.77721715707139</v>
      </c>
      <c r="G202" s="109">
        <f t="shared" si="66"/>
        <v>0</v>
      </c>
      <c r="H202" s="109">
        <f t="shared" si="66"/>
        <v>0</v>
      </c>
      <c r="I202" s="109">
        <f t="shared" si="66"/>
        <v>0</v>
      </c>
      <c r="J202" s="109">
        <f t="shared" si="66"/>
        <v>0</v>
      </c>
      <c r="K202" s="109">
        <f t="shared" si="66"/>
        <v>0</v>
      </c>
      <c r="L202" s="109">
        <f t="shared" si="66"/>
        <v>0</v>
      </c>
      <c r="M202" s="109">
        <f t="shared" si="66"/>
        <v>0</v>
      </c>
      <c r="N202" s="109">
        <f t="shared" si="66"/>
        <v>0</v>
      </c>
      <c r="O202" s="109">
        <f t="shared" si="66"/>
        <v>0</v>
      </c>
    </row>
  </sheetData>
  <pageMargins left="0.7" right="0.7" top="0.75" bottom="0.75" header="0.3" footer="0.3"/>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R202"/>
  <sheetViews>
    <sheetView showGridLines="0" zoomScale="70" zoomScaleNormal="70" zoomScalePageLayoutView="70" workbookViewId="0">
      <pane xSplit="4" ySplit="6" topLeftCell="E7" activePane="bottomRight" state="frozen"/>
      <selection activeCell="E127" sqref="E127"/>
      <selection pane="topRight" activeCell="E127" sqref="E127"/>
      <selection pane="bottomLeft" activeCell="E127" sqref="E127"/>
      <selection pane="bottomRight" activeCell="G141" sqref="G141:O202"/>
    </sheetView>
  </sheetViews>
  <sheetFormatPr defaultColWidth="8.81640625" defaultRowHeight="13"/>
  <cols>
    <col min="1" max="1" width="4.453125" style="83" customWidth="1"/>
    <col min="2" max="2" width="17.81640625" style="83" customWidth="1"/>
    <col min="3" max="3" width="12.453125" style="83" customWidth="1"/>
    <col min="4" max="4" width="17.1796875" style="83" customWidth="1"/>
    <col min="5" max="6" width="13.453125" style="83" bestFit="1" customWidth="1"/>
    <col min="7" max="15" width="12" style="83" customWidth="1"/>
    <col min="16" max="20" width="8.81640625" style="83"/>
    <col min="21" max="28" width="10.453125" style="83" customWidth="1"/>
    <col min="29" max="16384" width="8.81640625" style="83"/>
  </cols>
  <sheetData>
    <row r="2" spans="1:18" ht="23.5">
      <c r="B2" s="6" t="str">
        <f>Introduction!$B$2</f>
        <v>LightCounting Ethernet Transceivers Forecast</v>
      </c>
      <c r="C2" s="62"/>
      <c r="D2" s="62"/>
      <c r="Q2" s="12"/>
      <c r="R2" s="12"/>
    </row>
    <row r="3" spans="1:18" ht="15.5">
      <c r="B3" s="43" t="str">
        <f>Introduction!$B$3</f>
        <v xml:space="preserve">Sample template for forecast published 31 March 2021 </v>
      </c>
    </row>
    <row r="4" spans="1:18" ht="18.5">
      <c r="B4" s="6" t="s">
        <v>156</v>
      </c>
      <c r="C4" s="62"/>
      <c r="D4" s="62"/>
    </row>
    <row r="5" spans="1:18" ht="14.5">
      <c r="B5" s="84"/>
    </row>
    <row r="6" spans="1:18">
      <c r="B6" s="258" t="s">
        <v>33</v>
      </c>
      <c r="C6" s="259" t="s">
        <v>32</v>
      </c>
      <c r="D6" s="260" t="s">
        <v>34</v>
      </c>
      <c r="E6" s="161">
        <v>2016</v>
      </c>
      <c r="F6" s="161">
        <v>2017</v>
      </c>
      <c r="G6" s="161">
        <v>2018</v>
      </c>
      <c r="H6" s="161">
        <v>2019</v>
      </c>
      <c r="I6" s="161">
        <v>2020</v>
      </c>
      <c r="J6" s="161">
        <v>2021</v>
      </c>
      <c r="K6" s="161">
        <v>2022</v>
      </c>
      <c r="L6" s="161">
        <v>2023</v>
      </c>
      <c r="M6" s="161">
        <v>2024</v>
      </c>
      <c r="N6" s="161">
        <v>2025</v>
      </c>
      <c r="O6" s="161">
        <v>2026</v>
      </c>
    </row>
    <row r="7" spans="1:18" ht="21">
      <c r="B7" s="14" t="s">
        <v>18</v>
      </c>
      <c r="E7" s="264" t="s">
        <v>17</v>
      </c>
    </row>
    <row r="8" spans="1:18">
      <c r="B8" s="367" t="s">
        <v>33</v>
      </c>
      <c r="C8" s="368" t="s">
        <v>32</v>
      </c>
      <c r="D8" s="368" t="s">
        <v>34</v>
      </c>
      <c r="E8" s="269">
        <v>2016</v>
      </c>
      <c r="F8" s="269">
        <v>2017</v>
      </c>
      <c r="G8" s="269">
        <v>2018</v>
      </c>
      <c r="H8" s="269">
        <v>2019</v>
      </c>
      <c r="I8" s="269">
        <v>2020</v>
      </c>
      <c r="J8" s="269">
        <v>2021</v>
      </c>
      <c r="K8" s="269">
        <v>2022</v>
      </c>
      <c r="L8" s="269">
        <v>2023</v>
      </c>
      <c r="M8" s="269">
        <v>2024</v>
      </c>
      <c r="N8" s="269">
        <v>2025</v>
      </c>
      <c r="O8" s="269">
        <v>2026</v>
      </c>
    </row>
    <row r="9" spans="1:18">
      <c r="A9" s="50" t="s">
        <v>103</v>
      </c>
      <c r="B9" s="88" t="str">
        <f>Products!B36</f>
        <v>1G</v>
      </c>
      <c r="C9" s="89" t="str">
        <f>Products!C36</f>
        <v>500 m</v>
      </c>
      <c r="D9" s="90" t="str">
        <f>Products!D36</f>
        <v>SFP</v>
      </c>
      <c r="E9" s="91">
        <v>0</v>
      </c>
      <c r="F9" s="91">
        <v>0</v>
      </c>
      <c r="G9" s="91"/>
      <c r="H9" s="91"/>
      <c r="I9" s="91"/>
      <c r="J9" s="91"/>
      <c r="K9" s="91"/>
      <c r="L9" s="91"/>
      <c r="M9" s="91"/>
      <c r="N9" s="91"/>
      <c r="O9" s="91"/>
    </row>
    <row r="10" spans="1:18">
      <c r="A10" s="214" t="s">
        <v>104</v>
      </c>
      <c r="B10" s="96" t="str">
        <f>Products!B37</f>
        <v>1G</v>
      </c>
      <c r="C10" s="97" t="str">
        <f>Products!C37</f>
        <v>10 km</v>
      </c>
      <c r="D10" s="98" t="str">
        <f>Products!D37</f>
        <v>SFP</v>
      </c>
      <c r="E10" s="99">
        <v>419674.79400000005</v>
      </c>
      <c r="F10" s="99">
        <v>256486.04</v>
      </c>
      <c r="G10" s="99"/>
      <c r="H10" s="99"/>
      <c r="I10" s="99"/>
      <c r="J10" s="99"/>
      <c r="K10" s="99"/>
      <c r="L10" s="99"/>
      <c r="M10" s="99"/>
      <c r="N10" s="99"/>
      <c r="O10" s="99"/>
    </row>
    <row r="11" spans="1:18">
      <c r="A11" s="214" t="s">
        <v>104</v>
      </c>
      <c r="B11" s="96" t="str">
        <f>Products!B38</f>
        <v>1G</v>
      </c>
      <c r="C11" s="97" t="str">
        <f>Products!C38</f>
        <v>40 km</v>
      </c>
      <c r="D11" s="98" t="str">
        <f>Products!D38</f>
        <v>SFP</v>
      </c>
      <c r="E11" s="99">
        <v>0</v>
      </c>
      <c r="F11" s="99">
        <v>0</v>
      </c>
      <c r="G11" s="99"/>
      <c r="H11" s="99"/>
      <c r="I11" s="99"/>
      <c r="J11" s="99"/>
      <c r="K11" s="99"/>
      <c r="L11" s="99"/>
      <c r="M11" s="99"/>
      <c r="N11" s="99"/>
      <c r="O11" s="99"/>
    </row>
    <row r="12" spans="1:18">
      <c r="A12" s="214" t="s">
        <v>104</v>
      </c>
      <c r="B12" s="96" t="str">
        <f>Products!B39</f>
        <v>1G</v>
      </c>
      <c r="C12" s="97" t="str">
        <f>Products!C39</f>
        <v>80 km</v>
      </c>
      <c r="D12" s="98" t="str">
        <f>Products!D39</f>
        <v>SFP</v>
      </c>
      <c r="E12" s="99">
        <v>0</v>
      </c>
      <c r="F12" s="99">
        <v>0</v>
      </c>
      <c r="G12" s="99"/>
      <c r="H12" s="99"/>
      <c r="I12" s="99"/>
      <c r="J12" s="99"/>
      <c r="K12" s="99"/>
      <c r="L12" s="99"/>
      <c r="M12" s="99"/>
      <c r="N12" s="99"/>
      <c r="O12" s="99"/>
    </row>
    <row r="13" spans="1:18">
      <c r="A13" s="214"/>
      <c r="B13" s="92" t="str">
        <f>Products!B40</f>
        <v>1G &amp; Fast Ethernet</v>
      </c>
      <c r="C13" s="93" t="str">
        <f>Products!C40</f>
        <v>Various</v>
      </c>
      <c r="D13" s="94" t="str">
        <f>Products!D40</f>
        <v>Legacy/discontinued</v>
      </c>
      <c r="E13" s="95"/>
      <c r="F13" s="95"/>
      <c r="G13" s="95"/>
      <c r="H13" s="95"/>
      <c r="I13" s="95"/>
      <c r="J13" s="95"/>
      <c r="K13" s="95"/>
      <c r="L13" s="95"/>
      <c r="M13" s="95"/>
      <c r="N13" s="95"/>
      <c r="O13" s="95"/>
    </row>
    <row r="14" spans="1:18">
      <c r="A14" s="50" t="s">
        <v>103</v>
      </c>
      <c r="B14" s="96" t="str">
        <f>Products!B41</f>
        <v>10G</v>
      </c>
      <c r="C14" s="97" t="str">
        <f>Products!C41</f>
        <v>300 m</v>
      </c>
      <c r="D14" s="97" t="str">
        <f>Products!D41</f>
        <v>XFP</v>
      </c>
      <c r="E14" s="99">
        <v>0</v>
      </c>
      <c r="F14" s="99">
        <v>0</v>
      </c>
      <c r="G14" s="99"/>
      <c r="H14" s="99"/>
      <c r="I14" s="99"/>
      <c r="J14" s="99"/>
      <c r="K14" s="99"/>
      <c r="L14" s="99"/>
      <c r="M14" s="99"/>
      <c r="N14" s="99"/>
      <c r="O14" s="99"/>
    </row>
    <row r="15" spans="1:18">
      <c r="A15" s="50" t="s">
        <v>103</v>
      </c>
      <c r="B15" s="96" t="str">
        <f>Products!B42</f>
        <v>10G</v>
      </c>
      <c r="C15" s="97" t="str">
        <f>Products!C42</f>
        <v>300 m</v>
      </c>
      <c r="D15" s="97" t="str">
        <f>Products!D42</f>
        <v>SFP+</v>
      </c>
      <c r="E15" s="99">
        <v>5403152.7633599993</v>
      </c>
      <c r="F15" s="99">
        <v>5767016.8237702157</v>
      </c>
      <c r="G15" s="99"/>
      <c r="H15" s="99"/>
      <c r="I15" s="99"/>
      <c r="J15" s="99"/>
      <c r="K15" s="99"/>
      <c r="L15" s="99"/>
      <c r="M15" s="99"/>
      <c r="N15" s="99"/>
      <c r="O15" s="99"/>
    </row>
    <row r="16" spans="1:18">
      <c r="A16" s="50" t="s">
        <v>103</v>
      </c>
      <c r="B16" s="96" t="str">
        <f>Products!B43</f>
        <v>10G LRM</v>
      </c>
      <c r="C16" s="97" t="str">
        <f>Products!C43</f>
        <v>220 m</v>
      </c>
      <c r="D16" s="97" t="str">
        <f>Products!D43</f>
        <v>SFP+</v>
      </c>
      <c r="E16" s="99">
        <v>0</v>
      </c>
      <c r="F16" s="99">
        <v>0</v>
      </c>
      <c r="G16" s="99"/>
      <c r="H16" s="99"/>
      <c r="I16" s="99"/>
      <c r="J16" s="99"/>
      <c r="K16" s="99"/>
      <c r="L16" s="99"/>
      <c r="M16" s="99"/>
      <c r="N16" s="99"/>
      <c r="O16" s="99"/>
    </row>
    <row r="17" spans="1:15">
      <c r="A17" s="214" t="s">
        <v>104</v>
      </c>
      <c r="B17" s="96" t="str">
        <f>Products!B44</f>
        <v>10G</v>
      </c>
      <c r="C17" s="97" t="str">
        <f>Products!C44</f>
        <v>10 km</v>
      </c>
      <c r="D17" s="97" t="str">
        <f>Products!D44</f>
        <v>XFP</v>
      </c>
      <c r="E17" s="99">
        <v>0</v>
      </c>
      <c r="F17" s="99">
        <v>0</v>
      </c>
      <c r="G17" s="99"/>
      <c r="H17" s="99"/>
      <c r="I17" s="99"/>
      <c r="J17" s="99"/>
      <c r="K17" s="99"/>
      <c r="L17" s="99"/>
      <c r="M17" s="99"/>
      <c r="N17" s="99"/>
      <c r="O17" s="99"/>
    </row>
    <row r="18" spans="1:15">
      <c r="A18" s="214" t="s">
        <v>104</v>
      </c>
      <c r="B18" s="96" t="str">
        <f>Products!B45</f>
        <v>10G</v>
      </c>
      <c r="C18" s="97" t="str">
        <f>Products!C45</f>
        <v>10 km</v>
      </c>
      <c r="D18" s="97" t="str">
        <f>Products!D45</f>
        <v>SFP+</v>
      </c>
      <c r="E18" s="99">
        <v>1772437.4053598638</v>
      </c>
      <c r="F18" s="99">
        <v>1842359.4908892442</v>
      </c>
      <c r="G18" s="99"/>
      <c r="H18" s="99"/>
      <c r="I18" s="99"/>
      <c r="J18" s="99"/>
      <c r="K18" s="99"/>
      <c r="L18" s="99"/>
      <c r="M18" s="99"/>
      <c r="N18" s="99"/>
      <c r="O18" s="99"/>
    </row>
    <row r="19" spans="1:15">
      <c r="A19" s="214" t="s">
        <v>104</v>
      </c>
      <c r="B19" s="96" t="str">
        <f>Products!B46</f>
        <v>10G</v>
      </c>
      <c r="C19" s="97" t="str">
        <f>Products!C46</f>
        <v>40 km</v>
      </c>
      <c r="D19" s="97" t="str">
        <f>Products!D46</f>
        <v>XFP</v>
      </c>
      <c r="E19" s="99">
        <v>30525.800000000003</v>
      </c>
      <c r="F19" s="99">
        <v>21446.800000000003</v>
      </c>
      <c r="G19" s="99"/>
      <c r="H19" s="99"/>
      <c r="I19" s="99"/>
      <c r="J19" s="99"/>
      <c r="K19" s="99"/>
      <c r="L19" s="99"/>
      <c r="M19" s="99"/>
      <c r="N19" s="99"/>
      <c r="O19" s="99"/>
    </row>
    <row r="20" spans="1:15">
      <c r="A20" s="214" t="s">
        <v>104</v>
      </c>
      <c r="B20" s="96" t="str">
        <f>Products!B47</f>
        <v>10G</v>
      </c>
      <c r="C20" s="97" t="str">
        <f>Products!C47</f>
        <v>40 km</v>
      </c>
      <c r="D20" s="97" t="str">
        <f>Products!D47</f>
        <v>SFP+</v>
      </c>
      <c r="E20" s="99">
        <v>25790.925000000003</v>
      </c>
      <c r="F20" s="99">
        <v>12915.93</v>
      </c>
      <c r="G20" s="99"/>
      <c r="H20" s="99"/>
      <c r="I20" s="99"/>
      <c r="J20" s="99"/>
      <c r="K20" s="99"/>
      <c r="L20" s="99"/>
      <c r="M20" s="99"/>
      <c r="N20" s="99"/>
      <c r="O20" s="99"/>
    </row>
    <row r="21" spans="1:15">
      <c r="A21" s="214" t="s">
        <v>104</v>
      </c>
      <c r="B21" s="96" t="str">
        <f>Products!B48</f>
        <v>10G</v>
      </c>
      <c r="C21" s="97" t="str">
        <f>Products!C48</f>
        <v>80 km</v>
      </c>
      <c r="D21" s="97" t="str">
        <f>Products!D48</f>
        <v>XFP</v>
      </c>
      <c r="E21" s="99">
        <v>0</v>
      </c>
      <c r="F21" s="99">
        <v>0</v>
      </c>
      <c r="G21" s="99"/>
      <c r="H21" s="99"/>
      <c r="I21" s="99"/>
      <c r="J21" s="99"/>
      <c r="K21" s="99"/>
      <c r="L21" s="99"/>
      <c r="M21" s="99"/>
      <c r="N21" s="99"/>
      <c r="O21" s="99"/>
    </row>
    <row r="22" spans="1:15">
      <c r="A22" s="214" t="s">
        <v>104</v>
      </c>
      <c r="B22" s="96" t="str">
        <f>Products!B49</f>
        <v>10G</v>
      </c>
      <c r="C22" s="97" t="str">
        <f>Products!C49</f>
        <v>80 km</v>
      </c>
      <c r="D22" s="97" t="str">
        <f>Products!D49</f>
        <v>SFP+</v>
      </c>
      <c r="E22" s="99">
        <v>0</v>
      </c>
      <c r="F22" s="99">
        <v>0</v>
      </c>
      <c r="G22" s="99"/>
      <c r="H22" s="99"/>
      <c r="I22" s="99"/>
      <c r="J22" s="99"/>
      <c r="K22" s="99"/>
      <c r="L22" s="99"/>
      <c r="M22" s="99"/>
      <c r="N22" s="99"/>
      <c r="O22" s="99"/>
    </row>
    <row r="23" spans="1:15">
      <c r="A23" s="214"/>
      <c r="B23" s="96" t="str">
        <f>Products!B50</f>
        <v>10G</v>
      </c>
      <c r="C23" s="97" t="str">
        <f>Products!C50</f>
        <v>Various</v>
      </c>
      <c r="D23" s="97" t="str">
        <f>Products!D50</f>
        <v>Legacy/discontinued</v>
      </c>
      <c r="E23" s="99"/>
      <c r="F23" s="99"/>
      <c r="G23" s="99"/>
      <c r="H23" s="99"/>
      <c r="I23" s="99"/>
      <c r="J23" s="99"/>
      <c r="K23" s="99"/>
      <c r="L23" s="99"/>
      <c r="M23" s="99"/>
      <c r="N23" s="99"/>
      <c r="O23" s="99"/>
    </row>
    <row r="24" spans="1:15">
      <c r="A24" s="238" t="s">
        <v>103</v>
      </c>
      <c r="B24" s="88" t="str">
        <f>Products!B51</f>
        <v>25G SR, eSR</v>
      </c>
      <c r="C24" s="89" t="str">
        <f>Products!C51</f>
        <v>100 - 300 m</v>
      </c>
      <c r="D24" s="90" t="str">
        <f>Products!D51</f>
        <v>SFP28</v>
      </c>
      <c r="E24" s="292">
        <v>0</v>
      </c>
      <c r="F24" s="292">
        <v>0</v>
      </c>
      <c r="G24" s="292"/>
      <c r="H24" s="292"/>
      <c r="I24" s="292"/>
      <c r="J24" s="292"/>
      <c r="K24" s="292"/>
      <c r="L24" s="292"/>
      <c r="M24" s="292"/>
      <c r="N24" s="292"/>
      <c r="O24" s="292"/>
    </row>
    <row r="25" spans="1:15">
      <c r="A25" s="239" t="s">
        <v>104</v>
      </c>
      <c r="B25" s="96" t="str">
        <f>Products!B52</f>
        <v>25G LR</v>
      </c>
      <c r="C25" s="97" t="str">
        <f>Products!C52</f>
        <v>10 km</v>
      </c>
      <c r="D25" s="98" t="str">
        <f>Products!D52</f>
        <v>SFP28</v>
      </c>
      <c r="E25" s="192">
        <v>0</v>
      </c>
      <c r="F25" s="192">
        <v>0</v>
      </c>
      <c r="G25" s="192"/>
      <c r="H25" s="192"/>
      <c r="I25" s="192"/>
      <c r="J25" s="192"/>
      <c r="K25" s="192"/>
      <c r="L25" s="192"/>
      <c r="M25" s="192"/>
      <c r="N25" s="192"/>
      <c r="O25" s="192"/>
    </row>
    <row r="26" spans="1:15">
      <c r="A26" s="239" t="s">
        <v>104</v>
      </c>
      <c r="B26" s="92" t="str">
        <f>Products!B53</f>
        <v>25G ER</v>
      </c>
      <c r="C26" s="93" t="str">
        <f>Products!C53</f>
        <v>40 km</v>
      </c>
      <c r="D26" s="94" t="str">
        <f>Products!D53</f>
        <v>SFP28</v>
      </c>
      <c r="E26" s="291">
        <v>0</v>
      </c>
      <c r="F26" s="291">
        <v>0</v>
      </c>
      <c r="G26" s="291"/>
      <c r="H26" s="291"/>
      <c r="I26" s="291"/>
      <c r="J26" s="291"/>
      <c r="K26" s="291"/>
      <c r="L26" s="291"/>
      <c r="M26" s="291"/>
      <c r="N26" s="291"/>
      <c r="O26" s="291"/>
    </row>
    <row r="27" spans="1:15">
      <c r="A27" s="50" t="s">
        <v>103</v>
      </c>
      <c r="B27" s="96" t="str">
        <f>Products!B54</f>
        <v>40G SR4</v>
      </c>
      <c r="C27" s="97" t="str">
        <f>Products!C54</f>
        <v>100 m</v>
      </c>
      <c r="D27" s="98" t="str">
        <f>Products!D54</f>
        <v>QSFP+</v>
      </c>
      <c r="E27" s="292">
        <v>543944.75</v>
      </c>
      <c r="F27" s="292">
        <v>674740.2</v>
      </c>
      <c r="G27" s="292"/>
      <c r="H27" s="292"/>
      <c r="I27" s="292"/>
      <c r="J27" s="292"/>
      <c r="K27" s="292"/>
      <c r="L27" s="292"/>
      <c r="M27" s="292"/>
      <c r="N27" s="292"/>
      <c r="O27" s="292"/>
    </row>
    <row r="28" spans="1:15">
      <c r="A28" s="50" t="s">
        <v>103</v>
      </c>
      <c r="B28" s="96" t="str">
        <f>Products!B55</f>
        <v>40G MM duplex</v>
      </c>
      <c r="C28" s="97" t="str">
        <f>Products!C55</f>
        <v>100 m</v>
      </c>
      <c r="D28" s="98" t="str">
        <f>Products!D55</f>
        <v>QSFP+</v>
      </c>
      <c r="E28" s="192">
        <v>0</v>
      </c>
      <c r="F28" s="192">
        <v>0</v>
      </c>
      <c r="G28" s="192"/>
      <c r="H28" s="192"/>
      <c r="I28" s="192"/>
      <c r="J28" s="192"/>
      <c r="K28" s="192"/>
      <c r="L28" s="192"/>
      <c r="M28" s="192"/>
      <c r="N28" s="192"/>
      <c r="O28" s="192"/>
    </row>
    <row r="29" spans="1:15">
      <c r="A29" s="50" t="s">
        <v>103</v>
      </c>
      <c r="B29" s="96" t="str">
        <f>Products!B56</f>
        <v>40G eSR4</v>
      </c>
      <c r="C29" s="97" t="str">
        <f>Products!C56</f>
        <v>300 m</v>
      </c>
      <c r="D29" s="98" t="str">
        <f>Products!D56</f>
        <v>QSFP+</v>
      </c>
      <c r="E29" s="192">
        <v>233978.65</v>
      </c>
      <c r="F29" s="192">
        <v>396554.75</v>
      </c>
      <c r="G29" s="192"/>
      <c r="H29" s="192"/>
      <c r="I29" s="192"/>
      <c r="J29" s="192"/>
      <c r="K29" s="192"/>
      <c r="L29" s="192"/>
      <c r="M29" s="192"/>
      <c r="N29" s="192"/>
      <c r="O29" s="192"/>
    </row>
    <row r="30" spans="1:15">
      <c r="A30" s="214" t="s">
        <v>104</v>
      </c>
      <c r="B30" s="96" t="s">
        <v>287</v>
      </c>
      <c r="C30" s="97" t="s">
        <v>45</v>
      </c>
      <c r="D30" s="98" t="s">
        <v>94</v>
      </c>
      <c r="E30" s="192">
        <v>813790</v>
      </c>
      <c r="F30" s="192">
        <v>613640</v>
      </c>
      <c r="G30" s="192"/>
      <c r="H30" s="192"/>
      <c r="I30" s="192"/>
      <c r="J30" s="192"/>
      <c r="K30" s="192"/>
      <c r="L30" s="192"/>
      <c r="M30" s="192"/>
      <c r="N30" s="192"/>
      <c r="O30" s="192"/>
    </row>
    <row r="31" spans="1:15">
      <c r="A31" s="214" t="s">
        <v>104</v>
      </c>
      <c r="B31" s="96" t="str">
        <f>Products!B58</f>
        <v>40G (FR)</v>
      </c>
      <c r="C31" s="97" t="str">
        <f>Products!C58</f>
        <v>2 km</v>
      </c>
      <c r="D31" s="98" t="str">
        <f>Products!D58</f>
        <v>CFP</v>
      </c>
      <c r="E31" s="192">
        <v>0</v>
      </c>
      <c r="F31" s="192">
        <v>0</v>
      </c>
      <c r="G31" s="192"/>
      <c r="H31" s="192"/>
      <c r="I31" s="192"/>
      <c r="J31" s="192"/>
      <c r="K31" s="192"/>
      <c r="L31" s="192"/>
      <c r="M31" s="192"/>
      <c r="N31" s="192"/>
      <c r="O31" s="192"/>
    </row>
    <row r="32" spans="1:15">
      <c r="A32" s="214" t="s">
        <v>104</v>
      </c>
      <c r="B32" s="96" t="str">
        <f>Products!B59</f>
        <v>40G (LR4 subspec)</v>
      </c>
      <c r="C32" s="97" t="str">
        <f>Products!C59</f>
        <v>2 km</v>
      </c>
      <c r="D32" s="98" t="str">
        <f>Products!D59</f>
        <v>QSFP+</v>
      </c>
      <c r="E32" s="192">
        <v>470209</v>
      </c>
      <c r="F32" s="192">
        <v>806616</v>
      </c>
      <c r="G32" s="192"/>
      <c r="H32" s="192"/>
      <c r="I32" s="192"/>
      <c r="J32" s="192"/>
      <c r="K32" s="192"/>
      <c r="L32" s="192"/>
      <c r="M32" s="192"/>
      <c r="N32" s="192"/>
      <c r="O32" s="192"/>
    </row>
    <row r="33" spans="1:15">
      <c r="A33" s="214" t="s">
        <v>104</v>
      </c>
      <c r="B33" s="96" t="str">
        <f>Products!B60</f>
        <v>40G</v>
      </c>
      <c r="C33" s="97" t="str">
        <f>Products!C60</f>
        <v>10 km</v>
      </c>
      <c r="D33" s="98" t="str">
        <f>Products!D60</f>
        <v>CFP</v>
      </c>
      <c r="E33" s="192">
        <v>332.75</v>
      </c>
      <c r="F33" s="192">
        <v>142.30000000000001</v>
      </c>
      <c r="G33" s="192"/>
      <c r="H33" s="192"/>
      <c r="I33" s="192"/>
      <c r="J33" s="192"/>
      <c r="K33" s="192"/>
      <c r="L33" s="192"/>
      <c r="M33" s="192"/>
      <c r="N33" s="192"/>
      <c r="O33" s="192"/>
    </row>
    <row r="34" spans="1:15">
      <c r="A34" s="214" t="s">
        <v>104</v>
      </c>
      <c r="B34" s="96" t="str">
        <f>Products!B61</f>
        <v>40G</v>
      </c>
      <c r="C34" s="97" t="str">
        <f>Products!C61</f>
        <v>10 km</v>
      </c>
      <c r="D34" s="98" t="str">
        <f>Products!D61</f>
        <v>QSFP+</v>
      </c>
      <c r="E34" s="192">
        <v>261784.80000000002</v>
      </c>
      <c r="F34" s="192">
        <v>339486.4</v>
      </c>
      <c r="G34" s="192"/>
      <c r="H34" s="192"/>
      <c r="I34" s="192"/>
      <c r="J34" s="192"/>
      <c r="K34" s="192"/>
      <c r="L34" s="192"/>
      <c r="M34" s="192"/>
      <c r="N34" s="192"/>
      <c r="O34" s="192"/>
    </row>
    <row r="35" spans="1:15">
      <c r="A35" s="214" t="s">
        <v>104</v>
      </c>
      <c r="B35" s="92" t="str">
        <f>Products!B62</f>
        <v>40G</v>
      </c>
      <c r="C35" s="93" t="str">
        <f>Products!C62</f>
        <v>40 km</v>
      </c>
      <c r="D35" s="94" t="str">
        <f>Products!D62</f>
        <v>QSFP+</v>
      </c>
      <c r="E35" s="291">
        <v>1223.5</v>
      </c>
      <c r="F35" s="291">
        <v>1358</v>
      </c>
      <c r="G35" s="291"/>
      <c r="H35" s="291"/>
      <c r="I35" s="291"/>
      <c r="J35" s="291"/>
      <c r="K35" s="291"/>
      <c r="L35" s="291"/>
      <c r="M35" s="291"/>
      <c r="N35" s="291"/>
      <c r="O35" s="291"/>
    </row>
    <row r="36" spans="1:15">
      <c r="A36" s="50" t="s">
        <v>103</v>
      </c>
      <c r="B36" s="88" t="str">
        <f>Products!B63</f>
        <v xml:space="preserve">50G </v>
      </c>
      <c r="C36" s="89" t="str">
        <f>Products!C63</f>
        <v>100 m</v>
      </c>
      <c r="D36" s="90" t="str">
        <f>Products!D63</f>
        <v>all</v>
      </c>
      <c r="E36" s="192">
        <v>0</v>
      </c>
      <c r="F36" s="192">
        <v>0</v>
      </c>
      <c r="G36" s="192"/>
      <c r="H36" s="192"/>
      <c r="I36" s="192"/>
      <c r="J36" s="192"/>
      <c r="K36" s="192"/>
      <c r="L36" s="192"/>
      <c r="M36" s="192"/>
      <c r="N36" s="192"/>
      <c r="O36" s="192"/>
    </row>
    <row r="37" spans="1:15">
      <c r="A37" s="214" t="s">
        <v>104</v>
      </c>
      <c r="B37" s="96" t="str">
        <f>Products!B64</f>
        <v xml:space="preserve">50G </v>
      </c>
      <c r="C37" s="97" t="str">
        <f>Products!C64</f>
        <v>2 km</v>
      </c>
      <c r="D37" s="98" t="str">
        <f>Products!D64</f>
        <v>all</v>
      </c>
      <c r="E37" s="192">
        <v>0</v>
      </c>
      <c r="F37" s="192">
        <v>0</v>
      </c>
      <c r="G37" s="192"/>
      <c r="H37" s="192"/>
      <c r="I37" s="192"/>
      <c r="J37" s="192"/>
      <c r="K37" s="192"/>
      <c r="L37" s="192"/>
      <c r="M37" s="192"/>
      <c r="N37" s="192"/>
      <c r="O37" s="192"/>
    </row>
    <row r="38" spans="1:15">
      <c r="A38" s="214" t="s">
        <v>104</v>
      </c>
      <c r="B38" s="96" t="str">
        <f>Products!B65</f>
        <v xml:space="preserve">50G </v>
      </c>
      <c r="C38" s="97" t="str">
        <f>Products!C65</f>
        <v>10 km</v>
      </c>
      <c r="D38" s="98" t="str">
        <f>Products!D65</f>
        <v>all</v>
      </c>
      <c r="E38" s="192">
        <v>0</v>
      </c>
      <c r="F38" s="192">
        <v>0</v>
      </c>
      <c r="G38" s="192"/>
      <c r="H38" s="192"/>
      <c r="I38" s="192"/>
      <c r="J38" s="192"/>
      <c r="K38" s="192"/>
      <c r="L38" s="192"/>
      <c r="M38" s="192"/>
      <c r="N38" s="192"/>
      <c r="O38" s="192"/>
    </row>
    <row r="39" spans="1:15">
      <c r="A39" s="50" t="s">
        <v>103</v>
      </c>
      <c r="B39" s="88" t="str">
        <f>Products!B68</f>
        <v>100G SR4</v>
      </c>
      <c r="C39" s="89" t="str">
        <f>Products!C68</f>
        <v>100 m</v>
      </c>
      <c r="D39" s="90" t="str">
        <f>Products!D68</f>
        <v>CFP</v>
      </c>
      <c r="E39" s="292">
        <v>0</v>
      </c>
      <c r="F39" s="292">
        <v>0</v>
      </c>
      <c r="G39" s="292"/>
      <c r="H39" s="292"/>
      <c r="I39" s="292"/>
      <c r="J39" s="292"/>
      <c r="K39" s="292"/>
      <c r="L39" s="292"/>
      <c r="M39" s="292"/>
      <c r="N39" s="292"/>
      <c r="O39" s="292"/>
    </row>
    <row r="40" spans="1:15">
      <c r="A40" s="50" t="s">
        <v>103</v>
      </c>
      <c r="B40" s="96" t="str">
        <f>Products!B69</f>
        <v>100G SR4</v>
      </c>
      <c r="C40" s="97" t="str">
        <f>Products!C69</f>
        <v>100 m</v>
      </c>
      <c r="D40" s="98" t="str">
        <f>Products!D69</f>
        <v>CFP2/4</v>
      </c>
      <c r="E40" s="192">
        <v>0</v>
      </c>
      <c r="F40" s="192">
        <v>0</v>
      </c>
      <c r="G40" s="192"/>
      <c r="H40" s="192"/>
      <c r="I40" s="192"/>
      <c r="J40" s="192"/>
      <c r="K40" s="192"/>
      <c r="L40" s="192"/>
      <c r="M40" s="192"/>
      <c r="N40" s="192"/>
      <c r="O40" s="192"/>
    </row>
    <row r="41" spans="1:15">
      <c r="A41" s="50" t="s">
        <v>103</v>
      </c>
      <c r="B41" s="96" t="str">
        <f>Products!B70</f>
        <v>100G SR4</v>
      </c>
      <c r="C41" s="97" t="str">
        <f>Products!C70</f>
        <v>100 m</v>
      </c>
      <c r="D41" s="98" t="str">
        <f>Products!D70</f>
        <v>QSFP28</v>
      </c>
      <c r="E41" s="192">
        <v>280058</v>
      </c>
      <c r="F41" s="192">
        <v>622792</v>
      </c>
      <c r="G41" s="192"/>
      <c r="H41" s="192"/>
      <c r="I41" s="192"/>
      <c r="J41" s="192"/>
      <c r="K41" s="192"/>
      <c r="L41" s="192"/>
      <c r="M41" s="192"/>
      <c r="N41" s="192"/>
      <c r="O41" s="192"/>
    </row>
    <row r="42" spans="1:15">
      <c r="A42" s="50" t="s">
        <v>103</v>
      </c>
      <c r="B42" s="96" t="str">
        <f>Products!B71</f>
        <v>100G SR2</v>
      </c>
      <c r="C42" s="97" t="str">
        <f>Products!C71</f>
        <v>100 m</v>
      </c>
      <c r="D42" s="98" t="str">
        <f>Products!D71</f>
        <v>All</v>
      </c>
      <c r="E42" s="192">
        <v>0</v>
      </c>
      <c r="F42" s="192">
        <v>0</v>
      </c>
      <c r="G42" s="192"/>
      <c r="H42" s="192"/>
      <c r="I42" s="192"/>
      <c r="J42" s="192"/>
      <c r="K42" s="192"/>
      <c r="L42" s="192"/>
      <c r="M42" s="192"/>
      <c r="N42" s="192"/>
      <c r="O42" s="192"/>
    </row>
    <row r="43" spans="1:15">
      <c r="A43" s="50" t="s">
        <v>103</v>
      </c>
      <c r="B43" s="96" t="str">
        <f>Products!B72</f>
        <v>100G MM Duplex</v>
      </c>
      <c r="C43" s="97" t="str">
        <f>Products!C72</f>
        <v>100 - 300 m</v>
      </c>
      <c r="D43" s="98" t="str">
        <f>Products!D72</f>
        <v>QSFP28</v>
      </c>
      <c r="E43" s="192">
        <v>0</v>
      </c>
      <c r="F43" s="192">
        <v>0</v>
      </c>
      <c r="G43" s="192"/>
      <c r="H43" s="192"/>
      <c r="I43" s="192"/>
      <c r="J43" s="192"/>
      <c r="K43" s="192"/>
      <c r="L43" s="192"/>
      <c r="M43" s="192"/>
      <c r="N43" s="192"/>
      <c r="O43" s="192"/>
    </row>
    <row r="44" spans="1:15">
      <c r="A44" s="50" t="s">
        <v>103</v>
      </c>
      <c r="B44" s="96" t="str">
        <f>Products!B73</f>
        <v>100G eSR4</v>
      </c>
      <c r="C44" s="97" t="str">
        <f>Products!C73</f>
        <v>300 m</v>
      </c>
      <c r="D44" s="98" t="str">
        <f>Products!D73</f>
        <v>QSFP28</v>
      </c>
      <c r="E44" s="192">
        <v>0</v>
      </c>
      <c r="F44" s="192">
        <v>0</v>
      </c>
      <c r="G44" s="192"/>
      <c r="H44" s="192"/>
      <c r="I44" s="192"/>
      <c r="J44" s="192"/>
      <c r="K44" s="192"/>
      <c r="L44" s="192"/>
      <c r="M44" s="192"/>
      <c r="N44" s="192"/>
      <c r="O44" s="192"/>
    </row>
    <row r="45" spans="1:15">
      <c r="A45" s="214" t="s">
        <v>104</v>
      </c>
      <c r="B45" s="96" t="str">
        <f>Products!B74</f>
        <v>100G PSM4</v>
      </c>
      <c r="C45" s="97" t="str">
        <f>Products!C74</f>
        <v>500 m</v>
      </c>
      <c r="D45" s="98" t="str">
        <f>Products!D74</f>
        <v>QSFP28</v>
      </c>
      <c r="E45" s="192">
        <v>200861</v>
      </c>
      <c r="F45" s="192">
        <v>710038</v>
      </c>
      <c r="G45" s="192"/>
      <c r="H45" s="192"/>
      <c r="I45" s="192"/>
      <c r="J45" s="192"/>
      <c r="K45" s="192"/>
      <c r="L45" s="192"/>
      <c r="M45" s="192"/>
      <c r="N45" s="192"/>
      <c r="O45" s="192"/>
    </row>
    <row r="46" spans="1:15">
      <c r="A46" s="214" t="s">
        <v>104</v>
      </c>
      <c r="B46" s="96" t="str">
        <f>Products!B75</f>
        <v>100G DR/DR+</v>
      </c>
      <c r="C46" s="97" t="str">
        <f>Products!C75</f>
        <v>500m, 2km</v>
      </c>
      <c r="D46" s="98" t="str">
        <f>Products!D75</f>
        <v>QSFP28</v>
      </c>
      <c r="E46" s="192">
        <v>0</v>
      </c>
      <c r="F46" s="192">
        <v>0</v>
      </c>
      <c r="G46" s="192"/>
      <c r="H46" s="192"/>
      <c r="I46" s="192"/>
      <c r="J46" s="192"/>
      <c r="K46" s="192"/>
      <c r="L46" s="192"/>
      <c r="M46" s="192"/>
      <c r="N46" s="192"/>
      <c r="O46" s="192"/>
    </row>
    <row r="47" spans="1:15">
      <c r="A47" s="214" t="s">
        <v>104</v>
      </c>
      <c r="B47" s="96" t="str">
        <f>Products!B76</f>
        <v>100G CWDM4-subspec</v>
      </c>
      <c r="C47" s="97" t="str">
        <f>Products!C76</f>
        <v>500 m</v>
      </c>
      <c r="D47" s="98" t="str">
        <f>Products!D76</f>
        <v>QSFP28</v>
      </c>
      <c r="E47" s="192">
        <v>88200.6</v>
      </c>
      <c r="F47" s="192">
        <v>683412.1</v>
      </c>
      <c r="G47" s="192"/>
      <c r="H47" s="192"/>
      <c r="I47" s="192"/>
      <c r="J47" s="192"/>
      <c r="K47" s="192"/>
      <c r="L47" s="192"/>
      <c r="M47" s="192"/>
      <c r="N47" s="192"/>
      <c r="O47" s="192"/>
    </row>
    <row r="48" spans="1:15">
      <c r="A48" s="214" t="s">
        <v>104</v>
      </c>
      <c r="B48" s="96" t="str">
        <f>Products!B77</f>
        <v>100G CWDM4</v>
      </c>
      <c r="C48" s="97" t="str">
        <f>Products!C77</f>
        <v>2 km</v>
      </c>
      <c r="D48" s="98" t="str">
        <f>Products!D77</f>
        <v>QSFP28</v>
      </c>
      <c r="E48" s="192">
        <v>30989.399999999994</v>
      </c>
      <c r="F48" s="192">
        <v>292890.90000000002</v>
      </c>
      <c r="G48" s="192"/>
      <c r="H48" s="192"/>
      <c r="I48" s="192"/>
      <c r="J48" s="192"/>
      <c r="K48" s="192"/>
      <c r="L48" s="192"/>
      <c r="M48" s="192"/>
      <c r="N48" s="192"/>
      <c r="O48" s="192"/>
    </row>
    <row r="49" spans="1:15">
      <c r="A49" s="214" t="s">
        <v>104</v>
      </c>
      <c r="B49" s="96" t="str">
        <f>Products!B78</f>
        <v>100G FR1</v>
      </c>
      <c r="C49" s="97" t="str">
        <f>Products!C78</f>
        <v>2 km</v>
      </c>
      <c r="D49" s="98" t="str">
        <f>Products!D78</f>
        <v>QSFP28</v>
      </c>
      <c r="E49" s="192">
        <v>0</v>
      </c>
      <c r="F49" s="192">
        <v>0</v>
      </c>
      <c r="G49" s="192"/>
      <c r="H49" s="192"/>
      <c r="I49" s="192"/>
      <c r="J49" s="192"/>
      <c r="K49" s="192"/>
      <c r="L49" s="192"/>
      <c r="M49" s="192"/>
      <c r="N49" s="192"/>
      <c r="O49" s="192"/>
    </row>
    <row r="50" spans="1:15">
      <c r="A50" s="214" t="s">
        <v>104</v>
      </c>
      <c r="B50" s="96" t="str">
        <f>Products!B79</f>
        <v>100G LR4</v>
      </c>
      <c r="C50" s="97" t="str">
        <f>Products!C79</f>
        <v>10 km</v>
      </c>
      <c r="D50" s="98" t="str">
        <f>Products!D79</f>
        <v>CFP</v>
      </c>
      <c r="E50" s="192">
        <v>0</v>
      </c>
      <c r="F50" s="192">
        <v>0</v>
      </c>
      <c r="G50" s="192"/>
      <c r="H50" s="192"/>
      <c r="I50" s="192"/>
      <c r="J50" s="192"/>
      <c r="K50" s="192"/>
      <c r="L50" s="192"/>
      <c r="M50" s="192"/>
      <c r="N50" s="192"/>
      <c r="O50" s="192"/>
    </row>
    <row r="51" spans="1:15">
      <c r="A51" s="214" t="s">
        <v>104</v>
      </c>
      <c r="B51" s="96" t="str">
        <f>Products!B80</f>
        <v>100G LR4</v>
      </c>
      <c r="C51" s="97" t="str">
        <f>Products!C80</f>
        <v>10 km</v>
      </c>
      <c r="D51" s="98" t="str">
        <f>Products!D80</f>
        <v>CFP2/4</v>
      </c>
      <c r="E51" s="192">
        <v>0</v>
      </c>
      <c r="F51" s="192">
        <v>0</v>
      </c>
      <c r="G51" s="192"/>
      <c r="H51" s="192"/>
      <c r="I51" s="192"/>
      <c r="J51" s="192"/>
      <c r="K51" s="192"/>
      <c r="L51" s="192"/>
      <c r="M51" s="192"/>
      <c r="N51" s="192"/>
      <c r="O51" s="192"/>
    </row>
    <row r="52" spans="1:15">
      <c r="A52" s="214" t="s">
        <v>104</v>
      </c>
      <c r="B52" s="96" t="str">
        <f>Products!B81</f>
        <v>100G LR4 and LR1</v>
      </c>
      <c r="C52" s="97" t="str">
        <f>Products!C81</f>
        <v>10 km</v>
      </c>
      <c r="D52" s="98" t="str">
        <f>Products!D81</f>
        <v>QSFP28</v>
      </c>
      <c r="E52" s="192">
        <v>72354.400000000009</v>
      </c>
      <c r="F52" s="192">
        <v>253646.4</v>
      </c>
      <c r="G52" s="192"/>
      <c r="H52" s="192"/>
      <c r="I52" s="192"/>
      <c r="J52" s="192"/>
      <c r="K52" s="192"/>
      <c r="L52" s="192"/>
      <c r="M52" s="192"/>
      <c r="N52" s="192"/>
      <c r="O52" s="192"/>
    </row>
    <row r="53" spans="1:15">
      <c r="A53" s="214" t="s">
        <v>104</v>
      </c>
      <c r="B53" s="96" t="str">
        <f>Products!B82</f>
        <v>100G 4WDM10</v>
      </c>
      <c r="C53" s="97" t="str">
        <f>Products!C82</f>
        <v>10 km</v>
      </c>
      <c r="D53" s="98" t="str">
        <f>Products!D82</f>
        <v>QSFP28</v>
      </c>
      <c r="E53" s="192">
        <v>0</v>
      </c>
      <c r="F53" s="192">
        <v>40500</v>
      </c>
      <c r="G53" s="192"/>
      <c r="H53" s="192"/>
      <c r="I53" s="192"/>
      <c r="J53" s="192"/>
      <c r="K53" s="192"/>
      <c r="L53" s="192"/>
      <c r="M53" s="192"/>
      <c r="N53" s="192"/>
      <c r="O53" s="192"/>
    </row>
    <row r="54" spans="1:15">
      <c r="A54" s="214" t="s">
        <v>104</v>
      </c>
      <c r="B54" s="96" t="str">
        <f>Products!B83</f>
        <v>100G 4WDM20</v>
      </c>
      <c r="C54" s="97" t="str">
        <f>Products!C83</f>
        <v>20 km</v>
      </c>
      <c r="D54" s="98" t="str">
        <f>Products!D83</f>
        <v>QSFP28</v>
      </c>
      <c r="E54" s="192">
        <v>0</v>
      </c>
      <c r="F54" s="192">
        <v>0</v>
      </c>
      <c r="G54" s="192"/>
      <c r="H54" s="192"/>
      <c r="I54" s="192"/>
      <c r="J54" s="192"/>
      <c r="K54" s="192"/>
      <c r="L54" s="192"/>
      <c r="M54" s="192"/>
      <c r="N54" s="192"/>
      <c r="O54" s="192"/>
    </row>
    <row r="55" spans="1:15">
      <c r="A55" s="214" t="s">
        <v>104</v>
      </c>
      <c r="B55" s="96" t="str">
        <f>Products!B84</f>
        <v>100G ER4-Lite</v>
      </c>
      <c r="C55" s="97" t="str">
        <f>Products!C84</f>
        <v>30 km</v>
      </c>
      <c r="D55" s="98" t="str">
        <f>Products!D84</f>
        <v>QSFP28</v>
      </c>
      <c r="E55" s="192">
        <v>0</v>
      </c>
      <c r="F55" s="192">
        <v>0</v>
      </c>
      <c r="G55" s="192"/>
      <c r="H55" s="192"/>
      <c r="I55" s="192"/>
      <c r="J55" s="192"/>
      <c r="K55" s="192"/>
      <c r="L55" s="192"/>
      <c r="M55" s="192"/>
      <c r="N55" s="192"/>
      <c r="O55" s="192"/>
    </row>
    <row r="56" spans="1:15">
      <c r="A56" s="214" t="s">
        <v>104</v>
      </c>
      <c r="B56" s="96" t="str">
        <f>Products!B85</f>
        <v>100G ER4</v>
      </c>
      <c r="C56" s="97" t="str">
        <f>Products!C85</f>
        <v>40 km</v>
      </c>
      <c r="D56" s="98" t="str">
        <f>Products!D85</f>
        <v>QSFP28</v>
      </c>
      <c r="E56" s="192">
        <v>0</v>
      </c>
      <c r="F56" s="192">
        <v>0</v>
      </c>
      <c r="G56" s="192"/>
      <c r="H56" s="192"/>
      <c r="I56" s="192"/>
      <c r="J56" s="192"/>
      <c r="K56" s="192"/>
      <c r="L56" s="192"/>
      <c r="M56" s="192"/>
      <c r="N56" s="192"/>
      <c r="O56" s="192"/>
    </row>
    <row r="57" spans="1:15">
      <c r="A57" s="214" t="s">
        <v>104</v>
      </c>
      <c r="B57" s="96" t="str">
        <f>Products!B86</f>
        <v>100G ZR4</v>
      </c>
      <c r="C57" s="97" t="str">
        <f>Products!C86</f>
        <v>80 km</v>
      </c>
      <c r="D57" s="98" t="str">
        <f>Products!D86</f>
        <v>QSFP28</v>
      </c>
      <c r="E57" s="95">
        <v>0</v>
      </c>
      <c r="F57" s="95">
        <v>0</v>
      </c>
      <c r="G57" s="95"/>
      <c r="H57" s="95"/>
      <c r="I57" s="95"/>
      <c r="J57" s="95"/>
      <c r="K57" s="95"/>
      <c r="L57" s="95"/>
      <c r="M57" s="95"/>
      <c r="N57" s="95"/>
      <c r="O57" s="95"/>
    </row>
    <row r="58" spans="1:15">
      <c r="A58" s="238" t="s">
        <v>103</v>
      </c>
      <c r="B58" s="240" t="str">
        <f>Products!B87</f>
        <v>200G SR4</v>
      </c>
      <c r="C58" s="241" t="str">
        <f>Products!C87</f>
        <v>100 m</v>
      </c>
      <c r="D58" s="242" t="str">
        <f>Products!D87</f>
        <v>QSFP56</v>
      </c>
      <c r="E58" s="91">
        <v>0</v>
      </c>
      <c r="F58" s="91">
        <v>0</v>
      </c>
      <c r="G58" s="91"/>
      <c r="H58" s="91"/>
      <c r="I58" s="91"/>
      <c r="J58" s="91"/>
      <c r="K58" s="91"/>
      <c r="L58" s="91"/>
      <c r="M58" s="91"/>
      <c r="N58" s="91"/>
      <c r="O58" s="91"/>
    </row>
    <row r="59" spans="1:15">
      <c r="A59" s="239" t="s">
        <v>104</v>
      </c>
      <c r="B59" s="243" t="str">
        <f>Products!B88</f>
        <v>2x200 (400G-SR8)</v>
      </c>
      <c r="C59" s="244" t="str">
        <f>Products!C88</f>
        <v>100 m</v>
      </c>
      <c r="D59" s="245" t="str">
        <f>Products!D88</f>
        <v>OSFP, QSFP-DD</v>
      </c>
      <c r="E59" s="99">
        <v>0</v>
      </c>
      <c r="F59" s="99">
        <v>0</v>
      </c>
      <c r="G59" s="99"/>
      <c r="H59" s="99"/>
      <c r="I59" s="99"/>
      <c r="J59" s="99"/>
      <c r="K59" s="99"/>
      <c r="L59" s="99"/>
      <c r="M59" s="99"/>
      <c r="N59" s="99"/>
      <c r="O59" s="99"/>
    </row>
    <row r="60" spans="1:15">
      <c r="A60" s="239" t="s">
        <v>104</v>
      </c>
      <c r="B60" s="243" t="str">
        <f>Products!B89</f>
        <v>200G FR4</v>
      </c>
      <c r="C60" s="244" t="str">
        <f>Products!C89</f>
        <v>3 km</v>
      </c>
      <c r="D60" s="245" t="str">
        <f>Products!D89</f>
        <v>QSFP56</v>
      </c>
      <c r="E60" s="99">
        <v>0</v>
      </c>
      <c r="F60" s="99">
        <v>0</v>
      </c>
      <c r="G60" s="99"/>
      <c r="H60" s="99"/>
      <c r="I60" s="99"/>
      <c r="J60" s="99"/>
      <c r="K60" s="99"/>
      <c r="L60" s="99"/>
      <c r="M60" s="99"/>
      <c r="N60" s="99"/>
      <c r="O60" s="99"/>
    </row>
    <row r="61" spans="1:15">
      <c r="A61" s="239" t="s">
        <v>104</v>
      </c>
      <c r="B61" s="246" t="str">
        <f>Products!B90</f>
        <v>2x(200G FR4)</v>
      </c>
      <c r="C61" s="247" t="str">
        <f>Products!C90</f>
        <v>2 km</v>
      </c>
      <c r="D61" s="248" t="str">
        <f>Products!D90</f>
        <v>OSFP</v>
      </c>
      <c r="E61" s="95">
        <v>0</v>
      </c>
      <c r="F61" s="95">
        <v>0</v>
      </c>
      <c r="G61" s="95"/>
      <c r="H61" s="95"/>
      <c r="I61" s="95"/>
      <c r="J61" s="95"/>
      <c r="K61" s="95"/>
      <c r="L61" s="95"/>
      <c r="M61" s="95"/>
      <c r="N61" s="95"/>
      <c r="O61" s="95"/>
    </row>
    <row r="62" spans="1:15">
      <c r="A62" s="238" t="s">
        <v>103</v>
      </c>
      <c r="B62" s="240" t="str">
        <f>Products!B91</f>
        <v>400G SR4.2, SR4</v>
      </c>
      <c r="C62" s="241" t="str">
        <f>Products!C91</f>
        <v>100 m</v>
      </c>
      <c r="D62" s="242" t="str">
        <f>Products!D91</f>
        <v>OSFP, QSFP-DD, QSFP112</v>
      </c>
      <c r="E62" s="91">
        <v>0</v>
      </c>
      <c r="F62" s="91">
        <v>0</v>
      </c>
      <c r="G62" s="91"/>
      <c r="H62" s="91"/>
      <c r="I62" s="91"/>
      <c r="J62" s="91"/>
      <c r="K62" s="91"/>
      <c r="L62" s="91"/>
      <c r="M62" s="91"/>
      <c r="N62" s="91"/>
      <c r="O62" s="91"/>
    </row>
    <row r="63" spans="1:15">
      <c r="A63" s="239" t="s">
        <v>104</v>
      </c>
      <c r="B63" s="243" t="str">
        <f>Products!B92</f>
        <v>400G DR4</v>
      </c>
      <c r="C63" s="244" t="str">
        <f>Products!C92</f>
        <v>500 m</v>
      </c>
      <c r="D63" s="245" t="str">
        <f>Products!D92</f>
        <v>OSFP, QSFP-DD, QSFP112</v>
      </c>
      <c r="E63" s="99">
        <v>0</v>
      </c>
      <c r="F63" s="99">
        <v>0</v>
      </c>
      <c r="G63" s="99"/>
      <c r="H63" s="99"/>
      <c r="I63" s="99"/>
      <c r="J63" s="99"/>
      <c r="K63" s="99"/>
      <c r="L63" s="99"/>
      <c r="M63" s="99"/>
      <c r="N63" s="99"/>
      <c r="O63" s="99"/>
    </row>
    <row r="64" spans="1:15">
      <c r="A64" s="239" t="s">
        <v>104</v>
      </c>
      <c r="B64" s="243" t="str">
        <f>Products!B93</f>
        <v>400G FR4</v>
      </c>
      <c r="C64" s="244" t="str">
        <f>Products!C93</f>
        <v>2 km</v>
      </c>
      <c r="D64" s="245" t="str">
        <f>Products!D93</f>
        <v>OSFP, QSFP-DD, QSFP112</v>
      </c>
      <c r="E64" s="99">
        <v>0</v>
      </c>
      <c r="F64" s="99">
        <v>7</v>
      </c>
      <c r="G64" s="99"/>
      <c r="H64" s="99"/>
      <c r="I64" s="99"/>
      <c r="J64" s="99"/>
      <c r="K64" s="99"/>
      <c r="L64" s="99"/>
      <c r="M64" s="99"/>
      <c r="N64" s="99"/>
      <c r="O64" s="99"/>
    </row>
    <row r="65" spans="1:15">
      <c r="A65" s="239" t="s">
        <v>104</v>
      </c>
      <c r="B65" s="246" t="str">
        <f>Products!B94</f>
        <v>400G LR4, LR8</v>
      </c>
      <c r="C65" s="247" t="str">
        <f>Products!C94</f>
        <v>10 km</v>
      </c>
      <c r="D65" s="248" t="str">
        <f>Products!D94</f>
        <v>OSFP, QSFP-DD, QSFP112</v>
      </c>
      <c r="E65" s="95">
        <v>0</v>
      </c>
      <c r="F65" s="95">
        <v>0</v>
      </c>
      <c r="G65" s="95"/>
      <c r="H65" s="95"/>
      <c r="I65" s="95"/>
      <c r="J65" s="95"/>
      <c r="K65" s="95"/>
      <c r="L65" s="95"/>
      <c r="M65" s="95"/>
      <c r="N65" s="95"/>
      <c r="O65" s="95"/>
    </row>
    <row r="66" spans="1:15" s="101" customFormat="1">
      <c r="A66" s="238" t="s">
        <v>103</v>
      </c>
      <c r="B66" s="243" t="str">
        <f>Products!B95</f>
        <v>800G SR8</v>
      </c>
      <c r="C66" s="244" t="str">
        <f>Products!C95</f>
        <v>50 m</v>
      </c>
      <c r="D66" s="245" t="str">
        <f>Products!D95</f>
        <v>OSFP, QSFP-DD800</v>
      </c>
      <c r="E66" s="99">
        <v>0</v>
      </c>
      <c r="F66" s="99">
        <v>0</v>
      </c>
      <c r="G66" s="99"/>
      <c r="H66" s="99"/>
      <c r="I66" s="99"/>
      <c r="J66" s="99"/>
      <c r="K66" s="99"/>
      <c r="L66" s="99"/>
      <c r="M66" s="99"/>
      <c r="N66" s="99"/>
      <c r="O66" s="99"/>
    </row>
    <row r="67" spans="1:15" s="101" customFormat="1">
      <c r="A67" s="239" t="s">
        <v>104</v>
      </c>
      <c r="B67" s="243" t="str">
        <f>Products!B96</f>
        <v>800G PSM8</v>
      </c>
      <c r="C67" s="244" t="str">
        <f>Products!C96</f>
        <v>500 m</v>
      </c>
      <c r="D67" s="245" t="str">
        <f>Products!D96</f>
        <v>OSFP, QSFP-DD800</v>
      </c>
      <c r="E67" s="99">
        <v>0</v>
      </c>
      <c r="F67" s="99">
        <v>0</v>
      </c>
      <c r="G67" s="99"/>
      <c r="H67" s="99"/>
      <c r="I67" s="99"/>
      <c r="J67" s="99"/>
      <c r="K67" s="99"/>
      <c r="L67" s="99"/>
      <c r="M67" s="99"/>
      <c r="N67" s="99"/>
      <c r="O67" s="99"/>
    </row>
    <row r="68" spans="1:15" s="101" customFormat="1">
      <c r="A68" s="239" t="s">
        <v>104</v>
      </c>
      <c r="B68" s="243" t="str">
        <f>Products!B97</f>
        <v>2x(400G FR4)</v>
      </c>
      <c r="C68" s="244" t="str">
        <f>Products!C97</f>
        <v>2 km</v>
      </c>
      <c r="D68" s="245" t="str">
        <f>Products!D97</f>
        <v>OSFP, QSFP-DD800</v>
      </c>
      <c r="E68" s="99">
        <v>0</v>
      </c>
      <c r="F68" s="99">
        <v>0</v>
      </c>
      <c r="G68" s="99"/>
      <c r="H68" s="99"/>
      <c r="I68" s="99"/>
      <c r="J68" s="99"/>
      <c r="K68" s="99"/>
      <c r="L68" s="99"/>
      <c r="M68" s="99"/>
      <c r="N68" s="99"/>
      <c r="O68" s="99"/>
    </row>
    <row r="69" spans="1:15" s="101" customFormat="1">
      <c r="A69" s="523"/>
      <c r="B69" s="246"/>
      <c r="C69" s="247"/>
      <c r="D69" s="248"/>
      <c r="E69" s="95"/>
      <c r="F69" s="95"/>
      <c r="G69" s="95"/>
      <c r="H69" s="95"/>
      <c r="I69" s="95"/>
      <c r="J69" s="95"/>
      <c r="K69" s="95"/>
      <c r="L69" s="95"/>
      <c r="M69" s="95"/>
      <c r="N69" s="95"/>
      <c r="O69" s="95"/>
    </row>
    <row r="70" spans="1:15">
      <c r="B70" s="51" t="s">
        <v>20</v>
      </c>
      <c r="C70" s="52"/>
      <c r="D70" s="53"/>
      <c r="E70" s="105">
        <f t="shared" ref="E70:O70" si="0">SUM(E9:E69)</f>
        <v>10649308.537719864</v>
      </c>
      <c r="F70" s="105">
        <f t="shared" si="0"/>
        <v>13336049.134659462</v>
      </c>
      <c r="G70" s="105">
        <f t="shared" si="0"/>
        <v>0</v>
      </c>
      <c r="H70" s="105">
        <f t="shared" si="0"/>
        <v>0</v>
      </c>
      <c r="I70" s="105">
        <f t="shared" si="0"/>
        <v>0</v>
      </c>
      <c r="J70" s="105">
        <f t="shared" si="0"/>
        <v>0</v>
      </c>
      <c r="K70" s="105">
        <f t="shared" si="0"/>
        <v>0</v>
      </c>
      <c r="L70" s="105">
        <f t="shared" si="0"/>
        <v>0</v>
      </c>
      <c r="M70" s="105">
        <f t="shared" si="0"/>
        <v>0</v>
      </c>
      <c r="N70" s="105">
        <f t="shared" si="0"/>
        <v>0</v>
      </c>
      <c r="O70" s="105">
        <f t="shared" si="0"/>
        <v>0</v>
      </c>
    </row>
    <row r="73" spans="1:15" ht="21">
      <c r="B73" s="14" t="s">
        <v>19</v>
      </c>
      <c r="C73" s="14"/>
    </row>
    <row r="74" spans="1:15">
      <c r="B74" s="367" t="str">
        <f>B6</f>
        <v>Data Rate</v>
      </c>
      <c r="C74" s="368" t="str">
        <f>C6</f>
        <v>Reach</v>
      </c>
      <c r="D74" s="368" t="str">
        <f>D6</f>
        <v>Form Factor</v>
      </c>
      <c r="E74" s="269">
        <v>2016</v>
      </c>
      <c r="F74" s="269">
        <v>2017</v>
      </c>
      <c r="G74" s="269">
        <v>2018</v>
      </c>
      <c r="H74" s="269">
        <v>2019</v>
      </c>
      <c r="I74" s="269">
        <v>2020</v>
      </c>
      <c r="J74" s="269">
        <v>2021</v>
      </c>
      <c r="K74" s="269">
        <v>2022</v>
      </c>
      <c r="L74" s="269">
        <v>2023</v>
      </c>
      <c r="M74" s="269">
        <v>2024</v>
      </c>
      <c r="N74" s="269">
        <v>2025</v>
      </c>
      <c r="O74" s="269">
        <v>2026</v>
      </c>
    </row>
    <row r="75" spans="1:15">
      <c r="B75" s="88" t="str">
        <f t="shared" ref="B75:D104" si="1">B9</f>
        <v>1G</v>
      </c>
      <c r="C75" s="89" t="str">
        <f t="shared" si="1"/>
        <v>500 m</v>
      </c>
      <c r="D75" s="90" t="str">
        <f t="shared" si="1"/>
        <v>SFP</v>
      </c>
      <c r="E75" s="108">
        <f>'Products x speed'!E84</f>
        <v>10.178233731377588</v>
      </c>
      <c r="F75" s="108">
        <f>'Products x speed'!F84</f>
        <v>8.9746992158904888</v>
      </c>
      <c r="G75" s="108" t="str">
        <f>'Products x speed'!G84</f>
        <v/>
      </c>
      <c r="H75" s="108" t="str">
        <f>'Products x speed'!H84</f>
        <v/>
      </c>
      <c r="I75" s="108" t="str">
        <f>'Products x speed'!I84</f>
        <v/>
      </c>
      <c r="J75" s="108" t="str">
        <f>'Products x speed'!J84</f>
        <v/>
      </c>
      <c r="K75" s="108" t="str">
        <f>'Products x speed'!K84</f>
        <v/>
      </c>
      <c r="L75" s="108" t="str">
        <f>'Products x speed'!L84</f>
        <v/>
      </c>
      <c r="M75" s="108" t="str">
        <f>'Products x speed'!M84</f>
        <v/>
      </c>
      <c r="N75" s="108" t="str">
        <f>'Products x speed'!N84</f>
        <v/>
      </c>
      <c r="O75" s="108" t="str">
        <f>'Products x speed'!O84</f>
        <v/>
      </c>
    </row>
    <row r="76" spans="1:15">
      <c r="B76" s="96" t="str">
        <f t="shared" si="1"/>
        <v>1G</v>
      </c>
      <c r="C76" s="97" t="str">
        <f t="shared" si="1"/>
        <v>10 km</v>
      </c>
      <c r="D76" s="98" t="str">
        <f t="shared" si="1"/>
        <v>SFP</v>
      </c>
      <c r="E76" s="110">
        <f>'Products x speed'!E85</f>
        <v>11.313150064475876</v>
      </c>
      <c r="F76" s="110">
        <f>'Products x speed'!F85</f>
        <v>9.7279618337487541</v>
      </c>
      <c r="G76" s="110"/>
      <c r="H76" s="110"/>
      <c r="I76" s="110"/>
      <c r="J76" s="110"/>
      <c r="K76" s="110"/>
      <c r="L76" s="110"/>
      <c r="M76" s="110"/>
      <c r="N76" s="110"/>
      <c r="O76" s="110"/>
    </row>
    <row r="77" spans="1:15">
      <c r="B77" s="96" t="str">
        <f t="shared" si="1"/>
        <v>1G</v>
      </c>
      <c r="C77" s="97" t="str">
        <f t="shared" si="1"/>
        <v>40 km</v>
      </c>
      <c r="D77" s="98" t="str">
        <f t="shared" si="1"/>
        <v>SFP</v>
      </c>
      <c r="E77" s="110">
        <f>'Products x speed'!E86</f>
        <v>14.223250006112197</v>
      </c>
      <c r="F77" s="110">
        <f>'Products x speed'!F86</f>
        <v>11.270556706605298</v>
      </c>
      <c r="G77" s="110"/>
      <c r="H77" s="110"/>
      <c r="I77" s="110"/>
      <c r="J77" s="110"/>
      <c r="K77" s="110"/>
      <c r="L77" s="110"/>
      <c r="M77" s="110"/>
      <c r="N77" s="110"/>
      <c r="O77" s="110"/>
    </row>
    <row r="78" spans="1:15">
      <c r="B78" s="96" t="str">
        <f t="shared" si="1"/>
        <v>1G</v>
      </c>
      <c r="C78" s="97" t="str">
        <f t="shared" si="1"/>
        <v>80 km</v>
      </c>
      <c r="D78" s="97" t="str">
        <f t="shared" si="1"/>
        <v>SFP</v>
      </c>
      <c r="E78" s="110">
        <f>'Products x speed'!E87</f>
        <v>47.263945249069465</v>
      </c>
      <c r="F78" s="110">
        <f>'Products x speed'!F87</f>
        <v>42.349942382451964</v>
      </c>
      <c r="G78" s="110"/>
      <c r="H78" s="110"/>
      <c r="I78" s="110"/>
      <c r="J78" s="110"/>
      <c r="K78" s="110"/>
      <c r="L78" s="110"/>
      <c r="M78" s="110"/>
      <c r="N78" s="110"/>
      <c r="O78" s="110"/>
    </row>
    <row r="79" spans="1:15">
      <c r="A79" s="214"/>
      <c r="B79" s="92" t="str">
        <f t="shared" si="1"/>
        <v>1G &amp; Fast Ethernet</v>
      </c>
      <c r="C79" s="93" t="str">
        <f t="shared" si="1"/>
        <v>Various</v>
      </c>
      <c r="D79" s="93" t="str">
        <f t="shared" si="1"/>
        <v>Legacy/discontinued</v>
      </c>
      <c r="E79" s="109">
        <f>'Products x speed'!E88</f>
        <v>18</v>
      </c>
      <c r="F79" s="109" t="str">
        <f>'Products x speed'!F88</f>
        <v/>
      </c>
      <c r="G79" s="109"/>
      <c r="H79" s="109"/>
      <c r="I79" s="109"/>
      <c r="J79" s="109"/>
      <c r="K79" s="109"/>
      <c r="L79" s="109"/>
      <c r="M79" s="109"/>
      <c r="N79" s="109"/>
      <c r="O79" s="109"/>
    </row>
    <row r="80" spans="1:15">
      <c r="B80" s="96" t="str">
        <f t="shared" si="1"/>
        <v>10G</v>
      </c>
      <c r="C80" s="97" t="str">
        <f t="shared" si="1"/>
        <v>300 m</v>
      </c>
      <c r="D80" s="97" t="str">
        <f t="shared" si="1"/>
        <v>XFP</v>
      </c>
      <c r="E80" s="110">
        <f>'Products x speed'!E89</f>
        <v>65.084287545305614</v>
      </c>
      <c r="F80" s="110">
        <f>'Products x speed'!F89</f>
        <v>58.749084731162213</v>
      </c>
      <c r="G80" s="110"/>
      <c r="H80" s="110"/>
      <c r="I80" s="110"/>
      <c r="J80" s="110"/>
      <c r="K80" s="110"/>
      <c r="L80" s="110"/>
      <c r="M80" s="110"/>
      <c r="N80" s="110"/>
      <c r="O80" s="110"/>
    </row>
    <row r="81" spans="2:15">
      <c r="B81" s="96" t="str">
        <f t="shared" si="1"/>
        <v>10G</v>
      </c>
      <c r="C81" s="97" t="str">
        <f t="shared" si="1"/>
        <v>300 m</v>
      </c>
      <c r="D81" s="97" t="str">
        <f t="shared" si="1"/>
        <v>SFP+</v>
      </c>
      <c r="E81" s="110">
        <f>'Products x speed'!E90</f>
        <v>18.016278339273537</v>
      </c>
      <c r="F81" s="110">
        <f>'Products x speed'!F90</f>
        <v>15.097691372748406</v>
      </c>
      <c r="G81" s="110"/>
      <c r="H81" s="110"/>
      <c r="I81" s="110"/>
      <c r="J81" s="110"/>
      <c r="K81" s="110"/>
      <c r="L81" s="110"/>
      <c r="M81" s="110"/>
      <c r="N81" s="110"/>
      <c r="O81" s="110"/>
    </row>
    <row r="82" spans="2:15">
      <c r="B82" s="96" t="str">
        <f t="shared" si="1"/>
        <v>10G LRM</v>
      </c>
      <c r="C82" s="97" t="str">
        <f t="shared" si="1"/>
        <v>220 m</v>
      </c>
      <c r="D82" s="97" t="str">
        <f t="shared" si="1"/>
        <v>SFP+</v>
      </c>
      <c r="E82" s="110">
        <f>'Products x speed'!E91</f>
        <v>78.390761412913719</v>
      </c>
      <c r="F82" s="110">
        <f>'Products x speed'!F91</f>
        <v>66.716018564745482</v>
      </c>
      <c r="G82" s="110"/>
      <c r="H82" s="110"/>
      <c r="I82" s="110"/>
      <c r="J82" s="110"/>
      <c r="K82" s="110"/>
      <c r="L82" s="110"/>
      <c r="M82" s="110"/>
      <c r="N82" s="110"/>
      <c r="O82" s="110"/>
    </row>
    <row r="83" spans="2:15">
      <c r="B83" s="96" t="str">
        <f t="shared" si="1"/>
        <v>10G</v>
      </c>
      <c r="C83" s="97" t="str">
        <f t="shared" si="1"/>
        <v>10 km</v>
      </c>
      <c r="D83" s="97" t="str">
        <f t="shared" si="1"/>
        <v>XFP</v>
      </c>
      <c r="E83" s="110">
        <f>'Products x speed'!E92</f>
        <v>67.576972221049004</v>
      </c>
      <c r="F83" s="110">
        <f>'Products x speed'!F92</f>
        <v>51.799368807617711</v>
      </c>
      <c r="G83" s="110"/>
      <c r="H83" s="110"/>
      <c r="I83" s="110"/>
      <c r="J83" s="110"/>
      <c r="K83" s="110"/>
      <c r="L83" s="110"/>
      <c r="M83" s="110"/>
      <c r="N83" s="110"/>
      <c r="O83" s="110"/>
    </row>
    <row r="84" spans="2:15">
      <c r="B84" s="96" t="str">
        <f t="shared" si="1"/>
        <v>10G</v>
      </c>
      <c r="C84" s="97" t="str">
        <f t="shared" si="1"/>
        <v>10 km</v>
      </c>
      <c r="D84" s="97" t="str">
        <f t="shared" si="1"/>
        <v>SFP+</v>
      </c>
      <c r="E84" s="111">
        <f>'Products x speed'!E93</f>
        <v>38.465958311427336</v>
      </c>
      <c r="F84" s="111">
        <f>'Products x speed'!F93</f>
        <v>30.5</v>
      </c>
      <c r="G84" s="111"/>
      <c r="H84" s="111"/>
      <c r="I84" s="111"/>
      <c r="J84" s="111"/>
      <c r="K84" s="111"/>
      <c r="L84" s="111"/>
      <c r="M84" s="111"/>
      <c r="N84" s="111"/>
      <c r="O84" s="111"/>
    </row>
    <row r="85" spans="2:15">
      <c r="B85" s="96" t="str">
        <f t="shared" si="1"/>
        <v>10G</v>
      </c>
      <c r="C85" s="97" t="str">
        <f t="shared" si="1"/>
        <v>40 km</v>
      </c>
      <c r="D85" s="97" t="str">
        <f t="shared" si="1"/>
        <v>XFP</v>
      </c>
      <c r="E85" s="110">
        <f>'Products x speed'!E94</f>
        <v>202.96860771881492</v>
      </c>
      <c r="F85" s="110">
        <f>'Products x speed'!F94</f>
        <v>139.47449702400385</v>
      </c>
      <c r="G85" s="110"/>
      <c r="H85" s="110"/>
      <c r="I85" s="110"/>
      <c r="J85" s="110"/>
      <c r="K85" s="110"/>
      <c r="L85" s="110"/>
      <c r="M85" s="110"/>
      <c r="N85" s="110"/>
      <c r="O85" s="110"/>
    </row>
    <row r="86" spans="2:15">
      <c r="B86" s="96" t="str">
        <f t="shared" si="1"/>
        <v>10G</v>
      </c>
      <c r="C86" s="97" t="str">
        <f t="shared" si="1"/>
        <v>40 km</v>
      </c>
      <c r="D86" s="97" t="str">
        <f t="shared" si="1"/>
        <v>SFP+</v>
      </c>
      <c r="E86" s="110">
        <f>'Products x speed'!E95</f>
        <v>191.20778168956542</v>
      </c>
      <c r="F86" s="110">
        <f>'Products x speed'!F95</f>
        <v>155.78241680453388</v>
      </c>
      <c r="G86" s="110"/>
      <c r="H86" s="110"/>
      <c r="I86" s="110"/>
      <c r="J86" s="110"/>
      <c r="K86" s="110"/>
      <c r="L86" s="110"/>
      <c r="M86" s="110"/>
      <c r="N86" s="110"/>
      <c r="O86" s="110"/>
    </row>
    <row r="87" spans="2:15">
      <c r="B87" s="96" t="str">
        <f t="shared" si="1"/>
        <v>10G</v>
      </c>
      <c r="C87" s="97" t="str">
        <f t="shared" si="1"/>
        <v>80 km</v>
      </c>
      <c r="D87" s="97" t="str">
        <f t="shared" si="1"/>
        <v>XFP</v>
      </c>
      <c r="E87" s="110">
        <f>'Products x speed'!E96</f>
        <v>272.0748723385496</v>
      </c>
      <c r="F87" s="110">
        <f>'Products x speed'!F96</f>
        <v>279.05568350167476</v>
      </c>
      <c r="G87" s="110"/>
      <c r="H87" s="110"/>
      <c r="I87" s="110"/>
      <c r="J87" s="110"/>
      <c r="K87" s="110"/>
      <c r="L87" s="110"/>
      <c r="M87" s="110"/>
      <c r="N87" s="110"/>
      <c r="O87" s="110"/>
    </row>
    <row r="88" spans="2:15">
      <c r="B88" s="96" t="str">
        <f t="shared" si="1"/>
        <v>10G</v>
      </c>
      <c r="C88" s="97" t="str">
        <f t="shared" si="1"/>
        <v>80 km</v>
      </c>
      <c r="D88" s="97" t="str">
        <f t="shared" si="1"/>
        <v>SFP+</v>
      </c>
      <c r="E88" s="110">
        <f>'Products x speed'!E97</f>
        <v>362.31733736347383</v>
      </c>
      <c r="F88" s="110">
        <f>'Products x speed'!F97</f>
        <v>296.14130230693672</v>
      </c>
      <c r="G88" s="110"/>
      <c r="H88" s="110"/>
      <c r="I88" s="110"/>
      <c r="J88" s="110"/>
      <c r="K88" s="110"/>
      <c r="L88" s="110"/>
      <c r="M88" s="110"/>
      <c r="N88" s="110"/>
      <c r="O88" s="110"/>
    </row>
    <row r="89" spans="2:15">
      <c r="B89" s="96" t="str">
        <f t="shared" si="1"/>
        <v>10G</v>
      </c>
      <c r="C89" s="97" t="str">
        <f t="shared" si="1"/>
        <v>Various</v>
      </c>
      <c r="D89" s="97" t="str">
        <f t="shared" si="1"/>
        <v>Legacy/discontinued</v>
      </c>
      <c r="E89" s="110">
        <f>'Products x speed'!E98</f>
        <v>99.093186017554928</v>
      </c>
      <c r="F89" s="110">
        <f>'Products x speed'!F98</f>
        <v>94.281145957499305</v>
      </c>
      <c r="G89" s="110"/>
      <c r="H89" s="110"/>
      <c r="I89" s="110"/>
      <c r="J89" s="110"/>
      <c r="K89" s="110"/>
      <c r="L89" s="110"/>
      <c r="M89" s="110"/>
      <c r="N89" s="110"/>
      <c r="O89" s="110"/>
    </row>
    <row r="90" spans="2:15">
      <c r="B90" s="88" t="str">
        <f t="shared" si="1"/>
        <v>25G SR, eSR</v>
      </c>
      <c r="C90" s="89" t="str">
        <f t="shared" si="1"/>
        <v>100 - 300 m</v>
      </c>
      <c r="D90" s="90" t="str">
        <f t="shared" si="1"/>
        <v>SFP28</v>
      </c>
      <c r="E90" s="108">
        <f>'Products x speed'!E99</f>
        <v>187.14315701091519</v>
      </c>
      <c r="F90" s="108">
        <f>'Products x speed'!F99</f>
        <v>141.11071819746516</v>
      </c>
      <c r="G90" s="108"/>
      <c r="H90" s="108"/>
      <c r="I90" s="108"/>
      <c r="J90" s="108"/>
      <c r="K90" s="108"/>
      <c r="L90" s="108"/>
      <c r="M90" s="108"/>
      <c r="N90" s="108"/>
      <c r="O90" s="108"/>
    </row>
    <row r="91" spans="2:15">
      <c r="B91" s="96" t="str">
        <f t="shared" si="1"/>
        <v>25G LR</v>
      </c>
      <c r="C91" s="97" t="str">
        <f t="shared" si="1"/>
        <v>10 km</v>
      </c>
      <c r="D91" s="98" t="str">
        <f t="shared" si="1"/>
        <v>SFP28</v>
      </c>
      <c r="E91" s="110">
        <f>'Products x speed'!E100</f>
        <v>456.24032541776609</v>
      </c>
      <c r="F91" s="110">
        <f>'Products x speed'!F100</f>
        <v>324.10355668962507</v>
      </c>
      <c r="G91" s="110"/>
      <c r="H91" s="110"/>
      <c r="I91" s="110"/>
      <c r="J91" s="110"/>
      <c r="K91" s="110"/>
      <c r="L91" s="110"/>
      <c r="M91" s="110"/>
      <c r="N91" s="110"/>
      <c r="O91" s="110"/>
    </row>
    <row r="92" spans="2:15">
      <c r="B92" s="92" t="str">
        <f t="shared" si="1"/>
        <v>25G ER</v>
      </c>
      <c r="C92" s="93" t="str">
        <f t="shared" si="1"/>
        <v>40 km</v>
      </c>
      <c r="D92" s="94" t="str">
        <f t="shared" si="1"/>
        <v>SFP28</v>
      </c>
      <c r="E92" s="109" t="str">
        <f>'Products x speed'!E101</f>
        <v/>
      </c>
      <c r="F92" s="109" t="str">
        <f>'Products x speed'!F101</f>
        <v/>
      </c>
      <c r="G92" s="109"/>
      <c r="H92" s="109"/>
      <c r="I92" s="109"/>
      <c r="J92" s="109"/>
      <c r="K92" s="109"/>
      <c r="L92" s="109"/>
      <c r="M92" s="109"/>
      <c r="N92" s="109"/>
      <c r="O92" s="109"/>
    </row>
    <row r="93" spans="2:15">
      <c r="B93" s="88" t="str">
        <f t="shared" si="1"/>
        <v>40G SR4</v>
      </c>
      <c r="C93" s="89" t="str">
        <f t="shared" si="1"/>
        <v>100 m</v>
      </c>
      <c r="D93" s="90" t="str">
        <f t="shared" si="1"/>
        <v>QSFP+</v>
      </c>
      <c r="E93" s="108">
        <f>'Products x speed'!E102</f>
        <v>96.595063887564976</v>
      </c>
      <c r="F93" s="108">
        <f>'Products x speed'!F102</f>
        <v>80.379797575925679</v>
      </c>
      <c r="G93" s="108"/>
      <c r="H93" s="108"/>
      <c r="I93" s="108"/>
      <c r="J93" s="108"/>
      <c r="K93" s="108"/>
      <c r="L93" s="108"/>
      <c r="M93" s="108"/>
      <c r="N93" s="108"/>
      <c r="O93" s="108"/>
    </row>
    <row r="94" spans="2:15">
      <c r="B94" s="96" t="str">
        <f t="shared" si="1"/>
        <v>40G MM duplex</v>
      </c>
      <c r="C94" s="97" t="str">
        <f t="shared" si="1"/>
        <v>100 m</v>
      </c>
      <c r="D94" s="98" t="str">
        <f t="shared" si="1"/>
        <v>QSFP+</v>
      </c>
      <c r="E94" s="110">
        <f>'Products x speed'!E103</f>
        <v>250</v>
      </c>
      <c r="F94" s="110">
        <f>'Products x speed'!F103</f>
        <v>240</v>
      </c>
      <c r="G94" s="110"/>
      <c r="H94" s="110"/>
      <c r="I94" s="110"/>
      <c r="J94" s="110"/>
      <c r="K94" s="110"/>
      <c r="L94" s="110"/>
      <c r="M94" s="110"/>
      <c r="N94" s="110"/>
      <c r="O94" s="110"/>
    </row>
    <row r="95" spans="2:15">
      <c r="B95" s="96" t="str">
        <f t="shared" si="1"/>
        <v>40G eSR4</v>
      </c>
      <c r="C95" s="97" t="str">
        <f t="shared" si="1"/>
        <v>300 m</v>
      </c>
      <c r="D95" s="98" t="str">
        <f t="shared" si="1"/>
        <v>QSFP+</v>
      </c>
      <c r="E95" s="111">
        <f>'Products x speed'!E104</f>
        <v>106.66614587912188</v>
      </c>
      <c r="F95" s="111">
        <f>'Products x speed'!F104</f>
        <v>80.99928194026171</v>
      </c>
      <c r="G95" s="111"/>
      <c r="H95" s="111"/>
      <c r="I95" s="111"/>
      <c r="J95" s="111"/>
      <c r="K95" s="111"/>
      <c r="L95" s="111"/>
      <c r="M95" s="111"/>
      <c r="N95" s="111"/>
      <c r="O95" s="111"/>
    </row>
    <row r="96" spans="2:15">
      <c r="B96" s="96" t="str">
        <f t="shared" si="1"/>
        <v>40 G PSM4</v>
      </c>
      <c r="C96" s="97" t="str">
        <f t="shared" si="1"/>
        <v>500 m</v>
      </c>
      <c r="D96" s="98" t="str">
        <f t="shared" si="1"/>
        <v>QSFP+</v>
      </c>
      <c r="E96" s="111">
        <f>'Products x speed'!E105</f>
        <v>253.19068527507093</v>
      </c>
      <c r="F96" s="111">
        <f>'Products x speed'!F105</f>
        <v>262.79055146339874</v>
      </c>
      <c r="G96" s="111"/>
      <c r="H96" s="111"/>
      <c r="I96" s="111"/>
      <c r="J96" s="111"/>
      <c r="K96" s="111"/>
      <c r="L96" s="111"/>
      <c r="M96" s="111"/>
      <c r="N96" s="111"/>
      <c r="O96" s="111"/>
    </row>
    <row r="97" spans="2:15">
      <c r="B97" s="96" t="str">
        <f t="shared" si="1"/>
        <v>40G (FR)</v>
      </c>
      <c r="C97" s="97" t="str">
        <f t="shared" si="1"/>
        <v>2 km</v>
      </c>
      <c r="D97" s="98" t="str">
        <f t="shared" si="1"/>
        <v>CFP</v>
      </c>
      <c r="E97" s="110">
        <f>'Products x speed'!E106</f>
        <v>4569.894941368153</v>
      </c>
      <c r="F97" s="110">
        <f>'Products x speed'!F106</f>
        <v>5251.681208639473</v>
      </c>
      <c r="G97" s="110"/>
      <c r="H97" s="110"/>
      <c r="I97" s="110"/>
      <c r="J97" s="110"/>
      <c r="K97" s="110"/>
      <c r="L97" s="110"/>
      <c r="M97" s="110"/>
      <c r="N97" s="110"/>
      <c r="O97" s="110"/>
    </row>
    <row r="98" spans="2:15">
      <c r="B98" s="96" t="str">
        <f t="shared" si="1"/>
        <v>40G (LR4 subspec)</v>
      </c>
      <c r="C98" s="97" t="str">
        <f t="shared" si="1"/>
        <v>2 km</v>
      </c>
      <c r="D98" s="98" t="str">
        <f t="shared" si="1"/>
        <v>QSFP+</v>
      </c>
      <c r="E98" s="110">
        <f>'Products x speed'!E107</f>
        <v>377.60055209491952</v>
      </c>
      <c r="F98" s="110">
        <f>'Products x speed'!F107</f>
        <v>343.5254726908467</v>
      </c>
      <c r="G98" s="110"/>
      <c r="H98" s="110"/>
      <c r="I98" s="110"/>
      <c r="J98" s="110"/>
      <c r="K98" s="110"/>
      <c r="L98" s="110"/>
      <c r="M98" s="110"/>
      <c r="N98" s="110"/>
      <c r="O98" s="110"/>
    </row>
    <row r="99" spans="2:15">
      <c r="B99" s="96" t="str">
        <f t="shared" si="1"/>
        <v>40G</v>
      </c>
      <c r="C99" s="97" t="str">
        <f t="shared" si="1"/>
        <v>10 km</v>
      </c>
      <c r="D99" s="98" t="str">
        <f t="shared" si="1"/>
        <v>CFP</v>
      </c>
      <c r="E99" s="110">
        <f>'Products x speed'!E108</f>
        <v>1174.9655306999969</v>
      </c>
      <c r="F99" s="110">
        <f>'Products x speed'!F108</f>
        <v>1350.8997571323105</v>
      </c>
      <c r="G99" s="110"/>
      <c r="H99" s="110"/>
      <c r="I99" s="110"/>
      <c r="J99" s="110"/>
      <c r="K99" s="110"/>
      <c r="L99" s="110"/>
      <c r="M99" s="110"/>
      <c r="N99" s="110"/>
      <c r="O99" s="110"/>
    </row>
    <row r="100" spans="2:15">
      <c r="B100" s="96" t="str">
        <f t="shared" si="1"/>
        <v>40G</v>
      </c>
      <c r="C100" s="97" t="str">
        <f t="shared" si="1"/>
        <v>10 km</v>
      </c>
      <c r="D100" s="98" t="str">
        <f t="shared" si="1"/>
        <v>QSFP+</v>
      </c>
      <c r="E100" s="110">
        <f>'Products x speed'!E109</f>
        <v>427.72742888770347</v>
      </c>
      <c r="F100" s="110">
        <f>'Products x speed'!F109</f>
        <v>401.36672508917627</v>
      </c>
      <c r="G100" s="110"/>
      <c r="H100" s="110"/>
      <c r="I100" s="110"/>
      <c r="J100" s="110"/>
      <c r="K100" s="110"/>
      <c r="L100" s="110"/>
      <c r="M100" s="110"/>
      <c r="N100" s="110"/>
      <c r="O100" s="110"/>
    </row>
    <row r="101" spans="2:15">
      <c r="B101" s="92" t="str">
        <f t="shared" si="1"/>
        <v>40G</v>
      </c>
      <c r="C101" s="93" t="str">
        <f t="shared" si="1"/>
        <v>40 km</v>
      </c>
      <c r="D101" s="94" t="str">
        <f t="shared" si="1"/>
        <v>QSFP+</v>
      </c>
      <c r="E101" s="109">
        <f>'Products x speed'!E110</f>
        <v>1673.0572324239708</v>
      </c>
      <c r="F101" s="109">
        <f>'Products x speed'!F110</f>
        <v>1459.2330281290015</v>
      </c>
      <c r="G101" s="109"/>
      <c r="H101" s="109"/>
      <c r="I101" s="109"/>
      <c r="J101" s="109"/>
      <c r="K101" s="109"/>
      <c r="L101" s="109"/>
      <c r="M101" s="109"/>
      <c r="N101" s="109"/>
      <c r="O101" s="109"/>
    </row>
    <row r="102" spans="2:15">
      <c r="B102" s="88" t="str">
        <f t="shared" si="1"/>
        <v xml:space="preserve">50G </v>
      </c>
      <c r="C102" s="89" t="str">
        <f t="shared" si="1"/>
        <v>100 m</v>
      </c>
      <c r="D102" s="90" t="str">
        <f t="shared" si="1"/>
        <v>all</v>
      </c>
      <c r="E102" s="108" t="str">
        <f>'Products x speed'!E111</f>
        <v/>
      </c>
      <c r="F102" s="108" t="str">
        <f>'Products x speed'!F111</f>
        <v/>
      </c>
      <c r="G102" s="108"/>
      <c r="H102" s="108"/>
      <c r="I102" s="108"/>
      <c r="J102" s="108"/>
      <c r="K102" s="108"/>
      <c r="L102" s="108"/>
      <c r="M102" s="108"/>
      <c r="N102" s="108"/>
      <c r="O102" s="108"/>
    </row>
    <row r="103" spans="2:15">
      <c r="B103" s="96" t="str">
        <f t="shared" si="1"/>
        <v xml:space="preserve">50G </v>
      </c>
      <c r="C103" s="97" t="str">
        <f t="shared" si="1"/>
        <v>2 km</v>
      </c>
      <c r="D103" s="98" t="str">
        <f t="shared" si="1"/>
        <v>all</v>
      </c>
      <c r="E103" s="110" t="str">
        <f>'Products x speed'!E112</f>
        <v/>
      </c>
      <c r="F103" s="110" t="str">
        <f>'Products x speed'!F112</f>
        <v/>
      </c>
      <c r="G103" s="110"/>
      <c r="H103" s="110"/>
      <c r="I103" s="110"/>
      <c r="J103" s="110"/>
      <c r="K103" s="110"/>
      <c r="L103" s="110"/>
      <c r="M103" s="110"/>
      <c r="N103" s="110"/>
      <c r="O103" s="110"/>
    </row>
    <row r="104" spans="2:15">
      <c r="B104" s="96" t="str">
        <f t="shared" si="1"/>
        <v xml:space="preserve">50G </v>
      </c>
      <c r="C104" s="97" t="str">
        <f t="shared" si="1"/>
        <v>10 km</v>
      </c>
      <c r="D104" s="98" t="str">
        <f t="shared" si="1"/>
        <v>all</v>
      </c>
      <c r="E104" s="110" t="str">
        <f>'Products x speed'!E113</f>
        <v/>
      </c>
      <c r="F104" s="110" t="str">
        <f>'Products x speed'!F113</f>
        <v/>
      </c>
      <c r="G104" s="110"/>
      <c r="H104" s="110"/>
      <c r="I104" s="110"/>
      <c r="J104" s="110"/>
      <c r="K104" s="110"/>
      <c r="L104" s="110"/>
      <c r="M104" s="110"/>
      <c r="N104" s="110"/>
      <c r="O104" s="110"/>
    </row>
    <row r="105" spans="2:15">
      <c r="B105" s="88" t="str">
        <f t="shared" ref="B105:D112" si="2">B39</f>
        <v>100G SR4</v>
      </c>
      <c r="C105" s="89" t="str">
        <f t="shared" si="2"/>
        <v>100 m</v>
      </c>
      <c r="D105" s="90" t="str">
        <f t="shared" si="2"/>
        <v>CFP</v>
      </c>
      <c r="E105" s="108">
        <f>'Products x speed'!E114</f>
        <v>1422.7039686825053</v>
      </c>
      <c r="F105" s="108">
        <f>'Products x speed'!F114</f>
        <v>1273.3986691740201</v>
      </c>
      <c r="G105" s="108"/>
      <c r="H105" s="108"/>
      <c r="I105" s="108"/>
      <c r="J105" s="108"/>
      <c r="K105" s="108"/>
      <c r="L105" s="108"/>
      <c r="M105" s="108"/>
      <c r="N105" s="108"/>
      <c r="O105" s="108"/>
    </row>
    <row r="106" spans="2:15">
      <c r="B106" s="96" t="str">
        <f t="shared" si="2"/>
        <v>100G SR4</v>
      </c>
      <c r="C106" s="97" t="str">
        <f t="shared" si="2"/>
        <v>100 m</v>
      </c>
      <c r="D106" s="98" t="str">
        <f t="shared" si="2"/>
        <v>CFP2/4</v>
      </c>
      <c r="E106" s="110">
        <f>'Products x speed'!E115</f>
        <v>1204.7629951912068</v>
      </c>
      <c r="F106" s="110">
        <f>'Products x speed'!F115</f>
        <v>1092.608197443808</v>
      </c>
      <c r="G106" s="110"/>
      <c r="H106" s="110"/>
      <c r="I106" s="110"/>
      <c r="J106" s="110"/>
      <c r="K106" s="110"/>
      <c r="L106" s="110"/>
      <c r="M106" s="110"/>
      <c r="N106" s="110"/>
      <c r="O106" s="110"/>
    </row>
    <row r="107" spans="2:15">
      <c r="B107" s="96" t="str">
        <f t="shared" si="2"/>
        <v>100G SR4</v>
      </c>
      <c r="C107" s="97" t="str">
        <f t="shared" si="2"/>
        <v>100 m</v>
      </c>
      <c r="D107" s="98" t="str">
        <f t="shared" si="2"/>
        <v>QSFP28</v>
      </c>
      <c r="E107" s="110">
        <f>'Products x speed'!E116</f>
        <v>258.09426618771823</v>
      </c>
      <c r="F107" s="110">
        <f>'Products x speed'!F116</f>
        <v>182.02277386466108</v>
      </c>
      <c r="G107" s="110"/>
      <c r="H107" s="110"/>
      <c r="I107" s="110"/>
      <c r="J107" s="110"/>
      <c r="K107" s="110"/>
      <c r="L107" s="110"/>
      <c r="M107" s="110"/>
      <c r="N107" s="110"/>
      <c r="O107" s="110"/>
    </row>
    <row r="108" spans="2:15">
      <c r="B108" s="96" t="str">
        <f t="shared" si="2"/>
        <v>100G SR2</v>
      </c>
      <c r="C108" s="97" t="str">
        <f t="shared" si="2"/>
        <v>100 m</v>
      </c>
      <c r="D108" s="98" t="str">
        <f t="shared" si="2"/>
        <v>All</v>
      </c>
      <c r="E108" s="110" t="str">
        <f>'Products x speed'!E117</f>
        <v/>
      </c>
      <c r="F108" s="110" t="str">
        <f>'Products x speed'!F117</f>
        <v/>
      </c>
      <c r="G108" s="110"/>
      <c r="H108" s="110"/>
      <c r="I108" s="110"/>
      <c r="J108" s="110"/>
      <c r="K108" s="110"/>
      <c r="L108" s="110"/>
      <c r="M108" s="110"/>
      <c r="N108" s="110"/>
      <c r="O108" s="110"/>
    </row>
    <row r="109" spans="2:15">
      <c r="B109" s="96" t="str">
        <f t="shared" si="2"/>
        <v>100G MM Duplex</v>
      </c>
      <c r="C109" s="97" t="str">
        <f t="shared" si="2"/>
        <v>100 - 300 m</v>
      </c>
      <c r="D109" s="98" t="str">
        <f t="shared" si="2"/>
        <v>QSFP28</v>
      </c>
      <c r="E109" s="110" t="str">
        <f>'Products x speed'!E118</f>
        <v/>
      </c>
      <c r="F109" s="110" t="str">
        <f>'Products x speed'!F118</f>
        <v/>
      </c>
      <c r="G109" s="110"/>
      <c r="H109" s="110"/>
      <c r="I109" s="110"/>
      <c r="J109" s="110"/>
      <c r="K109" s="110"/>
      <c r="L109" s="110"/>
      <c r="M109" s="110"/>
      <c r="N109" s="110"/>
      <c r="O109" s="110"/>
    </row>
    <row r="110" spans="2:15">
      <c r="B110" s="96" t="str">
        <f t="shared" si="2"/>
        <v>100G eSR4</v>
      </c>
      <c r="C110" s="97" t="str">
        <f t="shared" si="2"/>
        <v>300 m</v>
      </c>
      <c r="D110" s="98" t="str">
        <f t="shared" si="2"/>
        <v>QSFP28</v>
      </c>
      <c r="E110" s="110" t="str">
        <f>'Products x speed'!E119</f>
        <v/>
      </c>
      <c r="F110" s="110" t="str">
        <f>'Products x speed'!F119</f>
        <v/>
      </c>
      <c r="G110" s="110"/>
      <c r="H110" s="110"/>
      <c r="I110" s="110"/>
      <c r="J110" s="110"/>
      <c r="K110" s="110"/>
      <c r="L110" s="110"/>
      <c r="M110" s="110"/>
      <c r="N110" s="110"/>
      <c r="O110" s="110"/>
    </row>
    <row r="111" spans="2:15">
      <c r="B111" s="96" t="str">
        <f t="shared" si="2"/>
        <v>100G PSM4</v>
      </c>
      <c r="C111" s="97" t="str">
        <f t="shared" si="2"/>
        <v>500 m</v>
      </c>
      <c r="D111" s="98" t="str">
        <f t="shared" si="2"/>
        <v>QSFP28</v>
      </c>
      <c r="E111" s="110">
        <f>'Products x speed'!E120</f>
        <v>337.41687156790022</v>
      </c>
      <c r="F111" s="110">
        <f>'Products x speed'!F120</f>
        <v>222.65569307558187</v>
      </c>
      <c r="G111" s="110"/>
      <c r="H111" s="110"/>
      <c r="I111" s="110"/>
      <c r="J111" s="110"/>
      <c r="K111" s="110"/>
      <c r="L111" s="110"/>
      <c r="M111" s="110"/>
      <c r="N111" s="110"/>
      <c r="O111" s="110"/>
    </row>
    <row r="112" spans="2:15">
      <c r="B112" s="96" t="str">
        <f t="shared" si="2"/>
        <v>100G DR/DR+</v>
      </c>
      <c r="C112" s="97" t="str">
        <f t="shared" si="2"/>
        <v>500m, 2km</v>
      </c>
      <c r="D112" s="98" t="str">
        <f t="shared" si="2"/>
        <v>QSFP28</v>
      </c>
      <c r="E112" s="110" t="str">
        <f>'Products x speed'!E121</f>
        <v/>
      </c>
      <c r="F112" s="110" t="str">
        <f>'Products x speed'!F121</f>
        <v/>
      </c>
      <c r="G112" s="110"/>
      <c r="H112" s="110"/>
      <c r="I112" s="110"/>
      <c r="J112" s="110"/>
      <c r="K112" s="110"/>
      <c r="L112" s="110"/>
      <c r="M112" s="110"/>
      <c r="N112" s="110"/>
      <c r="O112" s="110"/>
    </row>
    <row r="113" spans="2:15">
      <c r="B113" s="96" t="str">
        <f t="shared" ref="B113:D120" si="3">B47</f>
        <v>100G CWDM4-subspec</v>
      </c>
      <c r="C113" s="97" t="str">
        <f t="shared" si="3"/>
        <v>500 m</v>
      </c>
      <c r="D113" s="98" t="str">
        <f t="shared" si="3"/>
        <v>QSFP28</v>
      </c>
      <c r="E113" s="110">
        <f>'Products x speed'!E122</f>
        <v>625</v>
      </c>
      <c r="F113" s="110">
        <f>'Products x speed'!F122</f>
        <v>450</v>
      </c>
      <c r="G113" s="110"/>
      <c r="H113" s="110"/>
      <c r="I113" s="110"/>
      <c r="J113" s="110"/>
      <c r="K113" s="110"/>
      <c r="L113" s="110"/>
      <c r="M113" s="110"/>
      <c r="N113" s="110"/>
      <c r="O113" s="110"/>
    </row>
    <row r="114" spans="2:15">
      <c r="B114" s="96" t="str">
        <f t="shared" si="3"/>
        <v>100G CWDM4</v>
      </c>
      <c r="C114" s="97" t="str">
        <f t="shared" si="3"/>
        <v>2 km</v>
      </c>
      <c r="D114" s="98" t="str">
        <f t="shared" si="3"/>
        <v>QSFP28</v>
      </c>
      <c r="E114" s="110">
        <f>'Products x speed'!E123</f>
        <v>825</v>
      </c>
      <c r="F114" s="110">
        <f>'Products x speed'!F123</f>
        <v>650</v>
      </c>
      <c r="G114" s="110"/>
      <c r="H114" s="110"/>
      <c r="I114" s="110"/>
      <c r="J114" s="110"/>
      <c r="K114" s="110"/>
      <c r="L114" s="110"/>
      <c r="M114" s="110"/>
      <c r="N114" s="110"/>
      <c r="O114" s="110"/>
    </row>
    <row r="115" spans="2:15">
      <c r="B115" s="96" t="str">
        <f t="shared" si="3"/>
        <v>100G FR1</v>
      </c>
      <c r="C115" s="97" t="str">
        <f t="shared" si="3"/>
        <v>2 km</v>
      </c>
      <c r="D115" s="98" t="str">
        <f t="shared" si="3"/>
        <v>QSFP28</v>
      </c>
      <c r="E115" s="110" t="str">
        <f>'Products x speed'!E124</f>
        <v/>
      </c>
      <c r="F115" s="110" t="str">
        <f>'Products x speed'!F124</f>
        <v/>
      </c>
      <c r="G115" s="110"/>
      <c r="H115" s="110"/>
      <c r="I115" s="110"/>
      <c r="J115" s="110"/>
      <c r="K115" s="110"/>
      <c r="L115" s="110"/>
      <c r="M115" s="110"/>
      <c r="N115" s="110"/>
      <c r="O115" s="110"/>
    </row>
    <row r="116" spans="2:15">
      <c r="B116" s="96" t="str">
        <f t="shared" si="3"/>
        <v>100G LR4</v>
      </c>
      <c r="C116" s="97" t="str">
        <f t="shared" si="3"/>
        <v>10 km</v>
      </c>
      <c r="D116" s="98" t="str">
        <f t="shared" si="3"/>
        <v>CFP</v>
      </c>
      <c r="E116" s="110">
        <f>'Products x speed'!E125</f>
        <v>3527.8709620331333</v>
      </c>
      <c r="F116" s="110">
        <f>'Products x speed'!F125</f>
        <v>2768.0701132780364</v>
      </c>
      <c r="G116" s="110"/>
      <c r="H116" s="110"/>
      <c r="I116" s="110"/>
      <c r="J116" s="110"/>
      <c r="K116" s="110"/>
      <c r="L116" s="110"/>
      <c r="M116" s="110"/>
      <c r="N116" s="110"/>
      <c r="O116" s="110"/>
    </row>
    <row r="117" spans="2:15">
      <c r="B117" s="96" t="str">
        <f t="shared" si="3"/>
        <v>100G LR4</v>
      </c>
      <c r="C117" s="97" t="str">
        <f t="shared" si="3"/>
        <v>10 km</v>
      </c>
      <c r="D117" s="98" t="str">
        <f t="shared" si="3"/>
        <v>CFP2/4</v>
      </c>
      <c r="E117" s="110">
        <f>'Products x speed'!E126</f>
        <v>2882.5268681316725</v>
      </c>
      <c r="F117" s="110">
        <f>'Products x speed'!F126</f>
        <v>2140.3307221126156</v>
      </c>
      <c r="G117" s="110"/>
      <c r="H117" s="110"/>
      <c r="I117" s="110"/>
      <c r="J117" s="110"/>
      <c r="K117" s="110"/>
      <c r="L117" s="110"/>
      <c r="M117" s="110"/>
      <c r="N117" s="110"/>
      <c r="O117" s="110"/>
    </row>
    <row r="118" spans="2:15">
      <c r="B118" s="96" t="str">
        <f t="shared" si="3"/>
        <v>100G LR4 and LR1</v>
      </c>
      <c r="C118" s="97" t="str">
        <f t="shared" si="3"/>
        <v>10 km</v>
      </c>
      <c r="D118" s="98" t="str">
        <f t="shared" si="3"/>
        <v>QSFP28</v>
      </c>
      <c r="E118" s="110">
        <f>'Products x speed'!E127</f>
        <v>1938.1501024552811</v>
      </c>
      <c r="F118" s="110">
        <f>'Products x speed'!F127</f>
        <v>1200</v>
      </c>
      <c r="G118" s="110"/>
      <c r="H118" s="110"/>
      <c r="I118" s="110"/>
      <c r="J118" s="110"/>
      <c r="K118" s="110"/>
      <c r="L118" s="110"/>
      <c r="M118" s="110"/>
      <c r="N118" s="110"/>
      <c r="O118" s="110"/>
    </row>
    <row r="119" spans="2:15">
      <c r="B119" s="96" t="str">
        <f t="shared" si="3"/>
        <v>100G 4WDM10</v>
      </c>
      <c r="C119" s="97" t="str">
        <f t="shared" si="3"/>
        <v>10 km</v>
      </c>
      <c r="D119" s="98" t="str">
        <f t="shared" si="3"/>
        <v>QSFP28</v>
      </c>
      <c r="E119" s="110" t="str">
        <f>'Products x speed'!E128</f>
        <v/>
      </c>
      <c r="F119" s="110">
        <f>'Products x speed'!F128</f>
        <v>500</v>
      </c>
      <c r="G119" s="110"/>
      <c r="H119" s="110"/>
      <c r="I119" s="110"/>
      <c r="J119" s="110"/>
      <c r="K119" s="110"/>
      <c r="L119" s="110"/>
      <c r="M119" s="110"/>
      <c r="N119" s="110"/>
      <c r="O119" s="110"/>
    </row>
    <row r="120" spans="2:15">
      <c r="B120" s="96" t="str">
        <f t="shared" si="3"/>
        <v>100G 4WDM20</v>
      </c>
      <c r="C120" s="97" t="str">
        <f t="shared" si="3"/>
        <v>20 km</v>
      </c>
      <c r="D120" s="98" t="str">
        <f t="shared" si="3"/>
        <v>QSFP28</v>
      </c>
      <c r="E120" s="110" t="str">
        <f>'Products x speed'!E129</f>
        <v/>
      </c>
      <c r="F120" s="110" t="str">
        <f>'Products x speed'!F129</f>
        <v/>
      </c>
      <c r="G120" s="110"/>
      <c r="H120" s="110"/>
      <c r="I120" s="110"/>
      <c r="J120" s="110"/>
      <c r="K120" s="110"/>
      <c r="L120" s="110"/>
      <c r="M120" s="110"/>
      <c r="N120" s="110"/>
      <c r="O120" s="110"/>
    </row>
    <row r="121" spans="2:15">
      <c r="B121" s="96" t="str">
        <f t="shared" ref="B121:D121" si="4">B55</f>
        <v>100G ER4-Lite</v>
      </c>
      <c r="C121" s="97" t="str">
        <f t="shared" si="4"/>
        <v>30 km</v>
      </c>
      <c r="D121" s="98" t="str">
        <f t="shared" si="4"/>
        <v>QSFP28</v>
      </c>
      <c r="E121" s="110" t="str">
        <f>'Products x speed'!E130</f>
        <v/>
      </c>
      <c r="F121" s="110">
        <f>'Products x speed'!F130</f>
        <v>3487.2423945044161</v>
      </c>
      <c r="G121" s="110"/>
      <c r="H121" s="110"/>
      <c r="I121" s="110"/>
      <c r="J121" s="110"/>
      <c r="K121" s="110"/>
      <c r="L121" s="110"/>
      <c r="M121" s="110"/>
      <c r="N121" s="110"/>
      <c r="O121" s="110"/>
    </row>
    <row r="122" spans="2:15">
      <c r="B122" s="96" t="str">
        <f t="shared" ref="B122:D122" si="5">B56</f>
        <v>100G ER4</v>
      </c>
      <c r="C122" s="97" t="str">
        <f t="shared" si="5"/>
        <v>40 km</v>
      </c>
      <c r="D122" s="98" t="str">
        <f t="shared" si="5"/>
        <v>QSFP28</v>
      </c>
      <c r="E122" s="110">
        <f>'Products x speed'!E131</f>
        <v>8992.3604525403425</v>
      </c>
      <c r="F122" s="110">
        <f>'Products x speed'!F131</f>
        <v>6675.4855675304152</v>
      </c>
      <c r="G122" s="110"/>
      <c r="H122" s="110"/>
      <c r="I122" s="110"/>
      <c r="J122" s="110"/>
      <c r="K122" s="110"/>
      <c r="L122" s="110"/>
      <c r="M122" s="110"/>
      <c r="N122" s="110"/>
      <c r="O122" s="110"/>
    </row>
    <row r="123" spans="2:15">
      <c r="B123" s="92" t="str">
        <f t="shared" ref="B123:D134" si="6">B57</f>
        <v>100G ZR4</v>
      </c>
      <c r="C123" s="93" t="str">
        <f t="shared" si="6"/>
        <v>80 km</v>
      </c>
      <c r="D123" s="94" t="str">
        <f t="shared" si="6"/>
        <v>QSFP28</v>
      </c>
      <c r="E123" s="109" t="str">
        <f>'Products x speed'!E132</f>
        <v/>
      </c>
      <c r="F123" s="109" t="str">
        <f>'Products x speed'!F132</f>
        <v/>
      </c>
      <c r="G123" s="109"/>
      <c r="H123" s="109"/>
      <c r="I123" s="109"/>
      <c r="J123" s="109"/>
      <c r="K123" s="109"/>
      <c r="L123" s="109"/>
      <c r="M123" s="109"/>
      <c r="N123" s="109"/>
      <c r="O123" s="109"/>
    </row>
    <row r="124" spans="2:15" ht="12" customHeight="1">
      <c r="B124" s="88" t="str">
        <f t="shared" si="6"/>
        <v>200G SR4</v>
      </c>
      <c r="C124" s="89" t="str">
        <f t="shared" si="6"/>
        <v>100 m</v>
      </c>
      <c r="D124" s="90" t="str">
        <f t="shared" si="6"/>
        <v>QSFP56</v>
      </c>
      <c r="E124" s="108">
        <f>'Products x speed'!E133</f>
        <v>0</v>
      </c>
      <c r="F124" s="108">
        <f>'Products x speed'!F133</f>
        <v>0</v>
      </c>
      <c r="G124" s="108"/>
      <c r="H124" s="108"/>
      <c r="I124" s="108"/>
      <c r="J124" s="108"/>
      <c r="K124" s="108"/>
      <c r="L124" s="108"/>
      <c r="M124" s="108"/>
      <c r="N124" s="108"/>
      <c r="O124" s="108"/>
    </row>
    <row r="125" spans="2:15">
      <c r="B125" s="96" t="str">
        <f t="shared" si="6"/>
        <v>2x200 (400G-SR8)</v>
      </c>
      <c r="C125" s="97" t="str">
        <f t="shared" si="6"/>
        <v>100 m</v>
      </c>
      <c r="D125" s="98" t="str">
        <f t="shared" si="6"/>
        <v>OSFP, QSFP-DD</v>
      </c>
      <c r="E125" s="110">
        <f>'Products x speed'!E134</f>
        <v>0</v>
      </c>
      <c r="F125" s="110">
        <f>'Products x speed'!F134</f>
        <v>0</v>
      </c>
      <c r="G125" s="110"/>
      <c r="H125" s="110"/>
      <c r="I125" s="110"/>
      <c r="J125" s="110"/>
      <c r="K125" s="110"/>
      <c r="L125" s="110"/>
      <c r="M125" s="110"/>
      <c r="N125" s="110"/>
      <c r="O125" s="110"/>
    </row>
    <row r="126" spans="2:15">
      <c r="B126" s="96" t="str">
        <f t="shared" si="6"/>
        <v>200G FR4</v>
      </c>
      <c r="C126" s="97" t="str">
        <f t="shared" si="6"/>
        <v>3 km</v>
      </c>
      <c r="D126" s="98" t="str">
        <f t="shared" si="6"/>
        <v>QSFP56</v>
      </c>
      <c r="E126" s="110">
        <f>'Products x speed'!E135</f>
        <v>0</v>
      </c>
      <c r="F126" s="110">
        <f>'Products x speed'!F135</f>
        <v>0</v>
      </c>
      <c r="G126" s="110"/>
      <c r="H126" s="110"/>
      <c r="I126" s="110"/>
      <c r="J126" s="110"/>
      <c r="K126" s="110"/>
      <c r="L126" s="110"/>
      <c r="M126" s="110"/>
      <c r="N126" s="110"/>
      <c r="O126" s="110"/>
    </row>
    <row r="127" spans="2:15">
      <c r="B127" s="92" t="str">
        <f t="shared" si="6"/>
        <v>2x(200G FR4)</v>
      </c>
      <c r="C127" s="93" t="str">
        <f t="shared" si="6"/>
        <v>2 km</v>
      </c>
      <c r="D127" s="94" t="str">
        <f t="shared" si="6"/>
        <v>OSFP</v>
      </c>
      <c r="E127" s="109">
        <f>'Products x speed'!E136</f>
        <v>0</v>
      </c>
      <c r="F127" s="109">
        <f>'Products x speed'!F136</f>
        <v>0</v>
      </c>
      <c r="G127" s="109"/>
      <c r="H127" s="109"/>
      <c r="I127" s="109"/>
      <c r="J127" s="109"/>
      <c r="K127" s="109"/>
      <c r="L127" s="109"/>
      <c r="M127" s="109"/>
      <c r="N127" s="109"/>
      <c r="O127" s="109"/>
    </row>
    <row r="128" spans="2:15" ht="12" customHeight="1">
      <c r="B128" s="88" t="str">
        <f t="shared" si="6"/>
        <v>400G SR4.2, SR4</v>
      </c>
      <c r="C128" s="89" t="str">
        <f t="shared" si="6"/>
        <v>100 m</v>
      </c>
      <c r="D128" s="90" t="str">
        <f t="shared" si="6"/>
        <v>OSFP, QSFP-DD, QSFP112</v>
      </c>
      <c r="E128" s="108">
        <f>'Products x speed'!E137</f>
        <v>0</v>
      </c>
      <c r="F128" s="108">
        <f>'Products x speed'!F137</f>
        <v>0</v>
      </c>
      <c r="G128" s="108"/>
      <c r="H128" s="108"/>
      <c r="I128" s="108"/>
      <c r="J128" s="108"/>
      <c r="K128" s="108"/>
      <c r="L128" s="108"/>
      <c r="M128" s="108"/>
      <c r="N128" s="108"/>
      <c r="O128" s="108"/>
    </row>
    <row r="129" spans="1:15">
      <c r="B129" s="96" t="str">
        <f t="shared" si="6"/>
        <v>400G DR4</v>
      </c>
      <c r="C129" s="97" t="str">
        <f t="shared" si="6"/>
        <v>500 m</v>
      </c>
      <c r="D129" s="98" t="str">
        <f t="shared" si="6"/>
        <v>OSFP, QSFP-DD, QSFP112</v>
      </c>
      <c r="E129" s="110">
        <f>'Products x speed'!E138</f>
        <v>0</v>
      </c>
      <c r="F129" s="110">
        <f>'Products x speed'!F138</f>
        <v>0</v>
      </c>
      <c r="G129" s="110"/>
      <c r="H129" s="110"/>
      <c r="I129" s="110"/>
      <c r="J129" s="110"/>
      <c r="K129" s="110"/>
      <c r="L129" s="110"/>
      <c r="M129" s="110"/>
      <c r="N129" s="110"/>
      <c r="O129" s="110"/>
    </row>
    <row r="130" spans="1:15">
      <c r="B130" s="96" t="str">
        <f t="shared" si="6"/>
        <v>400G FR4</v>
      </c>
      <c r="C130" s="97" t="str">
        <f t="shared" si="6"/>
        <v>2 km</v>
      </c>
      <c r="D130" s="98" t="str">
        <f t="shared" si="6"/>
        <v>OSFP, QSFP-DD, QSFP112</v>
      </c>
      <c r="E130" s="110">
        <f>'Products x speed'!E139</f>
        <v>0</v>
      </c>
      <c r="F130" s="110">
        <f>'Products x speed'!F139</f>
        <v>11614.285714285714</v>
      </c>
      <c r="G130" s="110"/>
      <c r="H130" s="110"/>
      <c r="I130" s="110"/>
      <c r="J130" s="110"/>
      <c r="K130" s="110"/>
      <c r="L130" s="110"/>
      <c r="M130" s="110"/>
      <c r="N130" s="110"/>
      <c r="O130" s="110"/>
    </row>
    <row r="131" spans="1:15">
      <c r="B131" s="92" t="str">
        <f t="shared" si="6"/>
        <v>400G LR4, LR8</v>
      </c>
      <c r="C131" s="93" t="str">
        <f t="shared" si="6"/>
        <v>10 km</v>
      </c>
      <c r="D131" s="94" t="str">
        <f t="shared" si="6"/>
        <v>OSFP, QSFP-DD, QSFP112</v>
      </c>
      <c r="E131" s="109">
        <f>'Products x speed'!E140</f>
        <v>0</v>
      </c>
      <c r="F131" s="109">
        <f>'Products x speed'!F140</f>
        <v>15451.219512195123</v>
      </c>
      <c r="G131" s="109"/>
      <c r="H131" s="109"/>
      <c r="I131" s="109"/>
      <c r="J131" s="109"/>
      <c r="K131" s="109"/>
      <c r="L131" s="109"/>
      <c r="M131" s="109"/>
      <c r="N131" s="109"/>
      <c r="O131" s="109"/>
    </row>
    <row r="132" spans="1:15" s="101" customFormat="1">
      <c r="B132" s="96" t="str">
        <f t="shared" si="6"/>
        <v>800G SR8</v>
      </c>
      <c r="C132" s="97" t="str">
        <f t="shared" si="6"/>
        <v>50 m</v>
      </c>
      <c r="D132" s="98" t="str">
        <f t="shared" si="6"/>
        <v>OSFP, QSFP-DD800</v>
      </c>
      <c r="E132" s="110">
        <f>'Products x speed'!E141</f>
        <v>0</v>
      </c>
      <c r="F132" s="110">
        <f>'Products x speed'!F141</f>
        <v>0</v>
      </c>
      <c r="G132" s="110"/>
      <c r="H132" s="110"/>
      <c r="I132" s="110"/>
      <c r="J132" s="110"/>
      <c r="K132" s="110"/>
      <c r="L132" s="110"/>
      <c r="M132" s="110"/>
      <c r="N132" s="110"/>
      <c r="O132" s="110"/>
    </row>
    <row r="133" spans="1:15" s="101" customFormat="1">
      <c r="B133" s="96" t="str">
        <f t="shared" si="6"/>
        <v>800G PSM8</v>
      </c>
      <c r="C133" s="97" t="str">
        <f t="shared" si="6"/>
        <v>500 m</v>
      </c>
      <c r="D133" s="97" t="str">
        <f t="shared" si="6"/>
        <v>OSFP, QSFP-DD800</v>
      </c>
      <c r="E133" s="110">
        <f>'Products x speed'!E142</f>
        <v>0</v>
      </c>
      <c r="F133" s="110">
        <f>'Products x speed'!F142</f>
        <v>0</v>
      </c>
      <c r="G133" s="110"/>
      <c r="H133" s="110"/>
      <c r="I133" s="110"/>
      <c r="J133" s="110"/>
      <c r="K133" s="110"/>
      <c r="L133" s="110"/>
      <c r="M133" s="110"/>
      <c r="N133" s="110"/>
      <c r="O133" s="110"/>
    </row>
    <row r="134" spans="1:15" s="101" customFormat="1">
      <c r="B134" s="96" t="str">
        <f t="shared" si="6"/>
        <v>2x(400G FR4)</v>
      </c>
      <c r="C134" s="97" t="str">
        <f t="shared" si="6"/>
        <v>2 km</v>
      </c>
      <c r="D134" s="97" t="str">
        <f t="shared" si="6"/>
        <v>OSFP, QSFP-DD800</v>
      </c>
      <c r="E134" s="110">
        <f>'Products x speed'!E143</f>
        <v>0</v>
      </c>
      <c r="F134" s="110">
        <f>'Products x speed'!F143</f>
        <v>0</v>
      </c>
      <c r="G134" s="110"/>
      <c r="H134" s="110"/>
      <c r="I134" s="110"/>
      <c r="J134" s="110"/>
      <c r="K134" s="110"/>
      <c r="L134" s="110"/>
      <c r="M134" s="110"/>
      <c r="N134" s="110"/>
      <c r="O134" s="110"/>
    </row>
    <row r="135" spans="1:15" s="101" customFormat="1">
      <c r="B135" s="92"/>
      <c r="C135" s="93"/>
      <c r="D135" s="93"/>
      <c r="E135" s="109"/>
      <c r="F135" s="109"/>
      <c r="G135" s="109"/>
      <c r="H135" s="109"/>
      <c r="I135" s="109"/>
      <c r="J135" s="109"/>
      <c r="K135" s="109"/>
      <c r="L135" s="109"/>
      <c r="M135" s="109"/>
      <c r="N135" s="109"/>
      <c r="O135" s="109"/>
    </row>
    <row r="136" spans="1:15">
      <c r="B136" s="44" t="s">
        <v>20</v>
      </c>
      <c r="C136" s="45"/>
      <c r="D136" s="45"/>
      <c r="E136" s="113">
        <f t="shared" ref="E136:O136" si="7">IF(E70=0,,E202*10^6/E70)</f>
        <v>104.97249875787344</v>
      </c>
      <c r="F136" s="113">
        <f t="shared" si="7"/>
        <v>143.06916178965082</v>
      </c>
      <c r="G136" s="113"/>
      <c r="H136" s="113"/>
      <c r="I136" s="113"/>
      <c r="J136" s="113"/>
      <c r="K136" s="113"/>
      <c r="L136" s="113"/>
      <c r="M136" s="113"/>
      <c r="N136" s="113"/>
      <c r="O136" s="113"/>
    </row>
    <row r="139" spans="1:15" ht="21">
      <c r="B139" s="15" t="s">
        <v>29</v>
      </c>
      <c r="C139" s="14"/>
      <c r="D139" s="14"/>
    </row>
    <row r="140" spans="1:15">
      <c r="B140" s="86" t="str">
        <f>B6</f>
        <v>Data Rate</v>
      </c>
      <c r="C140" s="86" t="str">
        <f>C6</f>
        <v>Reach</v>
      </c>
      <c r="D140" s="86" t="str">
        <f>D6</f>
        <v>Form Factor</v>
      </c>
      <c r="E140" s="107">
        <v>2016</v>
      </c>
      <c r="F140" s="107">
        <v>2017</v>
      </c>
      <c r="G140" s="107">
        <v>2018</v>
      </c>
      <c r="H140" s="107">
        <v>2019</v>
      </c>
      <c r="I140" s="107">
        <v>2020</v>
      </c>
      <c r="J140" s="107">
        <v>2021</v>
      </c>
      <c r="K140" s="107">
        <v>2022</v>
      </c>
      <c r="L140" s="107">
        <v>2023</v>
      </c>
      <c r="M140" s="107">
        <v>2024</v>
      </c>
      <c r="N140" s="107">
        <v>2025</v>
      </c>
      <c r="O140" s="107">
        <v>2026</v>
      </c>
    </row>
    <row r="141" spans="1:15">
      <c r="A141" s="50" t="s">
        <v>103</v>
      </c>
      <c r="B141" s="88" t="str">
        <f t="shared" ref="B141:D160" si="8">B9</f>
        <v>1G</v>
      </c>
      <c r="C141" s="89" t="str">
        <f t="shared" si="8"/>
        <v>500 m</v>
      </c>
      <c r="D141" s="89" t="str">
        <f t="shared" si="8"/>
        <v>SFP</v>
      </c>
      <c r="E141" s="115">
        <f t="shared" ref="E141:O141" si="9">IF(E9=0,,E9*E75/10^6)</f>
        <v>0</v>
      </c>
      <c r="F141" s="115">
        <f t="shared" si="9"/>
        <v>0</v>
      </c>
      <c r="G141" s="115"/>
      <c r="H141" s="115"/>
      <c r="I141" s="115"/>
      <c r="J141" s="115"/>
      <c r="K141" s="115"/>
      <c r="L141" s="115"/>
      <c r="M141" s="115"/>
      <c r="N141" s="115"/>
      <c r="O141" s="115"/>
    </row>
    <row r="142" spans="1:15">
      <c r="A142" s="214" t="s">
        <v>104</v>
      </c>
      <c r="B142" s="96" t="str">
        <f t="shared" si="8"/>
        <v>1G</v>
      </c>
      <c r="C142" s="97" t="str">
        <f t="shared" si="8"/>
        <v>10 km</v>
      </c>
      <c r="D142" s="97" t="str">
        <f t="shared" si="8"/>
        <v>SFP</v>
      </c>
      <c r="E142" s="117">
        <f t="shared" ref="E142:O142" si="10">IF(E10=0,,E10*E76/10^6)</f>
        <v>4.7478439228000004</v>
      </c>
      <c r="F142" s="117">
        <f t="shared" si="10"/>
        <v>2.4950864080093562</v>
      </c>
      <c r="G142" s="117"/>
      <c r="H142" s="117"/>
      <c r="I142" s="117"/>
      <c r="J142" s="117"/>
      <c r="K142" s="117"/>
      <c r="L142" s="117"/>
      <c r="M142" s="117"/>
      <c r="N142" s="117"/>
      <c r="O142" s="117"/>
    </row>
    <row r="143" spans="1:15">
      <c r="A143" s="214" t="s">
        <v>104</v>
      </c>
      <c r="B143" s="96" t="str">
        <f t="shared" si="8"/>
        <v>1G</v>
      </c>
      <c r="C143" s="97" t="str">
        <f t="shared" si="8"/>
        <v>40 km</v>
      </c>
      <c r="D143" s="97" t="str">
        <f t="shared" si="8"/>
        <v>SFP</v>
      </c>
      <c r="E143" s="117">
        <f t="shared" ref="E143:O143" si="11">IF(E11=0,,E11*E77/10^6)</f>
        <v>0</v>
      </c>
      <c r="F143" s="117">
        <f t="shared" si="11"/>
        <v>0</v>
      </c>
      <c r="G143" s="117"/>
      <c r="H143" s="117"/>
      <c r="I143" s="117"/>
      <c r="J143" s="117"/>
      <c r="K143" s="117"/>
      <c r="L143" s="117"/>
      <c r="M143" s="117"/>
      <c r="N143" s="117"/>
      <c r="O143" s="117"/>
    </row>
    <row r="144" spans="1:15">
      <c r="A144" s="214" t="s">
        <v>104</v>
      </c>
      <c r="B144" s="96" t="str">
        <f t="shared" si="8"/>
        <v>1G</v>
      </c>
      <c r="C144" s="97" t="str">
        <f t="shared" si="8"/>
        <v>80 km</v>
      </c>
      <c r="D144" s="97" t="str">
        <f t="shared" si="8"/>
        <v>SFP</v>
      </c>
      <c r="E144" s="117">
        <f t="shared" ref="E144:O144" si="12">IF(E12=0,,E12*E78/10^6)</f>
        <v>0</v>
      </c>
      <c r="F144" s="117">
        <f t="shared" si="12"/>
        <v>0</v>
      </c>
      <c r="G144" s="117"/>
      <c r="H144" s="117"/>
      <c r="I144" s="117"/>
      <c r="J144" s="117"/>
      <c r="K144" s="117"/>
      <c r="L144" s="117"/>
      <c r="M144" s="117"/>
      <c r="N144" s="117"/>
      <c r="O144" s="117"/>
    </row>
    <row r="145" spans="1:15">
      <c r="A145" s="214"/>
      <c r="B145" s="92" t="str">
        <f t="shared" si="8"/>
        <v>1G &amp; Fast Ethernet</v>
      </c>
      <c r="C145" s="93" t="str">
        <f t="shared" si="8"/>
        <v>Various</v>
      </c>
      <c r="D145" s="93" t="str">
        <f t="shared" si="8"/>
        <v>Legacy/discontinued</v>
      </c>
      <c r="E145" s="116"/>
      <c r="F145" s="116"/>
      <c r="G145" s="116"/>
      <c r="H145" s="116"/>
      <c r="I145" s="116"/>
      <c r="J145" s="116"/>
      <c r="K145" s="116"/>
      <c r="L145" s="116"/>
      <c r="M145" s="116"/>
      <c r="N145" s="116"/>
      <c r="O145" s="116"/>
    </row>
    <row r="146" spans="1:15">
      <c r="A146" s="50" t="s">
        <v>103</v>
      </c>
      <c r="B146" s="96" t="str">
        <f t="shared" si="8"/>
        <v>10G</v>
      </c>
      <c r="C146" s="97" t="str">
        <f t="shared" si="8"/>
        <v>300 m</v>
      </c>
      <c r="D146" s="97" t="str">
        <f t="shared" si="8"/>
        <v>XFP</v>
      </c>
      <c r="E146" s="117">
        <f t="shared" ref="E146:O146" si="13">IF(E14=0,,E14*E80/10^6)</f>
        <v>0</v>
      </c>
      <c r="F146" s="117">
        <f t="shared" si="13"/>
        <v>0</v>
      </c>
      <c r="G146" s="117"/>
      <c r="H146" s="117"/>
      <c r="I146" s="117"/>
      <c r="J146" s="117"/>
      <c r="K146" s="117"/>
      <c r="L146" s="117"/>
      <c r="M146" s="117"/>
      <c r="N146" s="117"/>
      <c r="O146" s="117"/>
    </row>
    <row r="147" spans="1:15">
      <c r="A147" s="50" t="s">
        <v>103</v>
      </c>
      <c r="B147" s="96" t="str">
        <f t="shared" si="8"/>
        <v>10G</v>
      </c>
      <c r="C147" s="97" t="str">
        <f t="shared" si="8"/>
        <v>300 m</v>
      </c>
      <c r="D147" s="97" t="str">
        <f t="shared" si="8"/>
        <v>SFP+</v>
      </c>
      <c r="E147" s="117">
        <f t="shared" ref="E147:O147" si="14">IF(E15=0,,E15*E81/10^6)</f>
        <v>97.34470409430871</v>
      </c>
      <c r="F147" s="117">
        <f t="shared" si="14"/>
        <v>87.068640146730502</v>
      </c>
      <c r="G147" s="117"/>
      <c r="H147" s="117"/>
      <c r="I147" s="117"/>
      <c r="J147" s="117"/>
      <c r="K147" s="117"/>
      <c r="L147" s="117"/>
      <c r="M147" s="117"/>
      <c r="N147" s="117"/>
      <c r="O147" s="117"/>
    </row>
    <row r="148" spans="1:15">
      <c r="A148" s="50" t="s">
        <v>103</v>
      </c>
      <c r="B148" s="96" t="str">
        <f t="shared" si="8"/>
        <v>10G LRM</v>
      </c>
      <c r="C148" s="97" t="str">
        <f t="shared" si="8"/>
        <v>220 m</v>
      </c>
      <c r="D148" s="97" t="str">
        <f t="shared" si="8"/>
        <v>SFP+</v>
      </c>
      <c r="E148" s="117">
        <f t="shared" ref="E148:O148" si="15">IF(E16=0,,E16*E82/10^6)</f>
        <v>0</v>
      </c>
      <c r="F148" s="117">
        <f t="shared" si="15"/>
        <v>0</v>
      </c>
      <c r="G148" s="117"/>
      <c r="H148" s="117"/>
      <c r="I148" s="117"/>
      <c r="J148" s="117"/>
      <c r="K148" s="117"/>
      <c r="L148" s="117"/>
      <c r="M148" s="117"/>
      <c r="N148" s="117"/>
      <c r="O148" s="117"/>
    </row>
    <row r="149" spans="1:15">
      <c r="A149" s="214" t="s">
        <v>104</v>
      </c>
      <c r="B149" s="96" t="str">
        <f t="shared" si="8"/>
        <v>10G</v>
      </c>
      <c r="C149" s="97" t="str">
        <f t="shared" si="8"/>
        <v>10 km</v>
      </c>
      <c r="D149" s="97" t="str">
        <f t="shared" si="8"/>
        <v>XFP</v>
      </c>
      <c r="E149" s="117">
        <f t="shared" ref="E149:O149" si="16">IF(E17=0,,E17*E83/10^6)</f>
        <v>0</v>
      </c>
      <c r="F149" s="117">
        <f t="shared" si="16"/>
        <v>0</v>
      </c>
      <c r="G149" s="117"/>
      <c r="H149" s="117"/>
      <c r="I149" s="117"/>
      <c r="J149" s="117"/>
      <c r="K149" s="117"/>
      <c r="L149" s="117"/>
      <c r="M149" s="117"/>
      <c r="N149" s="117"/>
      <c r="O149" s="117"/>
    </row>
    <row r="150" spans="1:15">
      <c r="A150" s="214" t="s">
        <v>104</v>
      </c>
      <c r="B150" s="96" t="str">
        <f t="shared" si="8"/>
        <v>10G</v>
      </c>
      <c r="C150" s="97" t="str">
        <f t="shared" si="8"/>
        <v>10 km</v>
      </c>
      <c r="D150" s="97" t="str">
        <f t="shared" si="8"/>
        <v>SFP+</v>
      </c>
      <c r="E150" s="117">
        <f t="shared" ref="E150:O150" si="17">IF(E18=0,,E18*E84/10^6)</f>
        <v>68.17850334418695</v>
      </c>
      <c r="F150" s="117">
        <f t="shared" si="17"/>
        <v>56.191964472121946</v>
      </c>
      <c r="G150" s="117"/>
      <c r="H150" s="117"/>
      <c r="I150" s="117"/>
      <c r="J150" s="117"/>
      <c r="K150" s="117"/>
      <c r="L150" s="117"/>
      <c r="M150" s="117"/>
      <c r="N150" s="117"/>
      <c r="O150" s="117"/>
    </row>
    <row r="151" spans="1:15">
      <c r="A151" s="214" t="s">
        <v>104</v>
      </c>
      <c r="B151" s="96" t="str">
        <f t="shared" si="8"/>
        <v>10G</v>
      </c>
      <c r="C151" s="97" t="str">
        <f t="shared" si="8"/>
        <v>40 km</v>
      </c>
      <c r="D151" s="97" t="str">
        <f t="shared" si="8"/>
        <v>XFP</v>
      </c>
      <c r="E151" s="117">
        <f t="shared" ref="E151:O151" si="18">IF(E19=0,,E19*E85/10^6)</f>
        <v>6.1957791255030008</v>
      </c>
      <c r="F151" s="117">
        <f t="shared" si="18"/>
        <v>2.9912816427744064</v>
      </c>
      <c r="G151" s="117"/>
      <c r="H151" s="117"/>
      <c r="I151" s="117"/>
      <c r="J151" s="117"/>
      <c r="K151" s="117"/>
      <c r="L151" s="117"/>
      <c r="M151" s="117"/>
      <c r="N151" s="117"/>
      <c r="O151" s="117"/>
    </row>
    <row r="152" spans="1:15">
      <c r="A152" s="214" t="s">
        <v>104</v>
      </c>
      <c r="B152" s="96" t="str">
        <f t="shared" si="8"/>
        <v>10G</v>
      </c>
      <c r="C152" s="97" t="str">
        <f t="shared" si="8"/>
        <v>40 km</v>
      </c>
      <c r="D152" s="97" t="str">
        <f t="shared" si="8"/>
        <v>SFP+</v>
      </c>
      <c r="E152" s="117">
        <f t="shared" ref="E152:O152" si="19">IF(E20=0,,E20*E86/10^6)</f>
        <v>4.9314255569719556</v>
      </c>
      <c r="F152" s="117">
        <f t="shared" si="19"/>
        <v>2.0120747906781835</v>
      </c>
      <c r="G152" s="117"/>
      <c r="H152" s="117"/>
      <c r="I152" s="117"/>
      <c r="J152" s="117"/>
      <c r="K152" s="117"/>
      <c r="L152" s="117"/>
      <c r="M152" s="117"/>
      <c r="N152" s="117"/>
      <c r="O152" s="117"/>
    </row>
    <row r="153" spans="1:15">
      <c r="A153" s="214" t="s">
        <v>104</v>
      </c>
      <c r="B153" s="96" t="str">
        <f t="shared" si="8"/>
        <v>10G</v>
      </c>
      <c r="C153" s="97" t="str">
        <f t="shared" si="8"/>
        <v>80 km</v>
      </c>
      <c r="D153" s="97" t="str">
        <f t="shared" si="8"/>
        <v>XFP</v>
      </c>
      <c r="E153" s="117">
        <f t="shared" ref="E153:O153" si="20">IF(E21=0,,E21*E87/10^6)</f>
        <v>0</v>
      </c>
      <c r="F153" s="117">
        <f t="shared" si="20"/>
        <v>0</v>
      </c>
      <c r="G153" s="117"/>
      <c r="H153" s="117"/>
      <c r="I153" s="117"/>
      <c r="J153" s="117"/>
      <c r="K153" s="117"/>
      <c r="L153" s="117"/>
      <c r="M153" s="117"/>
      <c r="N153" s="117"/>
      <c r="O153" s="117"/>
    </row>
    <row r="154" spans="1:15">
      <c r="A154" s="214" t="s">
        <v>104</v>
      </c>
      <c r="B154" s="96" t="str">
        <f t="shared" si="8"/>
        <v>10G</v>
      </c>
      <c r="C154" s="97" t="str">
        <f t="shared" si="8"/>
        <v>80 km</v>
      </c>
      <c r="D154" s="97" t="str">
        <f t="shared" si="8"/>
        <v>SFP+</v>
      </c>
      <c r="E154" s="117">
        <f t="shared" ref="E154:O154" si="21">IF(E22=0,,E22*E88/10^6)</f>
        <v>0</v>
      </c>
      <c r="F154" s="117">
        <f t="shared" si="21"/>
        <v>0</v>
      </c>
      <c r="G154" s="117"/>
      <c r="H154" s="117"/>
      <c r="I154" s="117"/>
      <c r="J154" s="117"/>
      <c r="K154" s="117"/>
      <c r="L154" s="117"/>
      <c r="M154" s="117"/>
      <c r="N154" s="117"/>
      <c r="O154" s="117"/>
    </row>
    <row r="155" spans="1:15">
      <c r="A155" s="214"/>
      <c r="B155" s="96" t="str">
        <f t="shared" si="8"/>
        <v>10G</v>
      </c>
      <c r="C155" s="97" t="str">
        <f t="shared" si="8"/>
        <v>Various</v>
      </c>
      <c r="D155" s="97" t="str">
        <f t="shared" si="8"/>
        <v>Legacy/discontinued</v>
      </c>
      <c r="E155" s="117"/>
      <c r="F155" s="117"/>
      <c r="G155" s="117"/>
      <c r="H155" s="117"/>
      <c r="I155" s="117"/>
      <c r="J155" s="117"/>
      <c r="K155" s="117"/>
      <c r="L155" s="117"/>
      <c r="M155" s="117"/>
      <c r="N155" s="117"/>
      <c r="O155" s="117"/>
    </row>
    <row r="156" spans="1:15">
      <c r="A156" s="50" t="s">
        <v>103</v>
      </c>
      <c r="B156" s="88" t="str">
        <f t="shared" si="8"/>
        <v>25G SR, eSR</v>
      </c>
      <c r="C156" s="89" t="str">
        <f t="shared" si="8"/>
        <v>100 - 300 m</v>
      </c>
      <c r="D156" s="90" t="str">
        <f t="shared" si="8"/>
        <v>SFP28</v>
      </c>
      <c r="E156" s="115">
        <f t="shared" ref="E156:O156" si="22">IF(E24=0,,E24*E90/10^6)</f>
        <v>0</v>
      </c>
      <c r="F156" s="115">
        <f t="shared" si="22"/>
        <v>0</v>
      </c>
      <c r="G156" s="115"/>
      <c r="H156" s="115"/>
      <c r="I156" s="115"/>
      <c r="J156" s="115"/>
      <c r="K156" s="115"/>
      <c r="L156" s="115"/>
      <c r="M156" s="115"/>
      <c r="N156" s="115"/>
      <c r="O156" s="115"/>
    </row>
    <row r="157" spans="1:15">
      <c r="A157" s="214" t="s">
        <v>104</v>
      </c>
      <c r="B157" s="96" t="str">
        <f t="shared" si="8"/>
        <v>25G LR</v>
      </c>
      <c r="C157" s="97" t="str">
        <f t="shared" si="8"/>
        <v>10 km</v>
      </c>
      <c r="D157" s="98" t="str">
        <f t="shared" si="8"/>
        <v>SFP28</v>
      </c>
      <c r="E157" s="117">
        <f t="shared" ref="E157:O157" si="23">IF(E25=0,,E25*E91/10^6)</f>
        <v>0</v>
      </c>
      <c r="F157" s="117">
        <f t="shared" si="23"/>
        <v>0</v>
      </c>
      <c r="G157" s="117"/>
      <c r="H157" s="117"/>
      <c r="I157" s="117"/>
      <c r="J157" s="117"/>
      <c r="K157" s="117"/>
      <c r="L157" s="117"/>
      <c r="M157" s="117"/>
      <c r="N157" s="117"/>
      <c r="O157" s="117"/>
    </row>
    <row r="158" spans="1:15">
      <c r="A158" s="214" t="s">
        <v>104</v>
      </c>
      <c r="B158" s="92" t="str">
        <f t="shared" si="8"/>
        <v>25G ER</v>
      </c>
      <c r="C158" s="93" t="str">
        <f t="shared" si="8"/>
        <v>40 km</v>
      </c>
      <c r="D158" s="94" t="str">
        <f t="shared" si="8"/>
        <v>SFP28</v>
      </c>
      <c r="E158" s="116">
        <f t="shared" ref="E158:O158" si="24">IF(E26=0,,E26*E92/10^6)</f>
        <v>0</v>
      </c>
      <c r="F158" s="116">
        <f t="shared" si="24"/>
        <v>0</v>
      </c>
      <c r="G158" s="116"/>
      <c r="H158" s="116"/>
      <c r="I158" s="116"/>
      <c r="J158" s="116"/>
      <c r="K158" s="116"/>
      <c r="L158" s="116"/>
      <c r="M158" s="116"/>
      <c r="N158" s="116"/>
      <c r="O158" s="116"/>
    </row>
    <row r="159" spans="1:15">
      <c r="A159" s="50" t="s">
        <v>103</v>
      </c>
      <c r="B159" s="88" t="str">
        <f t="shared" si="8"/>
        <v>40G SR4</v>
      </c>
      <c r="C159" s="89" t="str">
        <f t="shared" si="8"/>
        <v>100 m</v>
      </c>
      <c r="D159" s="90" t="str">
        <f t="shared" si="8"/>
        <v>QSFP+</v>
      </c>
      <c r="E159" s="115">
        <f t="shared" ref="E159:O159" si="25">IF(E27=0,,E27*E93/10^6)</f>
        <v>52.542377877555559</v>
      </c>
      <c r="F159" s="115">
        <f t="shared" si="25"/>
        <v>54.235480692339607</v>
      </c>
      <c r="G159" s="115"/>
      <c r="H159" s="115"/>
      <c r="I159" s="115"/>
      <c r="J159" s="115"/>
      <c r="K159" s="115"/>
      <c r="L159" s="115"/>
      <c r="M159" s="115"/>
      <c r="N159" s="115"/>
      <c r="O159" s="115"/>
    </row>
    <row r="160" spans="1:15">
      <c r="A160" s="50" t="s">
        <v>103</v>
      </c>
      <c r="B160" s="96" t="str">
        <f t="shared" si="8"/>
        <v>40G MM duplex</v>
      </c>
      <c r="C160" s="97" t="str">
        <f t="shared" si="8"/>
        <v>100 m</v>
      </c>
      <c r="D160" s="98" t="str">
        <f t="shared" si="8"/>
        <v>QSFP+</v>
      </c>
      <c r="E160" s="117">
        <f t="shared" ref="E160:O160" si="26">IF(E28=0,,E28*E94/10^6)</f>
        <v>0</v>
      </c>
      <c r="F160" s="117">
        <f t="shared" si="26"/>
        <v>0</v>
      </c>
      <c r="G160" s="117"/>
      <c r="H160" s="117"/>
      <c r="I160" s="117"/>
      <c r="J160" s="117"/>
      <c r="K160" s="117"/>
      <c r="L160" s="117"/>
      <c r="M160" s="117"/>
      <c r="N160" s="117"/>
      <c r="O160" s="117"/>
    </row>
    <row r="161" spans="1:15">
      <c r="A161" s="50" t="s">
        <v>103</v>
      </c>
      <c r="B161" s="96" t="str">
        <f t="shared" ref="B161:D180" si="27">B29</f>
        <v>40G eSR4</v>
      </c>
      <c r="C161" s="97" t="str">
        <f t="shared" si="27"/>
        <v>300 m</v>
      </c>
      <c r="D161" s="98" t="str">
        <f t="shared" si="27"/>
        <v>QSFP+</v>
      </c>
      <c r="E161" s="117">
        <f t="shared" ref="E161:O161" si="28">IF(E29=0,,E29*E95/10^6)</f>
        <v>24.957600813500001</v>
      </c>
      <c r="F161" s="117">
        <f t="shared" si="28"/>
        <v>32.120649999999998</v>
      </c>
      <c r="G161" s="117"/>
      <c r="H161" s="117"/>
      <c r="I161" s="117"/>
      <c r="J161" s="117"/>
      <c r="K161" s="117"/>
      <c r="L161" s="117"/>
      <c r="M161" s="117"/>
      <c r="N161" s="117"/>
      <c r="O161" s="117"/>
    </row>
    <row r="162" spans="1:15">
      <c r="A162" s="214" t="s">
        <v>104</v>
      </c>
      <c r="B162" s="96" t="str">
        <f t="shared" si="27"/>
        <v>40 G PSM4</v>
      </c>
      <c r="C162" s="97" t="str">
        <f t="shared" si="27"/>
        <v>500 m</v>
      </c>
      <c r="D162" s="98" t="str">
        <f t="shared" si="27"/>
        <v>QSFP+</v>
      </c>
      <c r="E162" s="193">
        <f t="shared" ref="E162:O162" si="29">IF(E30=0,,E30*E96/10^6)</f>
        <v>206.04404776999999</v>
      </c>
      <c r="F162" s="193">
        <f t="shared" si="29"/>
        <v>161.25879399999999</v>
      </c>
      <c r="G162" s="193"/>
      <c r="H162" s="193"/>
      <c r="I162" s="193"/>
      <c r="J162" s="193"/>
      <c r="K162" s="193"/>
      <c r="L162" s="193"/>
      <c r="M162" s="193"/>
      <c r="N162" s="193"/>
      <c r="O162" s="193"/>
    </row>
    <row r="163" spans="1:15">
      <c r="A163" s="214" t="s">
        <v>104</v>
      </c>
      <c r="B163" s="96" t="str">
        <f t="shared" si="27"/>
        <v>40G (FR)</v>
      </c>
      <c r="C163" s="97" t="str">
        <f t="shared" si="27"/>
        <v>2 km</v>
      </c>
      <c r="D163" s="98" t="str">
        <f t="shared" si="27"/>
        <v>CFP</v>
      </c>
      <c r="E163" s="193">
        <f t="shared" ref="E163:O163" si="30">IF(E31=0,,E31*E97/10^6)</f>
        <v>0</v>
      </c>
      <c r="F163" s="193">
        <f t="shared" si="30"/>
        <v>0</v>
      </c>
      <c r="G163" s="193"/>
      <c r="H163" s="193"/>
      <c r="I163" s="193"/>
      <c r="J163" s="193"/>
      <c r="K163" s="193"/>
      <c r="L163" s="193"/>
      <c r="M163" s="193"/>
      <c r="N163" s="193"/>
      <c r="O163" s="193"/>
    </row>
    <row r="164" spans="1:15">
      <c r="A164" s="214" t="s">
        <v>104</v>
      </c>
      <c r="B164" s="96" t="str">
        <f t="shared" si="27"/>
        <v>40G (LR4 subspec)</v>
      </c>
      <c r="C164" s="97" t="str">
        <f t="shared" si="27"/>
        <v>2 km</v>
      </c>
      <c r="D164" s="98" t="str">
        <f t="shared" si="27"/>
        <v>QSFP+</v>
      </c>
      <c r="E164" s="193">
        <f t="shared" ref="E164:O164" si="31">IF(E32=0,,E32*E98/10^6)</f>
        <v>177.55117799999999</v>
      </c>
      <c r="F164" s="193">
        <f t="shared" si="31"/>
        <v>277.09314268000003</v>
      </c>
      <c r="G164" s="193"/>
      <c r="H164" s="193"/>
      <c r="I164" s="193"/>
      <c r="J164" s="193"/>
      <c r="K164" s="193"/>
      <c r="L164" s="193"/>
      <c r="M164" s="193"/>
      <c r="N164" s="193"/>
      <c r="O164" s="193"/>
    </row>
    <row r="165" spans="1:15">
      <c r="A165" s="214" t="s">
        <v>104</v>
      </c>
      <c r="B165" s="96" t="str">
        <f t="shared" si="27"/>
        <v>40G</v>
      </c>
      <c r="C165" s="97" t="str">
        <f t="shared" si="27"/>
        <v>10 km</v>
      </c>
      <c r="D165" s="98" t="str">
        <f t="shared" si="27"/>
        <v>CFP</v>
      </c>
      <c r="E165" s="193">
        <f t="shared" ref="E165:O165" si="32">IF(E33=0,,E33*E99/10^6)</f>
        <v>0.39096978034042396</v>
      </c>
      <c r="F165" s="193">
        <f t="shared" si="32"/>
        <v>0.19223303543992781</v>
      </c>
      <c r="G165" s="193"/>
      <c r="H165" s="193"/>
      <c r="I165" s="193"/>
      <c r="J165" s="193"/>
      <c r="K165" s="193"/>
      <c r="L165" s="193"/>
      <c r="M165" s="193"/>
      <c r="N165" s="193"/>
      <c r="O165" s="193"/>
    </row>
    <row r="166" spans="1:15">
      <c r="A166" s="214" t="s">
        <v>104</v>
      </c>
      <c r="B166" s="96" t="str">
        <f t="shared" si="27"/>
        <v>40G</v>
      </c>
      <c r="C166" s="97" t="str">
        <f t="shared" si="27"/>
        <v>10 km</v>
      </c>
      <c r="D166" s="98" t="str">
        <f t="shared" si="27"/>
        <v>QSFP+</v>
      </c>
      <c r="E166" s="193">
        <f t="shared" ref="E166:O166" si="33">IF(E34=0,,E34*E100/10^6)</f>
        <v>111.97253942588168</v>
      </c>
      <c r="F166" s="193">
        <f t="shared" si="33"/>
        <v>136.25854458031412</v>
      </c>
      <c r="G166" s="193"/>
      <c r="H166" s="193"/>
      <c r="I166" s="193"/>
      <c r="J166" s="193"/>
      <c r="K166" s="193"/>
      <c r="L166" s="193"/>
      <c r="M166" s="193"/>
      <c r="N166" s="193"/>
      <c r="O166" s="193"/>
    </row>
    <row r="167" spans="1:15">
      <c r="A167" s="214" t="s">
        <v>104</v>
      </c>
      <c r="B167" s="92" t="str">
        <f t="shared" si="27"/>
        <v>40G</v>
      </c>
      <c r="C167" s="93" t="str">
        <f t="shared" si="27"/>
        <v>40 km</v>
      </c>
      <c r="D167" s="94" t="str">
        <f t="shared" si="27"/>
        <v>QSFP+</v>
      </c>
      <c r="E167" s="193">
        <f t="shared" ref="E167:O167" si="34">IF(E35=0,,E35*E101/10^6)</f>
        <v>2.0469855238707284</v>
      </c>
      <c r="F167" s="193">
        <f t="shared" si="34"/>
        <v>1.9816384521991841</v>
      </c>
      <c r="G167" s="193"/>
      <c r="H167" s="193"/>
      <c r="I167" s="193"/>
      <c r="J167" s="193"/>
      <c r="K167" s="193"/>
      <c r="L167" s="193"/>
      <c r="M167" s="193"/>
      <c r="N167" s="193"/>
      <c r="O167" s="193"/>
    </row>
    <row r="168" spans="1:15">
      <c r="A168" s="50" t="s">
        <v>103</v>
      </c>
      <c r="B168" s="88" t="str">
        <f t="shared" si="27"/>
        <v xml:space="preserve">50G </v>
      </c>
      <c r="C168" s="89" t="str">
        <f t="shared" si="27"/>
        <v>100 m</v>
      </c>
      <c r="D168" s="90" t="str">
        <f t="shared" si="27"/>
        <v>all</v>
      </c>
      <c r="E168" s="115">
        <f t="shared" ref="E168:O168" si="35">IF(E36=0,,E36*E102/10^6)</f>
        <v>0</v>
      </c>
      <c r="F168" s="115">
        <f t="shared" si="35"/>
        <v>0</v>
      </c>
      <c r="G168" s="115"/>
      <c r="H168" s="115"/>
      <c r="I168" s="115"/>
      <c r="J168" s="115"/>
      <c r="K168" s="115"/>
      <c r="L168" s="115"/>
      <c r="M168" s="115"/>
      <c r="N168" s="115"/>
      <c r="O168" s="115"/>
    </row>
    <row r="169" spans="1:15">
      <c r="A169" s="214" t="s">
        <v>104</v>
      </c>
      <c r="B169" s="96" t="str">
        <f t="shared" si="27"/>
        <v xml:space="preserve">50G </v>
      </c>
      <c r="C169" s="97" t="str">
        <f t="shared" si="27"/>
        <v>2 km</v>
      </c>
      <c r="D169" s="98" t="str">
        <f t="shared" si="27"/>
        <v>all</v>
      </c>
      <c r="E169" s="117">
        <f t="shared" ref="E169:O169" si="36">IF(E37=0,,E37*E103/10^6)</f>
        <v>0</v>
      </c>
      <c r="F169" s="117">
        <f t="shared" si="36"/>
        <v>0</v>
      </c>
      <c r="G169" s="117"/>
      <c r="H169" s="117"/>
      <c r="I169" s="117"/>
      <c r="J169" s="117"/>
      <c r="K169" s="117"/>
      <c r="L169" s="117"/>
      <c r="M169" s="117"/>
      <c r="N169" s="117"/>
      <c r="O169" s="117"/>
    </row>
    <row r="170" spans="1:15">
      <c r="A170" s="214" t="s">
        <v>104</v>
      </c>
      <c r="B170" s="96" t="str">
        <f t="shared" si="27"/>
        <v xml:space="preserve">50G </v>
      </c>
      <c r="C170" s="97" t="str">
        <f t="shared" si="27"/>
        <v>10 km</v>
      </c>
      <c r="D170" s="98" t="str">
        <f t="shared" si="27"/>
        <v>all</v>
      </c>
      <c r="E170" s="117">
        <f t="shared" ref="E170:O170" si="37">IF(E38=0,,E38*E104/10^6)</f>
        <v>0</v>
      </c>
      <c r="F170" s="117">
        <f t="shared" si="37"/>
        <v>0</v>
      </c>
      <c r="G170" s="117"/>
      <c r="H170" s="117"/>
      <c r="I170" s="117"/>
      <c r="J170" s="117"/>
      <c r="K170" s="117"/>
      <c r="L170" s="117"/>
      <c r="M170" s="117"/>
      <c r="N170" s="117"/>
      <c r="O170" s="117"/>
    </row>
    <row r="171" spans="1:15">
      <c r="A171" s="50" t="s">
        <v>103</v>
      </c>
      <c r="B171" s="88" t="str">
        <f t="shared" si="27"/>
        <v>100G SR4</v>
      </c>
      <c r="C171" s="89" t="str">
        <f t="shared" si="27"/>
        <v>100 m</v>
      </c>
      <c r="D171" s="90" t="str">
        <f t="shared" si="27"/>
        <v>CFP</v>
      </c>
      <c r="E171" s="115">
        <f t="shared" ref="E171:O171" si="38">IF(E39=0,,E39*E105/10^6)</f>
        <v>0</v>
      </c>
      <c r="F171" s="115">
        <f t="shared" si="38"/>
        <v>0</v>
      </c>
      <c r="G171" s="115"/>
      <c r="H171" s="115"/>
      <c r="I171" s="115"/>
      <c r="J171" s="115"/>
      <c r="K171" s="115"/>
      <c r="L171" s="115"/>
      <c r="M171" s="115"/>
      <c r="N171" s="115"/>
      <c r="O171" s="115"/>
    </row>
    <row r="172" spans="1:15">
      <c r="A172" s="50" t="s">
        <v>103</v>
      </c>
      <c r="B172" s="96" t="str">
        <f t="shared" si="27"/>
        <v>100G SR4</v>
      </c>
      <c r="C172" s="97" t="str">
        <f t="shared" si="27"/>
        <v>100 m</v>
      </c>
      <c r="D172" s="98" t="str">
        <f t="shared" si="27"/>
        <v>CFP2/4</v>
      </c>
      <c r="E172" s="117">
        <f t="shared" ref="E172:O172" si="39">IF(E40=0,,E40*E106/10^6)</f>
        <v>0</v>
      </c>
      <c r="F172" s="117">
        <f t="shared" si="39"/>
        <v>0</v>
      </c>
      <c r="G172" s="117"/>
      <c r="H172" s="117"/>
      <c r="I172" s="117"/>
      <c r="J172" s="117"/>
      <c r="K172" s="117"/>
      <c r="L172" s="117"/>
      <c r="M172" s="117"/>
      <c r="N172" s="117"/>
      <c r="O172" s="117"/>
    </row>
    <row r="173" spans="1:15">
      <c r="A173" s="50" t="s">
        <v>103</v>
      </c>
      <c r="B173" s="96" t="str">
        <f t="shared" si="27"/>
        <v>100G SR4</v>
      </c>
      <c r="C173" s="97" t="str">
        <f t="shared" si="27"/>
        <v>100 m</v>
      </c>
      <c r="D173" s="98" t="str">
        <f t="shared" si="27"/>
        <v>QSFP28</v>
      </c>
      <c r="E173" s="117">
        <f t="shared" ref="E173:O173" si="40">IF(E41=0,,E41*E107/10^6)</f>
        <v>72.281363999999996</v>
      </c>
      <c r="F173" s="117">
        <f t="shared" si="40"/>
        <v>113.36232738072</v>
      </c>
      <c r="G173" s="117"/>
      <c r="H173" s="117"/>
      <c r="I173" s="117"/>
      <c r="J173" s="117"/>
      <c r="K173" s="117"/>
      <c r="L173" s="117"/>
      <c r="M173" s="117"/>
      <c r="N173" s="117"/>
      <c r="O173" s="117"/>
    </row>
    <row r="174" spans="1:15">
      <c r="A174" s="50" t="s">
        <v>103</v>
      </c>
      <c r="B174" s="96" t="str">
        <f t="shared" si="27"/>
        <v>100G SR2</v>
      </c>
      <c r="C174" s="97" t="str">
        <f t="shared" si="27"/>
        <v>100 m</v>
      </c>
      <c r="D174" s="98" t="str">
        <f t="shared" si="27"/>
        <v>All</v>
      </c>
      <c r="E174" s="117">
        <f t="shared" ref="E174:O174" si="41">IF(E42=0,,E42*E108/10^6)</f>
        <v>0</v>
      </c>
      <c r="F174" s="117">
        <f t="shared" si="41"/>
        <v>0</v>
      </c>
      <c r="G174" s="117"/>
      <c r="H174" s="117"/>
      <c r="I174" s="117"/>
      <c r="J174" s="117"/>
      <c r="K174" s="117"/>
      <c r="L174" s="117"/>
      <c r="M174" s="117"/>
      <c r="N174" s="117"/>
      <c r="O174" s="117"/>
    </row>
    <row r="175" spans="1:15">
      <c r="A175" s="50" t="s">
        <v>103</v>
      </c>
      <c r="B175" s="96" t="str">
        <f t="shared" si="27"/>
        <v>100G MM Duplex</v>
      </c>
      <c r="C175" s="97" t="str">
        <f t="shared" si="27"/>
        <v>100 - 300 m</v>
      </c>
      <c r="D175" s="98" t="str">
        <f t="shared" si="27"/>
        <v>QSFP28</v>
      </c>
      <c r="E175" s="117">
        <f t="shared" ref="E175:O175" si="42">IF(E43=0,,E43*E109/10^6)</f>
        <v>0</v>
      </c>
      <c r="F175" s="117">
        <f t="shared" si="42"/>
        <v>0</v>
      </c>
      <c r="G175" s="117"/>
      <c r="H175" s="117"/>
      <c r="I175" s="117"/>
      <c r="J175" s="117"/>
      <c r="K175" s="117"/>
      <c r="L175" s="117"/>
      <c r="M175" s="117"/>
      <c r="N175" s="117"/>
      <c r="O175" s="117"/>
    </row>
    <row r="176" spans="1:15">
      <c r="A176" s="50" t="s">
        <v>103</v>
      </c>
      <c r="B176" s="96" t="str">
        <f t="shared" si="27"/>
        <v>100G eSR4</v>
      </c>
      <c r="C176" s="97" t="str">
        <f t="shared" si="27"/>
        <v>300 m</v>
      </c>
      <c r="D176" s="98" t="str">
        <f t="shared" si="27"/>
        <v>QSFP28</v>
      </c>
      <c r="E176" s="117">
        <f t="shared" ref="E176:O176" si="43">IF(E44=0,,E44*E110/10^6)</f>
        <v>0</v>
      </c>
      <c r="F176" s="117">
        <f t="shared" si="43"/>
        <v>0</v>
      </c>
      <c r="G176" s="117"/>
      <c r="H176" s="117"/>
      <c r="I176" s="117"/>
      <c r="J176" s="117"/>
      <c r="K176" s="117"/>
      <c r="L176" s="117"/>
      <c r="M176" s="117"/>
      <c r="N176" s="117"/>
      <c r="O176" s="117"/>
    </row>
    <row r="177" spans="1:15">
      <c r="A177" s="50" t="s">
        <v>103</v>
      </c>
      <c r="B177" s="96" t="str">
        <f t="shared" si="27"/>
        <v>100G PSM4</v>
      </c>
      <c r="C177" s="97" t="str">
        <f t="shared" si="27"/>
        <v>500 m</v>
      </c>
      <c r="D177" s="98" t="str">
        <f t="shared" si="27"/>
        <v>QSFP28</v>
      </c>
      <c r="E177" s="117">
        <f t="shared" ref="E177:O177" si="44">IF(E45=0,,E45*E111/10^6)</f>
        <v>67.773890240000014</v>
      </c>
      <c r="F177" s="117">
        <f t="shared" si="44"/>
        <v>158.09400299999999</v>
      </c>
      <c r="G177" s="117"/>
      <c r="H177" s="117"/>
      <c r="I177" s="117"/>
      <c r="J177" s="117"/>
      <c r="K177" s="117"/>
      <c r="L177" s="117"/>
      <c r="M177" s="117"/>
      <c r="N177" s="117"/>
      <c r="O177" s="117"/>
    </row>
    <row r="178" spans="1:15">
      <c r="A178" s="214" t="s">
        <v>104</v>
      </c>
      <c r="B178" s="96" t="str">
        <f t="shared" si="27"/>
        <v>100G DR/DR+</v>
      </c>
      <c r="C178" s="97" t="str">
        <f t="shared" si="27"/>
        <v>500m, 2km</v>
      </c>
      <c r="D178" s="98" t="str">
        <f t="shared" si="27"/>
        <v>QSFP28</v>
      </c>
      <c r="E178" s="117">
        <f t="shared" ref="E178:O178" si="45">IF(E46=0,,E46*E112/10^6)</f>
        <v>0</v>
      </c>
      <c r="F178" s="117">
        <f t="shared" si="45"/>
        <v>0</v>
      </c>
      <c r="G178" s="117"/>
      <c r="H178" s="117"/>
      <c r="I178" s="117"/>
      <c r="J178" s="117"/>
      <c r="K178" s="117"/>
      <c r="L178" s="117"/>
      <c r="M178" s="117"/>
      <c r="N178" s="117"/>
      <c r="O178" s="117"/>
    </row>
    <row r="179" spans="1:15">
      <c r="A179" s="214" t="s">
        <v>104</v>
      </c>
      <c r="B179" s="96" t="str">
        <f t="shared" si="27"/>
        <v>100G CWDM4-subspec</v>
      </c>
      <c r="C179" s="97" t="str">
        <f t="shared" si="27"/>
        <v>500 m</v>
      </c>
      <c r="D179" s="98" t="str">
        <f t="shared" si="27"/>
        <v>QSFP28</v>
      </c>
      <c r="E179" s="117">
        <f t="shared" ref="E179:O179" si="46">IF(E47=0,,E47*E113/10^6)</f>
        <v>55.125374999999998</v>
      </c>
      <c r="F179" s="117">
        <f t="shared" si="46"/>
        <v>307.53544499999998</v>
      </c>
      <c r="G179" s="117"/>
      <c r="H179" s="117"/>
      <c r="I179" s="117"/>
      <c r="J179" s="117"/>
      <c r="K179" s="117"/>
      <c r="L179" s="117"/>
      <c r="M179" s="117"/>
      <c r="N179" s="117"/>
      <c r="O179" s="117"/>
    </row>
    <row r="180" spans="1:15">
      <c r="A180" s="214" t="s">
        <v>104</v>
      </c>
      <c r="B180" s="96" t="str">
        <f t="shared" si="27"/>
        <v>100G CWDM4</v>
      </c>
      <c r="C180" s="97" t="str">
        <f t="shared" si="27"/>
        <v>2 km</v>
      </c>
      <c r="D180" s="98" t="str">
        <f t="shared" si="27"/>
        <v>QSFP28</v>
      </c>
      <c r="E180" s="117">
        <f t="shared" ref="E180:O180" si="47">IF(E48=0,,E48*E114/10^6)</f>
        <v>25.566254999999995</v>
      </c>
      <c r="F180" s="117">
        <f t="shared" si="47"/>
        <v>190.37908500000003</v>
      </c>
      <c r="G180" s="117"/>
      <c r="H180" s="117"/>
      <c r="I180" s="117"/>
      <c r="J180" s="117"/>
      <c r="K180" s="117"/>
      <c r="L180" s="117"/>
      <c r="M180" s="117"/>
      <c r="N180" s="117"/>
      <c r="O180" s="117"/>
    </row>
    <row r="181" spans="1:15">
      <c r="A181" s="214" t="s">
        <v>104</v>
      </c>
      <c r="B181" s="96" t="str">
        <f t="shared" ref="B181:D200" si="48">B49</f>
        <v>100G FR1</v>
      </c>
      <c r="C181" s="97" t="str">
        <f t="shared" si="48"/>
        <v>2 km</v>
      </c>
      <c r="D181" s="98" t="str">
        <f t="shared" si="48"/>
        <v>QSFP28</v>
      </c>
      <c r="E181" s="117">
        <f t="shared" ref="E181:O181" si="49">IF(E49=0,,E49*E115/10^6)</f>
        <v>0</v>
      </c>
      <c r="F181" s="117">
        <f t="shared" si="49"/>
        <v>0</v>
      </c>
      <c r="G181" s="117"/>
      <c r="H181" s="117"/>
      <c r="I181" s="117"/>
      <c r="J181" s="117"/>
      <c r="K181" s="117"/>
      <c r="L181" s="117"/>
      <c r="M181" s="117"/>
      <c r="N181" s="117"/>
      <c r="O181" s="117"/>
    </row>
    <row r="182" spans="1:15">
      <c r="A182" s="214" t="s">
        <v>104</v>
      </c>
      <c r="B182" s="96" t="str">
        <f t="shared" si="48"/>
        <v>100G LR4</v>
      </c>
      <c r="C182" s="97" t="str">
        <f t="shared" si="48"/>
        <v>10 km</v>
      </c>
      <c r="D182" s="98" t="str">
        <f t="shared" si="48"/>
        <v>CFP</v>
      </c>
      <c r="E182" s="117">
        <f t="shared" ref="E182:O182" si="50">IF(E50=0,,E50*E116/10^6)</f>
        <v>0</v>
      </c>
      <c r="F182" s="117">
        <f t="shared" si="50"/>
        <v>0</v>
      </c>
      <c r="G182" s="117"/>
      <c r="H182" s="117"/>
      <c r="I182" s="117"/>
      <c r="J182" s="117"/>
      <c r="K182" s="117"/>
      <c r="L182" s="117"/>
      <c r="M182" s="117"/>
      <c r="N182" s="117"/>
      <c r="O182" s="117"/>
    </row>
    <row r="183" spans="1:15">
      <c r="A183" s="214" t="s">
        <v>104</v>
      </c>
      <c r="B183" s="96" t="str">
        <f t="shared" si="48"/>
        <v>100G LR4</v>
      </c>
      <c r="C183" s="97" t="str">
        <f t="shared" si="48"/>
        <v>10 km</v>
      </c>
      <c r="D183" s="98" t="str">
        <f t="shared" si="48"/>
        <v>CFP2/4</v>
      </c>
      <c r="E183" s="117">
        <f t="shared" ref="E183:O183" si="51">IF(E51=0,,E51*E117/10^6)</f>
        <v>0</v>
      </c>
      <c r="F183" s="117">
        <f t="shared" si="51"/>
        <v>0</v>
      </c>
      <c r="G183" s="117"/>
      <c r="H183" s="117"/>
      <c r="I183" s="117"/>
      <c r="J183" s="117"/>
      <c r="K183" s="117"/>
      <c r="L183" s="117"/>
      <c r="M183" s="117"/>
      <c r="N183" s="117"/>
      <c r="O183" s="117"/>
    </row>
    <row r="184" spans="1:15">
      <c r="A184" s="214" t="s">
        <v>104</v>
      </c>
      <c r="B184" s="96" t="str">
        <f t="shared" si="48"/>
        <v>100G LR4 and LR1</v>
      </c>
      <c r="C184" s="97" t="str">
        <f t="shared" si="48"/>
        <v>10 km</v>
      </c>
      <c r="D184" s="98" t="str">
        <f t="shared" si="48"/>
        <v>QSFP28</v>
      </c>
      <c r="E184" s="117">
        <f t="shared" ref="E184:O184" si="52">IF(E52=0,,E52*E118/10^6)</f>
        <v>140.2336877730904</v>
      </c>
      <c r="F184" s="117">
        <f t="shared" si="52"/>
        <v>304.37567999999999</v>
      </c>
      <c r="G184" s="117"/>
      <c r="H184" s="117"/>
      <c r="I184" s="117"/>
      <c r="J184" s="117"/>
      <c r="K184" s="117"/>
      <c r="L184" s="117"/>
      <c r="M184" s="117"/>
      <c r="N184" s="117"/>
      <c r="O184" s="117"/>
    </row>
    <row r="185" spans="1:15">
      <c r="A185" s="214" t="s">
        <v>104</v>
      </c>
      <c r="B185" s="96" t="str">
        <f t="shared" si="48"/>
        <v>100G 4WDM10</v>
      </c>
      <c r="C185" s="97" t="str">
        <f t="shared" si="48"/>
        <v>10 km</v>
      </c>
      <c r="D185" s="98" t="str">
        <f t="shared" si="48"/>
        <v>QSFP28</v>
      </c>
      <c r="E185" s="117">
        <f t="shared" ref="E185:O185" si="53">IF(E53=0,,E53*E119/10^6)</f>
        <v>0</v>
      </c>
      <c r="F185" s="117">
        <f t="shared" si="53"/>
        <v>20.25</v>
      </c>
      <c r="G185" s="117"/>
      <c r="H185" s="117"/>
      <c r="I185" s="117"/>
      <c r="J185" s="117"/>
      <c r="K185" s="117"/>
      <c r="L185" s="117"/>
      <c r="M185" s="117"/>
      <c r="N185" s="117"/>
      <c r="O185" s="117"/>
    </row>
    <row r="186" spans="1:15" ht="12.5" customHeight="1">
      <c r="A186" s="214" t="s">
        <v>104</v>
      </c>
      <c r="B186" s="96" t="str">
        <f t="shared" si="48"/>
        <v>100G 4WDM20</v>
      </c>
      <c r="C186" s="97" t="str">
        <f t="shared" si="48"/>
        <v>20 km</v>
      </c>
      <c r="D186" s="98" t="str">
        <f t="shared" si="48"/>
        <v>QSFP28</v>
      </c>
      <c r="E186" s="117">
        <f t="shared" ref="E186:O186" si="54">IF(E54=0,,E54*E120/10^6)</f>
        <v>0</v>
      </c>
      <c r="F186" s="117">
        <f t="shared" si="54"/>
        <v>0</v>
      </c>
      <c r="G186" s="117"/>
      <c r="H186" s="117"/>
      <c r="I186" s="117"/>
      <c r="J186" s="117"/>
      <c r="K186" s="117"/>
      <c r="L186" s="117"/>
      <c r="M186" s="117"/>
      <c r="N186" s="117"/>
      <c r="O186" s="117"/>
    </row>
    <row r="187" spans="1:15" ht="12.5" customHeight="1">
      <c r="A187" s="214" t="s">
        <v>104</v>
      </c>
      <c r="B187" s="96" t="str">
        <f t="shared" si="48"/>
        <v>100G ER4-Lite</v>
      </c>
      <c r="C187" s="97" t="str">
        <f t="shared" si="48"/>
        <v>30 km</v>
      </c>
      <c r="D187" s="98" t="str">
        <f t="shared" si="48"/>
        <v>QSFP28</v>
      </c>
      <c r="E187" s="117">
        <f t="shared" ref="E187:O187" si="55">IF(E55=0,,E55*E121/10^6)</f>
        <v>0</v>
      </c>
      <c r="F187" s="117">
        <f t="shared" si="55"/>
        <v>0</v>
      </c>
      <c r="G187" s="117"/>
      <c r="H187" s="117"/>
      <c r="I187" s="117"/>
      <c r="J187" s="117"/>
      <c r="K187" s="117"/>
      <c r="L187" s="117"/>
      <c r="M187" s="117"/>
      <c r="N187" s="117"/>
      <c r="O187" s="117"/>
    </row>
    <row r="188" spans="1:15" ht="12.5" customHeight="1">
      <c r="A188" s="214" t="s">
        <v>104</v>
      </c>
      <c r="B188" s="96" t="str">
        <f t="shared" si="48"/>
        <v>100G ER4</v>
      </c>
      <c r="C188" s="97" t="str">
        <f t="shared" si="48"/>
        <v>40 km</v>
      </c>
      <c r="D188" s="98" t="str">
        <f t="shared" si="48"/>
        <v>QSFP28</v>
      </c>
      <c r="E188" s="117">
        <f t="shared" ref="E188:O188" si="56">IF(E56=0,,E56*E122/10^6)</f>
        <v>0</v>
      </c>
      <c r="F188" s="117">
        <f t="shared" si="56"/>
        <v>0</v>
      </c>
      <c r="G188" s="117"/>
      <c r="H188" s="117"/>
      <c r="I188" s="117"/>
      <c r="J188" s="117"/>
      <c r="K188" s="117"/>
      <c r="L188" s="117"/>
      <c r="M188" s="117"/>
      <c r="N188" s="117"/>
      <c r="O188" s="117"/>
    </row>
    <row r="189" spans="1:15">
      <c r="A189" s="214" t="s">
        <v>104</v>
      </c>
      <c r="B189" s="92" t="str">
        <f t="shared" si="48"/>
        <v>100G ZR4</v>
      </c>
      <c r="C189" s="93" t="str">
        <f t="shared" si="48"/>
        <v>80 km</v>
      </c>
      <c r="D189" s="94" t="str">
        <f t="shared" si="48"/>
        <v>QSFP28</v>
      </c>
      <c r="E189" s="116">
        <f t="shared" ref="E189:O189" si="57">IF(E57=0,,E57*E123/10^6)</f>
        <v>0</v>
      </c>
      <c r="F189" s="116">
        <f t="shared" si="57"/>
        <v>0</v>
      </c>
      <c r="G189" s="116"/>
      <c r="H189" s="116"/>
      <c r="I189" s="116"/>
      <c r="J189" s="116"/>
      <c r="K189" s="116"/>
      <c r="L189" s="116"/>
      <c r="M189" s="116"/>
      <c r="N189" s="116"/>
      <c r="O189" s="116"/>
    </row>
    <row r="190" spans="1:15">
      <c r="A190" s="50" t="s">
        <v>103</v>
      </c>
      <c r="B190" s="88" t="str">
        <f t="shared" si="48"/>
        <v>200G SR4</v>
      </c>
      <c r="C190" s="89" t="str">
        <f t="shared" si="48"/>
        <v>100 m</v>
      </c>
      <c r="D190" s="90" t="str">
        <f t="shared" si="48"/>
        <v>QSFP56</v>
      </c>
      <c r="E190" s="115">
        <f t="shared" ref="E190:O190" si="58">IF(E58=0,,E58*E124/10^6)</f>
        <v>0</v>
      </c>
      <c r="F190" s="115">
        <f t="shared" si="58"/>
        <v>0</v>
      </c>
      <c r="G190" s="115"/>
      <c r="H190" s="115"/>
      <c r="I190" s="115"/>
      <c r="J190" s="115"/>
      <c r="K190" s="115"/>
      <c r="L190" s="115"/>
      <c r="M190" s="115"/>
      <c r="N190" s="115"/>
      <c r="O190" s="115"/>
    </row>
    <row r="191" spans="1:15">
      <c r="A191" s="214" t="s">
        <v>104</v>
      </c>
      <c r="B191" s="96" t="str">
        <f t="shared" si="48"/>
        <v>2x200 (400G-SR8)</v>
      </c>
      <c r="C191" s="97" t="str">
        <f t="shared" si="48"/>
        <v>100 m</v>
      </c>
      <c r="D191" s="98" t="str">
        <f t="shared" si="48"/>
        <v>OSFP, QSFP-DD</v>
      </c>
      <c r="E191" s="117">
        <f t="shared" ref="E191:O191" si="59">IF(E59=0,,E59*E125/10^6)</f>
        <v>0</v>
      </c>
      <c r="F191" s="117">
        <f t="shared" si="59"/>
        <v>0</v>
      </c>
      <c r="G191" s="117"/>
      <c r="H191" s="117"/>
      <c r="I191" s="117"/>
      <c r="J191" s="117"/>
      <c r="K191" s="117"/>
      <c r="L191" s="117"/>
      <c r="M191" s="117"/>
      <c r="N191" s="117"/>
      <c r="O191" s="117"/>
    </row>
    <row r="192" spans="1:15">
      <c r="A192" s="214" t="s">
        <v>104</v>
      </c>
      <c r="B192" s="96" t="str">
        <f t="shared" si="48"/>
        <v>200G FR4</v>
      </c>
      <c r="C192" s="97" t="str">
        <f t="shared" si="48"/>
        <v>3 km</v>
      </c>
      <c r="D192" s="98" t="str">
        <f t="shared" si="48"/>
        <v>QSFP56</v>
      </c>
      <c r="E192" s="117">
        <f t="shared" ref="E192:O192" si="60">IF(E60=0,,E60*E126/10^6)</f>
        <v>0</v>
      </c>
      <c r="F192" s="117">
        <f t="shared" si="60"/>
        <v>0</v>
      </c>
      <c r="G192" s="117"/>
      <c r="H192" s="117"/>
      <c r="I192" s="117"/>
      <c r="J192" s="117"/>
      <c r="K192" s="117"/>
      <c r="L192" s="117"/>
      <c r="M192" s="117"/>
      <c r="N192" s="117"/>
      <c r="O192" s="117"/>
    </row>
    <row r="193" spans="1:15">
      <c r="A193" s="214" t="s">
        <v>104</v>
      </c>
      <c r="B193" s="92" t="str">
        <f t="shared" si="48"/>
        <v>2x(200G FR4)</v>
      </c>
      <c r="C193" s="93" t="str">
        <f t="shared" si="48"/>
        <v>2 km</v>
      </c>
      <c r="D193" s="94" t="str">
        <f t="shared" si="48"/>
        <v>OSFP</v>
      </c>
      <c r="E193" s="116">
        <f t="shared" ref="E193:O193" si="61">IF(E61=0,,E61*E127/10^6)</f>
        <v>0</v>
      </c>
      <c r="F193" s="116">
        <f t="shared" si="61"/>
        <v>0</v>
      </c>
      <c r="G193" s="116"/>
      <c r="H193" s="116"/>
      <c r="I193" s="116"/>
      <c r="J193" s="116"/>
      <c r="K193" s="116"/>
      <c r="L193" s="116"/>
      <c r="M193" s="116"/>
      <c r="N193" s="116"/>
      <c r="O193" s="116"/>
    </row>
    <row r="194" spans="1:15">
      <c r="A194" s="50" t="s">
        <v>103</v>
      </c>
      <c r="B194" s="88" t="str">
        <f t="shared" si="48"/>
        <v>400G SR4.2, SR4</v>
      </c>
      <c r="C194" s="89" t="str">
        <f t="shared" si="48"/>
        <v>100 m</v>
      </c>
      <c r="D194" s="90" t="str">
        <f t="shared" si="48"/>
        <v>OSFP, QSFP-DD, QSFP112</v>
      </c>
      <c r="E194" s="115">
        <f t="shared" ref="E194:O194" si="62">IF(E62=0,,E62*E128/10^6)</f>
        <v>0</v>
      </c>
      <c r="F194" s="115">
        <f t="shared" si="62"/>
        <v>0</v>
      </c>
      <c r="G194" s="115"/>
      <c r="H194" s="115"/>
      <c r="I194" s="115"/>
      <c r="J194" s="115"/>
      <c r="K194" s="115"/>
      <c r="L194" s="115"/>
      <c r="M194" s="115"/>
      <c r="N194" s="115"/>
      <c r="O194" s="115"/>
    </row>
    <row r="195" spans="1:15">
      <c r="A195" s="214" t="s">
        <v>104</v>
      </c>
      <c r="B195" s="96" t="str">
        <f t="shared" si="48"/>
        <v>400G DR4</v>
      </c>
      <c r="C195" s="97" t="str">
        <f t="shared" si="48"/>
        <v>500 m</v>
      </c>
      <c r="D195" s="98" t="str">
        <f t="shared" si="48"/>
        <v>OSFP, QSFP-DD, QSFP112</v>
      </c>
      <c r="E195" s="117">
        <f t="shared" ref="E195:O195" si="63">IF(E63=0,,E63*E129/10^6)</f>
        <v>0</v>
      </c>
      <c r="F195" s="117">
        <f t="shared" si="63"/>
        <v>0</v>
      </c>
      <c r="G195" s="117"/>
      <c r="H195" s="117"/>
      <c r="I195" s="117"/>
      <c r="J195" s="117"/>
      <c r="K195" s="117"/>
      <c r="L195" s="117"/>
      <c r="M195" s="117"/>
      <c r="N195" s="117"/>
      <c r="O195" s="117"/>
    </row>
    <row r="196" spans="1:15">
      <c r="A196" s="214" t="s">
        <v>104</v>
      </c>
      <c r="B196" s="96" t="str">
        <f t="shared" si="48"/>
        <v>400G FR4</v>
      </c>
      <c r="C196" s="97" t="str">
        <f t="shared" si="48"/>
        <v>2 km</v>
      </c>
      <c r="D196" s="98" t="str">
        <f t="shared" si="48"/>
        <v>OSFP, QSFP-DD, QSFP112</v>
      </c>
      <c r="E196" s="117">
        <f t="shared" ref="E196:O196" si="64">IF(E64=0,,E64*E130/10^6)</f>
        <v>0</v>
      </c>
      <c r="F196" s="117">
        <f t="shared" si="64"/>
        <v>8.1299999999999997E-2</v>
      </c>
      <c r="G196" s="117"/>
      <c r="H196" s="117"/>
      <c r="I196" s="117"/>
      <c r="J196" s="117"/>
      <c r="K196" s="117"/>
      <c r="L196" s="117"/>
      <c r="M196" s="117"/>
      <c r="N196" s="117"/>
      <c r="O196" s="117"/>
    </row>
    <row r="197" spans="1:15">
      <c r="A197" s="214" t="s">
        <v>104</v>
      </c>
      <c r="B197" s="92" t="str">
        <f t="shared" si="48"/>
        <v>400G LR4, LR8</v>
      </c>
      <c r="C197" s="93" t="str">
        <f t="shared" si="48"/>
        <v>10 km</v>
      </c>
      <c r="D197" s="94" t="str">
        <f t="shared" si="48"/>
        <v>OSFP, QSFP-DD, QSFP112</v>
      </c>
      <c r="E197" s="116">
        <f t="shared" ref="E197:O197" si="65">IF(E65=0,,E65*E131/10^6)</f>
        <v>0</v>
      </c>
      <c r="F197" s="116">
        <f t="shared" si="65"/>
        <v>0</v>
      </c>
      <c r="G197" s="116"/>
      <c r="H197" s="116"/>
      <c r="I197" s="116"/>
      <c r="J197" s="116"/>
      <c r="K197" s="116"/>
      <c r="L197" s="116"/>
      <c r="M197" s="116"/>
      <c r="N197" s="116"/>
      <c r="O197" s="116"/>
    </row>
    <row r="198" spans="1:15" s="101" customFormat="1">
      <c r="A198" s="50" t="s">
        <v>103</v>
      </c>
      <c r="B198" s="96" t="str">
        <f t="shared" si="48"/>
        <v>800G SR8</v>
      </c>
      <c r="C198" s="97" t="str">
        <f t="shared" si="48"/>
        <v>50 m</v>
      </c>
      <c r="D198" s="98" t="str">
        <f t="shared" si="48"/>
        <v>OSFP, QSFP-DD800</v>
      </c>
      <c r="E198" s="117">
        <f t="shared" ref="E198:O198" si="66">IF(E66=0,,E66*E132/10^6)</f>
        <v>0</v>
      </c>
      <c r="F198" s="117">
        <f t="shared" si="66"/>
        <v>0</v>
      </c>
      <c r="G198" s="117"/>
      <c r="H198" s="117"/>
      <c r="I198" s="117"/>
      <c r="J198" s="117"/>
      <c r="K198" s="117"/>
      <c r="L198" s="117"/>
      <c r="M198" s="117"/>
      <c r="N198" s="117"/>
      <c r="O198" s="117"/>
    </row>
    <row r="199" spans="1:15" s="101" customFormat="1">
      <c r="A199" s="214" t="s">
        <v>104</v>
      </c>
      <c r="B199" s="96" t="str">
        <f t="shared" si="48"/>
        <v>800G PSM8</v>
      </c>
      <c r="C199" s="97" t="str">
        <f t="shared" si="48"/>
        <v>500 m</v>
      </c>
      <c r="D199" s="98" t="str">
        <f t="shared" si="48"/>
        <v>OSFP, QSFP-DD800</v>
      </c>
      <c r="E199" s="117">
        <f t="shared" ref="E199:O199" si="67">IF(E67=0,,E67*E133/10^6)</f>
        <v>0</v>
      </c>
      <c r="F199" s="117">
        <f t="shared" si="67"/>
        <v>0</v>
      </c>
      <c r="G199" s="117"/>
      <c r="H199" s="117"/>
      <c r="I199" s="117"/>
      <c r="J199" s="117"/>
      <c r="K199" s="117"/>
      <c r="L199" s="117"/>
      <c r="M199" s="117"/>
      <c r="N199" s="117"/>
      <c r="O199" s="117"/>
    </row>
    <row r="200" spans="1:15" s="101" customFormat="1">
      <c r="A200" s="214" t="s">
        <v>104</v>
      </c>
      <c r="B200" s="96" t="str">
        <f t="shared" si="48"/>
        <v>2x(400G FR4)</v>
      </c>
      <c r="C200" s="97" t="str">
        <f t="shared" si="48"/>
        <v>2 km</v>
      </c>
      <c r="D200" s="98" t="str">
        <f t="shared" si="48"/>
        <v>OSFP, QSFP-DD800</v>
      </c>
      <c r="E200" s="117">
        <f t="shared" ref="E200:O200" si="68">IF(E68=0,,E68*E134/10^6)</f>
        <v>0</v>
      </c>
      <c r="F200" s="117">
        <f t="shared" si="68"/>
        <v>0</v>
      </c>
      <c r="G200" s="117"/>
      <c r="H200" s="117"/>
      <c r="I200" s="117"/>
      <c r="J200" s="117"/>
      <c r="K200" s="117"/>
      <c r="L200" s="117"/>
      <c r="M200" s="117"/>
      <c r="N200" s="117"/>
      <c r="O200" s="117"/>
    </row>
    <row r="201" spans="1:15" s="101" customFormat="1">
      <c r="A201" s="521"/>
      <c r="B201" s="92"/>
      <c r="C201" s="93"/>
      <c r="D201" s="94"/>
      <c r="E201" s="116"/>
      <c r="F201" s="116"/>
      <c r="G201" s="116"/>
      <c r="H201" s="116"/>
      <c r="I201" s="116"/>
      <c r="J201" s="116"/>
      <c r="K201" s="116"/>
      <c r="L201" s="116"/>
      <c r="M201" s="116"/>
      <c r="N201" s="116"/>
      <c r="O201" s="116"/>
    </row>
    <row r="202" spans="1:15">
      <c r="B202" s="51" t="s">
        <v>20</v>
      </c>
      <c r="C202" s="52"/>
      <c r="D202" s="53"/>
      <c r="E202" s="109">
        <f t="shared" ref="E202:O202" si="69">SUM(E141:E201)</f>
        <v>1117.8845272480094</v>
      </c>
      <c r="F202" s="109">
        <f t="shared" si="69"/>
        <v>1907.9773712813274</v>
      </c>
      <c r="G202" s="109"/>
      <c r="H202" s="109"/>
      <c r="I202" s="109"/>
      <c r="J202" s="109"/>
      <c r="K202" s="109"/>
      <c r="L202" s="109"/>
      <c r="M202" s="109"/>
      <c r="N202" s="109"/>
      <c r="O202" s="109"/>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Introduction</vt:lpstr>
      <vt:lpstr>Methodology</vt:lpstr>
      <vt:lpstr>Products</vt:lpstr>
      <vt:lpstr>Summary</vt:lpstr>
      <vt:lpstr>Dashboard</vt:lpstr>
      <vt:lpstr>Products x speed</vt:lpstr>
      <vt:lpstr>Telecom</vt:lpstr>
      <vt:lpstr>Enterprise</vt:lpstr>
      <vt:lpstr>Cloud</vt:lpstr>
      <vt:lpstr>Products x segment</vt:lpstr>
      <vt:lpstr>Segment dashbd</vt:lpstr>
      <vt:lpstr>112 Adoption</vt:lpstr>
      <vt:lpstr>Cost per Gbps</vt:lpstr>
      <vt:lpstr>Figures for Report</vt:lpstr>
      <vt:lpstr>PriceDCE</vt:lpstr>
      <vt:lpstr>PriceDCM</vt:lpstr>
      <vt:lpstr>PriceTEL</vt:lpstr>
      <vt:lpstr>RevDCE</vt:lpstr>
      <vt:lpstr>RevDCM</vt:lpstr>
      <vt:lpstr>Revenue</vt:lpstr>
      <vt:lpstr>RevTEL</vt:lpstr>
      <vt:lpstr>VolDCE</vt:lpstr>
      <vt:lpstr>VolDCM</vt:lpstr>
      <vt:lpstr>VolTEL</vt:lpstr>
      <vt:lpstr>Volume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LightCounting Forecasting</dc:title>
  <dc:creator>John Lively</dc:creator>
  <cp:lastModifiedBy>John Lively</cp:lastModifiedBy>
  <cp:lastPrinted>2014-02-18T16:48:58Z</cp:lastPrinted>
  <dcterms:created xsi:type="dcterms:W3CDTF">2009-02-04T20:40:14Z</dcterms:created>
  <dcterms:modified xsi:type="dcterms:W3CDTF">2021-03-26T16:52:35Z</dcterms:modified>
</cp:coreProperties>
</file>