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style1.xml" ContentType="application/vnd.ms-office.chartstyle+xml"/>
  <Override PartName="/xl/charts/colors1.xml" ContentType="application/vnd.ms-office.chartcolorstyle+xml"/>
  <Override PartName="/xl/charts/chart54.xml" ContentType="application/vnd.openxmlformats-officedocument.drawingml.chart+xml"/>
  <Override PartName="/xl/charts/style2.xml" ContentType="application/vnd.ms-office.chartstyle+xml"/>
  <Override PartName="/xl/charts/colors2.xml" ContentType="application/vnd.ms-office.chartcolorstyle+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charts/chart64.xml" ContentType="application/vnd.openxmlformats-officedocument.drawingml.chart+xml"/>
  <Override PartName="/xl/charts/style3.xml" ContentType="application/vnd.ms-office.chartstyle+xml"/>
  <Override PartName="/xl/charts/colors3.xml" ContentType="application/vnd.ms-office.chartcolorstyle+xml"/>
  <Override PartName="/xl/charts/chart6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8.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style5.xml" ContentType="application/vnd.ms-office.chartstyle+xml"/>
  <Override PartName="/xl/charts/colors5.xml" ContentType="application/vnd.ms-office.chartcolorstyle+xml"/>
  <Override PartName="/xl/charts/chart72.xml" ContentType="application/vnd.openxmlformats-officedocument.drawingml.chart+xml"/>
  <Override PartName="/xl/charts/style6.xml" ContentType="application/vnd.ms-office.chartstyle+xml"/>
  <Override PartName="/xl/charts/colors6.xml" ContentType="application/vnd.ms-office.chartcolorstyle+xml"/>
  <Override PartName="/xl/charts/chart73.xml" ContentType="application/vnd.openxmlformats-officedocument.drawingml.chart+xml"/>
  <Override PartName="/xl/charts/chart74.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drawings/drawing14.xml" ContentType="application/vnd.openxmlformats-officedocument.drawing+xml"/>
  <Override PartName="/xl/charts/chart96.xml" ContentType="application/vnd.openxmlformats-officedocument.drawingml.chart+xml"/>
  <Override PartName="/xl/drawings/drawing15.xml" ContentType="application/vnd.openxmlformats-officedocument.drawingml.chartshapes+xml"/>
  <Override PartName="/xl/charts/chart97.xml" ContentType="application/vnd.openxmlformats-officedocument.drawingml.chart+xml"/>
  <Override PartName="/xl/drawings/drawing16.xml" ContentType="application/vnd.openxmlformats-officedocument.drawingml.chartshapes+xml"/>
  <Override PartName="/xl/charts/chart98.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defaultThemeVersion="124226"/>
  <mc:AlternateContent xmlns:mc="http://schemas.openxmlformats.org/markup-compatibility/2006">
    <mc:Choice Requires="x15">
      <x15ac:absPath xmlns:x15ac="http://schemas.microsoft.com/office/spreadsheetml/2010/11/ac" url="C:\Users\Stelyana Baleva\LightCounting Dropbox\Stelyana Baleva\My PC (LAPTOP-JLAHF1NM)\Documents\Publishing\"/>
    </mc:Choice>
  </mc:AlternateContent>
  <xr:revisionPtr revIDLastSave="0" documentId="13_ncr:1_{7D4C5C78-19F2-4853-BA57-51F7618407F5}" xr6:coauthVersionLast="47" xr6:coauthVersionMax="47" xr10:uidLastSave="{00000000-0000-0000-0000-000000000000}"/>
  <bookViews>
    <workbookView xWindow="-108" yWindow="-108" windowWidth="30936" windowHeight="16776" tabRatio="788" xr2:uid="{00000000-000D-0000-FFFF-FFFF00000000}"/>
  </bookViews>
  <sheets>
    <sheet name="Introduction" sheetId="60" r:id="rId1"/>
    <sheet name="Methodology" sheetId="10" r:id="rId2"/>
    <sheet name="Products" sheetId="33" r:id="rId3"/>
    <sheet name="Summary" sheetId="96" r:id="rId4"/>
    <sheet name="Products x speed" sheetId="91" r:id="rId5"/>
    <sheet name="112 Adoption" sheetId="123" r:id="rId6"/>
    <sheet name="Cost per Gbps" sheetId="87" r:id="rId7"/>
    <sheet name="Figures for Report" sheetId="102" r:id="rId8"/>
    <sheet name="Telecom" sheetId="66" r:id="rId9"/>
    <sheet name="Enterprise" sheetId="69" r:id="rId10"/>
    <sheet name="Cloud" sheetId="68" r:id="rId11"/>
    <sheet name="Products x segment" sheetId="70" r:id="rId12"/>
    <sheet name="Segment dashbd" sheetId="71" r:id="rId13"/>
  </sheets>
  <externalReferences>
    <externalReference r:id="rId14"/>
  </externalReferences>
  <definedNames>
    <definedName name="Codes">[1]Ethernet!$AE$9:$AE$47</definedName>
    <definedName name="Comments">#REF!</definedName>
    <definedName name="Current_cell">!A1</definedName>
    <definedName name="Growthconstants">#REF!</definedName>
    <definedName name="PriceDCE">Enterprise!$B$94:$P$174</definedName>
    <definedName name="PriceDCM">Cloud!$B$94:$P$174</definedName>
    <definedName name="PriceTEL">Telecom!$B$94:$P$174</definedName>
    <definedName name="RevDCE">Enterprise!$B$179:$P$259</definedName>
    <definedName name="RevDCM">Cloud!$B$179:$P$259</definedName>
    <definedName name="Revenue">'Products x speed'!$B$201:$P$291</definedName>
    <definedName name="Revenue_new_forecast_model">#REF!</definedName>
    <definedName name="Revenue_Sep2021">#REF!</definedName>
    <definedName name="Revenues_Jul2021">#REF!</definedName>
    <definedName name="Revenues_July2020">#REF!</definedName>
    <definedName name="Revenues_Mar2020">#REF!</definedName>
    <definedName name="Revenues_Mar2021">#REF!</definedName>
    <definedName name="Revenues_Sep2020">#REF!</definedName>
    <definedName name="RevTEL">Telecom!$B$179:$P$259</definedName>
    <definedName name="VolDCE">Enterprise!$B$9:$P$89</definedName>
    <definedName name="VolDCM">Cloud!$B$9:$P$89</definedName>
    <definedName name="VolTEL">Telecom!$B$9:$P$89</definedName>
    <definedName name="Volume">'Products x speed'!$B$9:$P$99</definedName>
    <definedName name="Volume_Jul2021">#REF!</definedName>
    <definedName name="Volume_July2020">#REF!</definedName>
    <definedName name="Volume_Mar2020">#REF!</definedName>
    <definedName name="Volume_Mar2021">#REF!</definedName>
    <definedName name="Volume_new_forecast_model">#REF!</definedName>
    <definedName name="Volume_Sep2020">#REF!</definedName>
    <definedName name="Volume_Sep2021">#REF!</definedName>
    <definedName name="Waterfall_ASP">#REF!</definedName>
    <definedName name="Waterfall_rev">#REF!</definedName>
    <definedName name="Waterfall_vo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8" i="87" l="1"/>
  <c r="T38" i="87"/>
  <c r="S39" i="87"/>
  <c r="T39" i="87"/>
  <c r="S40" i="87"/>
  <c r="T40" i="87"/>
  <c r="V38" i="87" l="1"/>
  <c r="V39" i="87"/>
  <c r="N495" i="96"/>
  <c r="N496" i="96"/>
  <c r="N581" i="96"/>
  <c r="F193" i="68" l="1"/>
  <c r="G193" i="68"/>
  <c r="E193" i="68"/>
  <c r="E183" i="68"/>
  <c r="Q30" i="66"/>
  <c r="J110" i="87" l="1"/>
  <c r="I110" i="87"/>
  <c r="H110" i="87"/>
  <c r="G110" i="87"/>
  <c r="F110" i="87"/>
  <c r="E110" i="87"/>
  <c r="B146" i="96" l="1"/>
  <c r="B129" i="96"/>
  <c r="C129" i="96"/>
  <c r="D129" i="96"/>
  <c r="F927" i="96"/>
  <c r="E927" i="96"/>
  <c r="D927" i="96"/>
  <c r="B927" i="96"/>
  <c r="B920" i="96"/>
  <c r="F913" i="96"/>
  <c r="F920" i="96" s="1"/>
  <c r="P166" i="87"/>
  <c r="O166" i="87"/>
  <c r="N166" i="87"/>
  <c r="M166" i="87"/>
  <c r="L166" i="87"/>
  <c r="K166" i="87"/>
  <c r="P165" i="87"/>
  <c r="O165" i="87"/>
  <c r="N165" i="87"/>
  <c r="M165" i="87"/>
  <c r="L165" i="87"/>
  <c r="K165" i="87"/>
  <c r="P164" i="87"/>
  <c r="O164" i="87"/>
  <c r="N164" i="87"/>
  <c r="M164" i="87"/>
  <c r="L164" i="87"/>
  <c r="K164" i="87"/>
  <c r="S163" i="87"/>
  <c r="R163" i="87"/>
  <c r="Q163" i="87"/>
  <c r="P163" i="87"/>
  <c r="O163" i="87"/>
  <c r="N163" i="87"/>
  <c r="M163" i="87"/>
  <c r="L163" i="87"/>
  <c r="K163" i="87"/>
  <c r="Q162" i="87"/>
  <c r="P162" i="87"/>
  <c r="O162" i="87"/>
  <c r="N162" i="87"/>
  <c r="M162" i="87"/>
  <c r="L162" i="87"/>
  <c r="K162" i="87"/>
  <c r="P161" i="87"/>
  <c r="O161" i="87"/>
  <c r="N161" i="87"/>
  <c r="M161" i="87"/>
  <c r="L161" i="87"/>
  <c r="K161" i="87"/>
  <c r="O160" i="87"/>
  <c r="N160" i="87"/>
  <c r="M160" i="87"/>
  <c r="L160" i="87"/>
  <c r="K160" i="87"/>
  <c r="O159" i="87"/>
  <c r="N159" i="87"/>
  <c r="M159" i="87"/>
  <c r="L159" i="87"/>
  <c r="K159" i="87"/>
  <c r="O158" i="87"/>
  <c r="N158" i="87"/>
  <c r="M158" i="87"/>
  <c r="L158" i="87"/>
  <c r="K158" i="87"/>
  <c r="O109" i="87"/>
  <c r="P109" i="87"/>
  <c r="Q109" i="87"/>
  <c r="R109" i="87"/>
  <c r="S109" i="87"/>
  <c r="T109" i="87"/>
  <c r="U109" i="87"/>
  <c r="V109" i="87"/>
  <c r="D913" i="96" l="1"/>
  <c r="D920" i="96" s="1"/>
  <c r="G913" i="96"/>
  <c r="E913" i="96"/>
  <c r="E920" i="96" s="1"/>
  <c r="H913" i="96"/>
  <c r="I913" i="96"/>
  <c r="J913" i="96"/>
  <c r="G920" i="96" l="1"/>
  <c r="K173" i="87" l="1"/>
  <c r="L173" i="87"/>
  <c r="M173" i="87"/>
  <c r="N173" i="87"/>
  <c r="O173" i="87"/>
  <c r="P173" i="87"/>
  <c r="K167" i="87"/>
  <c r="L167" i="87"/>
  <c r="M167" i="87"/>
  <c r="N167" i="87"/>
  <c r="O167" i="87"/>
  <c r="P167" i="87"/>
  <c r="K168" i="87"/>
  <c r="L168" i="87"/>
  <c r="M168" i="87"/>
  <c r="N168" i="87"/>
  <c r="O168" i="87"/>
  <c r="P168" i="87"/>
  <c r="K169" i="87"/>
  <c r="L169" i="87"/>
  <c r="M169" i="87"/>
  <c r="N169" i="87"/>
  <c r="O169" i="87"/>
  <c r="P169" i="87"/>
  <c r="K170" i="87"/>
  <c r="L170" i="87"/>
  <c r="M170" i="87"/>
  <c r="N170" i="87"/>
  <c r="O170" i="87"/>
  <c r="P170" i="87"/>
  <c r="K171" i="87"/>
  <c r="L171" i="87"/>
  <c r="M171" i="87"/>
  <c r="N171" i="87"/>
  <c r="O171" i="87"/>
  <c r="P171" i="87"/>
  <c r="K172" i="87"/>
  <c r="L172" i="87"/>
  <c r="M172" i="87"/>
  <c r="N172" i="87"/>
  <c r="O172" i="87"/>
  <c r="P172" i="87"/>
  <c r="B39" i="91" l="1"/>
  <c r="C39" i="91"/>
  <c r="C231" i="91" s="1"/>
  <c r="D39" i="91"/>
  <c r="D231" i="91" s="1"/>
  <c r="B40" i="91"/>
  <c r="C40" i="91"/>
  <c r="C232" i="91" s="1"/>
  <c r="D40" i="91"/>
  <c r="D232" i="91" s="1"/>
  <c r="C135" i="91" l="1"/>
  <c r="B232" i="91"/>
  <c r="B231" i="91"/>
  <c r="D136" i="91"/>
  <c r="D135" i="91"/>
  <c r="B136" i="91"/>
  <c r="B135" i="91"/>
  <c r="C136" i="91"/>
  <c r="H873" i="96"/>
  <c r="B137" i="96"/>
  <c r="B138" i="96"/>
  <c r="B139" i="96"/>
  <c r="B140" i="96"/>
  <c r="B141" i="96"/>
  <c r="B142" i="96"/>
  <c r="B143" i="96"/>
  <c r="B144" i="96"/>
  <c r="B145" i="96"/>
  <c r="A231" i="68" l="1"/>
  <c r="A233" i="68"/>
  <c r="A234" i="68"/>
  <c r="A241" i="68"/>
  <c r="A71" i="68" s="1"/>
  <c r="B71" i="69" l="1"/>
  <c r="B241" i="69" s="1"/>
  <c r="C71" i="69"/>
  <c r="C156" i="69" s="1"/>
  <c r="D71" i="69"/>
  <c r="D156" i="69" s="1"/>
  <c r="B71" i="68"/>
  <c r="B156" i="68" s="1"/>
  <c r="C71" i="68"/>
  <c r="C241" i="68" s="1"/>
  <c r="D71" i="68"/>
  <c r="D241" i="68" s="1"/>
  <c r="B71" i="66"/>
  <c r="C71" i="66"/>
  <c r="C241" i="66" s="1"/>
  <c r="D71" i="66"/>
  <c r="D241" i="66" s="1"/>
  <c r="B61" i="69"/>
  <c r="B146" i="69" s="1"/>
  <c r="C61" i="69"/>
  <c r="C231" i="69" s="1"/>
  <c r="D61" i="69"/>
  <c r="D231" i="69" s="1"/>
  <c r="B61" i="68"/>
  <c r="B231" i="68" s="1"/>
  <c r="C61" i="68"/>
  <c r="C146" i="68" s="1"/>
  <c r="D61" i="68"/>
  <c r="D146" i="68" s="1"/>
  <c r="B61" i="66"/>
  <c r="C61" i="66"/>
  <c r="C146" i="66" s="1"/>
  <c r="D61" i="66"/>
  <c r="D146" i="66" s="1"/>
  <c r="B63" i="69"/>
  <c r="B148" i="69" s="1"/>
  <c r="C63" i="69"/>
  <c r="C148" i="69" s="1"/>
  <c r="D63" i="69"/>
  <c r="D233" i="69" s="1"/>
  <c r="B64" i="69"/>
  <c r="B149" i="69" s="1"/>
  <c r="C64" i="69"/>
  <c r="C234" i="69" s="1"/>
  <c r="D64" i="69"/>
  <c r="D234" i="69" s="1"/>
  <c r="B63" i="68"/>
  <c r="B233" i="68" s="1"/>
  <c r="C63" i="68"/>
  <c r="C233" i="68" s="1"/>
  <c r="D63" i="68"/>
  <c r="D148" i="68" s="1"/>
  <c r="B64" i="68"/>
  <c r="B234" i="68" s="1"/>
  <c r="C64" i="68"/>
  <c r="C149" i="68" s="1"/>
  <c r="D64" i="68"/>
  <c r="D149" i="68" s="1"/>
  <c r="B63" i="66"/>
  <c r="C63" i="66"/>
  <c r="C148" i="66" s="1"/>
  <c r="D63" i="66"/>
  <c r="D233" i="66" s="1"/>
  <c r="B64" i="66"/>
  <c r="C64" i="66"/>
  <c r="C149" i="66" s="1"/>
  <c r="D64" i="66"/>
  <c r="D149" i="66" s="1"/>
  <c r="E156" i="69"/>
  <c r="E156" i="68"/>
  <c r="D156" i="66"/>
  <c r="D146" i="69"/>
  <c r="E146" i="69"/>
  <c r="F146" i="69"/>
  <c r="E146" i="68"/>
  <c r="F146" i="68"/>
  <c r="E148" i="69"/>
  <c r="F148" i="69"/>
  <c r="E149" i="69"/>
  <c r="F149" i="69"/>
  <c r="C148" i="68"/>
  <c r="E148" i="68"/>
  <c r="F148" i="68"/>
  <c r="B149" i="68"/>
  <c r="E149" i="68"/>
  <c r="F149" i="68"/>
  <c r="D148" i="66"/>
  <c r="D830" i="96"/>
  <c r="E830" i="96"/>
  <c r="B61" i="91"/>
  <c r="C61" i="91"/>
  <c r="C147" i="87" s="1"/>
  <c r="D61" i="91"/>
  <c r="D147" i="87" s="1"/>
  <c r="K147" i="87"/>
  <c r="L147" i="87"/>
  <c r="M147" i="87"/>
  <c r="N147" i="87"/>
  <c r="O147" i="87"/>
  <c r="R147" i="87"/>
  <c r="S147" i="87"/>
  <c r="T147" i="87"/>
  <c r="U147" i="87"/>
  <c r="V147" i="87"/>
  <c r="B62" i="91"/>
  <c r="C62" i="91"/>
  <c r="C148" i="87" s="1"/>
  <c r="D62" i="91"/>
  <c r="D148" i="87" s="1"/>
  <c r="K148" i="87"/>
  <c r="L148" i="87"/>
  <c r="B63" i="91"/>
  <c r="C63" i="91"/>
  <c r="C149" i="87" s="1"/>
  <c r="D63" i="91"/>
  <c r="D149" i="87" s="1"/>
  <c r="K149" i="87"/>
  <c r="L149" i="87"/>
  <c r="M149" i="87"/>
  <c r="N149" i="87"/>
  <c r="O149" i="87"/>
  <c r="R149" i="87"/>
  <c r="S149" i="87"/>
  <c r="T149" i="87"/>
  <c r="U149" i="87"/>
  <c r="V149" i="87"/>
  <c r="B64" i="91"/>
  <c r="C64" i="91"/>
  <c r="C150" i="87" s="1"/>
  <c r="D64" i="91"/>
  <c r="D150" i="87" s="1"/>
  <c r="K150" i="87"/>
  <c r="L150" i="87"/>
  <c r="M150" i="87"/>
  <c r="N150" i="87"/>
  <c r="O150" i="87"/>
  <c r="B65" i="91"/>
  <c r="B257" i="91" s="1"/>
  <c r="C65" i="91"/>
  <c r="C151" i="87" s="1"/>
  <c r="D65" i="91"/>
  <c r="D151" i="87" s="1"/>
  <c r="K151" i="87"/>
  <c r="L151" i="87"/>
  <c r="B66" i="91"/>
  <c r="C66" i="91"/>
  <c r="D66" i="91"/>
  <c r="B67" i="91"/>
  <c r="C67" i="91"/>
  <c r="C153" i="87" s="1"/>
  <c r="D67" i="91"/>
  <c r="D153" i="87" s="1"/>
  <c r="K153" i="87"/>
  <c r="L153" i="87"/>
  <c r="B68" i="91"/>
  <c r="C68" i="91"/>
  <c r="C154" i="87" s="1"/>
  <c r="D68" i="91"/>
  <c r="D154" i="87" s="1"/>
  <c r="K154" i="87"/>
  <c r="L154" i="87"/>
  <c r="B69" i="91"/>
  <c r="C69" i="91"/>
  <c r="C155" i="87" s="1"/>
  <c r="D69" i="91"/>
  <c r="D155" i="87" s="1"/>
  <c r="K155" i="87"/>
  <c r="B70" i="91"/>
  <c r="C70" i="91"/>
  <c r="C156" i="87" s="1"/>
  <c r="D70" i="91"/>
  <c r="D156" i="87" s="1"/>
  <c r="K156" i="87"/>
  <c r="L156" i="87"/>
  <c r="M156" i="87"/>
  <c r="B71" i="91"/>
  <c r="C71" i="91"/>
  <c r="C157" i="87" s="1"/>
  <c r="D71" i="91"/>
  <c r="D157" i="87" s="1"/>
  <c r="K157" i="87"/>
  <c r="L157" i="87"/>
  <c r="M157" i="87"/>
  <c r="N157" i="87"/>
  <c r="O157" i="87"/>
  <c r="B260" i="91"/>
  <c r="D149" i="69" l="1"/>
  <c r="C231" i="68"/>
  <c r="B148" i="68"/>
  <c r="B146" i="68"/>
  <c r="C156" i="68"/>
  <c r="C259" i="91"/>
  <c r="Q147" i="87"/>
  <c r="Q149" i="87"/>
  <c r="C241" i="69"/>
  <c r="D234" i="68"/>
  <c r="B234" i="69"/>
  <c r="D156" i="68"/>
  <c r="B263" i="91"/>
  <c r="B808" i="96" s="1"/>
  <c r="B830" i="96" s="1"/>
  <c r="B153" i="87"/>
  <c r="B148" i="87"/>
  <c r="B154" i="87"/>
  <c r="B149" i="87"/>
  <c r="B155" i="87"/>
  <c r="B147" i="87"/>
  <c r="B156" i="87"/>
  <c r="B151" i="87"/>
  <c r="B150" i="87"/>
  <c r="D148" i="69"/>
  <c r="C152" i="87"/>
  <c r="L152" i="87"/>
  <c r="K152" i="87"/>
  <c r="B231" i="66"/>
  <c r="Q61" i="66"/>
  <c r="B233" i="66"/>
  <c r="Q63" i="66"/>
  <c r="B241" i="66"/>
  <c r="Q71" i="66"/>
  <c r="B259" i="91"/>
  <c r="B149" i="66"/>
  <c r="Q64" i="66"/>
  <c r="C258" i="91"/>
  <c r="C156" i="66"/>
  <c r="C149" i="69"/>
  <c r="N156" i="87"/>
  <c r="D233" i="68"/>
  <c r="B231" i="69"/>
  <c r="B148" i="66"/>
  <c r="C146" i="69"/>
  <c r="B156" i="66"/>
  <c r="M155" i="87"/>
  <c r="M148" i="87"/>
  <c r="L155" i="87"/>
  <c r="G285" i="96"/>
  <c r="N151" i="87"/>
  <c r="N154" i="87"/>
  <c r="N153" i="87"/>
  <c r="F285" i="96"/>
  <c r="N152" i="87"/>
  <c r="M151" i="87"/>
  <c r="P149" i="87"/>
  <c r="N155" i="87"/>
  <c r="M154" i="87"/>
  <c r="M153" i="87"/>
  <c r="E285" i="96"/>
  <c r="M152" i="87"/>
  <c r="N148" i="87"/>
  <c r="P147" i="87"/>
  <c r="C254" i="91"/>
  <c r="C233" i="69"/>
  <c r="B241" i="68"/>
  <c r="B261" i="91"/>
  <c r="B254" i="91"/>
  <c r="B233" i="69"/>
  <c r="D241" i="69"/>
  <c r="B146" i="66"/>
  <c r="C257" i="91"/>
  <c r="D231" i="68"/>
  <c r="D259" i="91"/>
  <c r="D257" i="91"/>
  <c r="C233" i="66"/>
  <c r="D234" i="66"/>
  <c r="C234" i="66"/>
  <c r="B234" i="66"/>
  <c r="D231" i="66"/>
  <c r="B157" i="91"/>
  <c r="B255" i="91"/>
  <c r="D256" i="91"/>
  <c r="D159" i="91"/>
  <c r="C256" i="91"/>
  <c r="B253" i="91"/>
  <c r="C159" i="91"/>
  <c r="C160" i="91"/>
  <c r="F808" i="96"/>
  <c r="F819" i="96" s="1"/>
  <c r="D260" i="91"/>
  <c r="D261" i="91"/>
  <c r="C260" i="91"/>
  <c r="B167" i="91"/>
  <c r="B157" i="87"/>
  <c r="D255" i="91"/>
  <c r="B256" i="91"/>
  <c r="D253" i="91"/>
  <c r="D263" i="91"/>
  <c r="C262" i="91"/>
  <c r="B159" i="91"/>
  <c r="D157" i="91"/>
  <c r="C167" i="91"/>
  <c r="C234" i="68"/>
  <c r="C231" i="66"/>
  <c r="C261" i="91"/>
  <c r="D254" i="91"/>
  <c r="G808" i="96"/>
  <c r="G819" i="96" s="1"/>
  <c r="B258" i="91"/>
  <c r="B152" i="87"/>
  <c r="F233" i="68"/>
  <c r="C255" i="91"/>
  <c r="C253" i="91"/>
  <c r="C263" i="91"/>
  <c r="B262" i="91"/>
  <c r="D160" i="91"/>
  <c r="C157" i="91"/>
  <c r="E808" i="96"/>
  <c r="E819" i="96" s="1"/>
  <c r="D152" i="87"/>
  <c r="D262" i="91"/>
  <c r="B160" i="91"/>
  <c r="D167" i="91"/>
  <c r="B156" i="69"/>
  <c r="D258" i="91"/>
  <c r="E96" i="91"/>
  <c r="D228" i="96"/>
  <c r="E126" i="96"/>
  <c r="D227" i="96"/>
  <c r="D126" i="96"/>
  <c r="D155" i="96" s="1"/>
  <c r="E144" i="96"/>
  <c r="D144" i="96"/>
  <c r="D159" i="96" s="1"/>
  <c r="F167" i="91"/>
  <c r="F156" i="68" s="1"/>
  <c r="D808" i="96"/>
  <c r="E228" i="96"/>
  <c r="E227" i="96"/>
  <c r="G96" i="91"/>
  <c r="E234" i="66"/>
  <c r="F96" i="91"/>
  <c r="G231" i="68"/>
  <c r="G231" i="66"/>
  <c r="G157" i="91"/>
  <c r="G288" i="91"/>
  <c r="F231" i="68"/>
  <c r="F231" i="66"/>
  <c r="E241" i="66"/>
  <c r="F234" i="66"/>
  <c r="E233" i="68"/>
  <c r="E233" i="66"/>
  <c r="G241" i="66"/>
  <c r="G233" i="66"/>
  <c r="G233" i="68"/>
  <c r="E231" i="66"/>
  <c r="E231" i="68"/>
  <c r="E288" i="91"/>
  <c r="G234" i="66"/>
  <c r="F241" i="66"/>
  <c r="G159" i="91"/>
  <c r="G160" i="91"/>
  <c r="G167" i="91"/>
  <c r="F233" i="66"/>
  <c r="F288" i="91"/>
  <c r="B819" i="96" l="1"/>
  <c r="Q150" i="87"/>
  <c r="E234" i="68"/>
  <c r="F156" i="69"/>
  <c r="P150" i="87"/>
  <c r="P157" i="87"/>
  <c r="I808" i="96"/>
  <c r="H808" i="96"/>
  <c r="H819" i="96" s="1"/>
  <c r="G149" i="69"/>
  <c r="G149" i="68"/>
  <c r="G148" i="69"/>
  <c r="G148" i="68"/>
  <c r="F241" i="68"/>
  <c r="G241" i="68"/>
  <c r="E241" i="68"/>
  <c r="G146" i="68"/>
  <c r="G146" i="69"/>
  <c r="G156" i="69"/>
  <c r="G156" i="68"/>
  <c r="R150" i="87"/>
  <c r="Q157" i="87" l="1"/>
  <c r="I819" i="96"/>
  <c r="J808" i="96"/>
  <c r="S150" i="87"/>
  <c r="R157" i="87" l="1"/>
  <c r="J819" i="96"/>
  <c r="K808" i="96"/>
  <c r="T150" i="87"/>
  <c r="L808" i="96"/>
  <c r="S157" i="87" l="1"/>
  <c r="K819" i="96"/>
  <c r="T157" i="87"/>
  <c r="U150" i="87" l="1"/>
  <c r="L819" i="96"/>
  <c r="M808" i="96"/>
  <c r="V150" i="87"/>
  <c r="N808" i="96"/>
  <c r="N819" i="96" s="1"/>
  <c r="A179" i="68" l="1"/>
  <c r="A9" i="68" s="1"/>
  <c r="A180" i="68"/>
  <c r="A10" i="68" s="1"/>
  <c r="A181" i="68"/>
  <c r="A11" i="68" s="1"/>
  <c r="A182" i="68"/>
  <c r="A12" i="68" s="1"/>
  <c r="A183" i="68"/>
  <c r="A13" i="68" s="1"/>
  <c r="A184" i="68"/>
  <c r="A14" i="68" s="1"/>
  <c r="A185" i="68"/>
  <c r="A15" i="68" s="1"/>
  <c r="A186" i="68"/>
  <c r="A16" i="68" s="1"/>
  <c r="A187" i="68"/>
  <c r="A17" i="68" s="1"/>
  <c r="A188" i="68"/>
  <c r="A18" i="68" s="1"/>
  <c r="A189" i="68"/>
  <c r="A19" i="68" s="1"/>
  <c r="A190" i="68"/>
  <c r="A20" i="68" s="1"/>
  <c r="A191" i="68"/>
  <c r="A21" i="68" s="1"/>
  <c r="A192" i="68"/>
  <c r="A22" i="68" s="1"/>
  <c r="A193" i="68"/>
  <c r="A23" i="68" s="1"/>
  <c r="A194" i="68"/>
  <c r="A24" i="68" s="1"/>
  <c r="A195" i="68"/>
  <c r="A25" i="68" s="1"/>
  <c r="A196" i="68"/>
  <c r="A26" i="68" s="1"/>
  <c r="A197" i="68"/>
  <c r="A27" i="68" s="1"/>
  <c r="A198" i="68"/>
  <c r="A28" i="68" s="1"/>
  <c r="A199" i="68"/>
  <c r="A29" i="68" s="1"/>
  <c r="A200" i="68"/>
  <c r="A30" i="68" s="1"/>
  <c r="A201" i="68"/>
  <c r="A31" i="68" s="1"/>
  <c r="A202" i="68"/>
  <c r="A32" i="68" s="1"/>
  <c r="A203" i="68"/>
  <c r="A33" i="68" s="1"/>
  <c r="A204" i="68"/>
  <c r="A34" i="68" s="1"/>
  <c r="A205" i="68"/>
  <c r="A35" i="68" s="1"/>
  <c r="A206" i="68"/>
  <c r="A36" i="68" s="1"/>
  <c r="A207" i="68"/>
  <c r="A37" i="68" s="1"/>
  <c r="A208" i="68"/>
  <c r="A38" i="68" s="1"/>
  <c r="A209" i="68"/>
  <c r="A39" i="68" s="1"/>
  <c r="A210" i="68"/>
  <c r="A40" i="68" s="1"/>
  <c r="A211" i="68"/>
  <c r="A41" i="68" s="1"/>
  <c r="A212" i="68"/>
  <c r="A42" i="68" s="1"/>
  <c r="A213" i="68"/>
  <c r="A43" i="68" s="1"/>
  <c r="A214" i="68"/>
  <c r="A44" i="68" s="1"/>
  <c r="A215" i="68"/>
  <c r="A45" i="68" s="1"/>
  <c r="A216" i="68"/>
  <c r="A46" i="68" s="1"/>
  <c r="A217" i="68"/>
  <c r="A47" i="68" s="1"/>
  <c r="A218" i="68"/>
  <c r="A48" i="68" s="1"/>
  <c r="A219" i="68"/>
  <c r="A49" i="68" s="1"/>
  <c r="A220" i="68"/>
  <c r="A50" i="68" s="1"/>
  <c r="A221" i="68"/>
  <c r="A51" i="68" s="1"/>
  <c r="A222" i="68"/>
  <c r="A52" i="68" s="1"/>
  <c r="A223" i="68"/>
  <c r="A53" i="68" s="1"/>
  <c r="A224" i="68"/>
  <c r="A54" i="68" s="1"/>
  <c r="A225" i="68"/>
  <c r="A55" i="68" s="1"/>
  <c r="A226" i="68"/>
  <c r="A56" i="68" s="1"/>
  <c r="A227" i="68"/>
  <c r="A57" i="68" s="1"/>
  <c r="A228" i="68"/>
  <c r="A58" i="68" s="1"/>
  <c r="A229" i="68"/>
  <c r="A59" i="68" s="1"/>
  <c r="A230" i="68"/>
  <c r="A60" i="68" s="1"/>
  <c r="A232" i="68"/>
  <c r="A62" i="68" s="1"/>
  <c r="A235" i="68"/>
  <c r="A65" i="68" s="1"/>
  <c r="A236" i="68"/>
  <c r="A66" i="68" s="1"/>
  <c r="A237" i="68"/>
  <c r="A67" i="68" s="1"/>
  <c r="A238" i="68"/>
  <c r="A68" i="68" s="1"/>
  <c r="A239" i="68"/>
  <c r="A69" i="68" s="1"/>
  <c r="A240" i="68"/>
  <c r="A70" i="68" s="1"/>
  <c r="A242" i="68"/>
  <c r="A72" i="68" s="1"/>
  <c r="A243" i="68"/>
  <c r="A73" i="68" s="1"/>
  <c r="A244" i="68"/>
  <c r="A74" i="68" s="1"/>
  <c r="A245" i="68"/>
  <c r="A75" i="68" s="1"/>
  <c r="A246" i="68"/>
  <c r="A76" i="68" s="1"/>
  <c r="A247" i="68"/>
  <c r="A77" i="68" s="1"/>
  <c r="F97" i="91" l="1"/>
  <c r="G97" i="91"/>
  <c r="E97" i="91"/>
  <c r="B194" i="91" l="1"/>
  <c r="C194" i="91"/>
  <c r="D194" i="91"/>
  <c r="E194" i="91"/>
  <c r="F194" i="91"/>
  <c r="G194" i="91"/>
  <c r="B195" i="91"/>
  <c r="C195" i="91"/>
  <c r="D195" i="91"/>
  <c r="E195" i="91"/>
  <c r="F195" i="91"/>
  <c r="G195" i="91"/>
  <c r="E160" i="69"/>
  <c r="F160" i="69"/>
  <c r="E161" i="69"/>
  <c r="F161" i="69"/>
  <c r="E162" i="69"/>
  <c r="F162" i="69"/>
  <c r="E163" i="69"/>
  <c r="F163" i="69"/>
  <c r="E164" i="69"/>
  <c r="F164" i="69"/>
  <c r="E165" i="69"/>
  <c r="F165" i="69"/>
  <c r="E166" i="69"/>
  <c r="F166" i="69"/>
  <c r="E167" i="69"/>
  <c r="F167" i="69"/>
  <c r="E168" i="69"/>
  <c r="F168" i="69"/>
  <c r="E169" i="69"/>
  <c r="F169" i="69"/>
  <c r="E170" i="69"/>
  <c r="F170" i="69"/>
  <c r="E171" i="69"/>
  <c r="F171" i="69"/>
  <c r="E172" i="69"/>
  <c r="F172" i="69"/>
  <c r="E173" i="69"/>
  <c r="F173" i="69"/>
  <c r="E160" i="68"/>
  <c r="F160" i="68"/>
  <c r="E161" i="68"/>
  <c r="F161" i="68"/>
  <c r="E162" i="68"/>
  <c r="F162" i="68"/>
  <c r="E163" i="68"/>
  <c r="F163" i="68"/>
  <c r="E164" i="68"/>
  <c r="F164" i="68"/>
  <c r="E165" i="68"/>
  <c r="F165" i="68"/>
  <c r="E166" i="68"/>
  <c r="F166" i="68"/>
  <c r="E167" i="68"/>
  <c r="F167" i="68"/>
  <c r="E168" i="68"/>
  <c r="F168" i="68"/>
  <c r="E169" i="68"/>
  <c r="F169" i="68"/>
  <c r="E170" i="68"/>
  <c r="F170" i="68"/>
  <c r="E171" i="68"/>
  <c r="F171" i="68"/>
  <c r="E172" i="68"/>
  <c r="F172" i="68"/>
  <c r="E173" i="68"/>
  <c r="F173" i="68"/>
  <c r="B75" i="69"/>
  <c r="B245" i="69" s="1"/>
  <c r="C75" i="69"/>
  <c r="C245" i="69" s="1"/>
  <c r="D75" i="69"/>
  <c r="D245" i="69" s="1"/>
  <c r="E245" i="69"/>
  <c r="F245" i="69"/>
  <c r="G245" i="69"/>
  <c r="B76" i="69"/>
  <c r="B246" i="69" s="1"/>
  <c r="C76" i="69"/>
  <c r="C246" i="69" s="1"/>
  <c r="D76" i="69"/>
  <c r="D246" i="69" s="1"/>
  <c r="E246" i="69"/>
  <c r="F246" i="69"/>
  <c r="G246" i="69"/>
  <c r="B77" i="69"/>
  <c r="B247" i="69" s="1"/>
  <c r="C77" i="69"/>
  <c r="C247" i="69" s="1"/>
  <c r="D77" i="69"/>
  <c r="D247" i="69" s="1"/>
  <c r="E247" i="69"/>
  <c r="F247" i="69"/>
  <c r="G247" i="69"/>
  <c r="B78" i="69"/>
  <c r="B248" i="69" s="1"/>
  <c r="C78" i="69"/>
  <c r="C248" i="69" s="1"/>
  <c r="D78" i="69"/>
  <c r="D248" i="69" s="1"/>
  <c r="E248" i="69"/>
  <c r="F248" i="69"/>
  <c r="G248" i="69"/>
  <c r="B79" i="69"/>
  <c r="B249" i="69" s="1"/>
  <c r="C79" i="69"/>
  <c r="C249" i="69" s="1"/>
  <c r="D79" i="69"/>
  <c r="D249" i="69" s="1"/>
  <c r="E249" i="69"/>
  <c r="F249" i="69"/>
  <c r="G249" i="69"/>
  <c r="B80" i="69"/>
  <c r="B250" i="69" s="1"/>
  <c r="C80" i="69"/>
  <c r="C250" i="69" s="1"/>
  <c r="D80" i="69"/>
  <c r="D250" i="69" s="1"/>
  <c r="E250" i="69"/>
  <c r="F250" i="69"/>
  <c r="G250" i="69"/>
  <c r="B81" i="69"/>
  <c r="B251" i="69" s="1"/>
  <c r="C81" i="69"/>
  <c r="C251" i="69" s="1"/>
  <c r="D81" i="69"/>
  <c r="D251" i="69" s="1"/>
  <c r="E251" i="69"/>
  <c r="F251" i="69"/>
  <c r="G251" i="69"/>
  <c r="B82" i="69"/>
  <c r="B252" i="69" s="1"/>
  <c r="C82" i="69"/>
  <c r="C252" i="69" s="1"/>
  <c r="D82" i="69"/>
  <c r="D252" i="69" s="1"/>
  <c r="E252" i="69"/>
  <c r="F252" i="69"/>
  <c r="G252" i="69"/>
  <c r="B83" i="69"/>
  <c r="B253" i="69" s="1"/>
  <c r="C83" i="69"/>
  <c r="C253" i="69" s="1"/>
  <c r="D83" i="69"/>
  <c r="D253" i="69" s="1"/>
  <c r="E253" i="69"/>
  <c r="F253" i="69"/>
  <c r="G253" i="69"/>
  <c r="B84" i="69"/>
  <c r="B254" i="69" s="1"/>
  <c r="C84" i="69"/>
  <c r="C254" i="69" s="1"/>
  <c r="D84" i="69"/>
  <c r="D254" i="69" s="1"/>
  <c r="E254" i="69"/>
  <c r="F254" i="69"/>
  <c r="G254" i="69"/>
  <c r="B85" i="69"/>
  <c r="B255" i="69" s="1"/>
  <c r="C85" i="69"/>
  <c r="C255" i="69" s="1"/>
  <c r="D85" i="69"/>
  <c r="D255" i="69" s="1"/>
  <c r="E255" i="69"/>
  <c r="F255" i="69"/>
  <c r="G255" i="69"/>
  <c r="B86" i="69"/>
  <c r="B256" i="69" s="1"/>
  <c r="C86" i="69"/>
  <c r="C256" i="69" s="1"/>
  <c r="D86" i="69"/>
  <c r="D256" i="69" s="1"/>
  <c r="E256" i="69"/>
  <c r="F256" i="69"/>
  <c r="G256" i="69"/>
  <c r="B87" i="69"/>
  <c r="B257" i="69" s="1"/>
  <c r="C87" i="69"/>
  <c r="C257" i="69" s="1"/>
  <c r="D87" i="69"/>
  <c r="D257" i="69" s="1"/>
  <c r="E257" i="69"/>
  <c r="F257" i="69"/>
  <c r="G257" i="69"/>
  <c r="B75" i="68"/>
  <c r="B245" i="68" s="1"/>
  <c r="C75" i="68"/>
  <c r="C245" i="68" s="1"/>
  <c r="D75" i="68"/>
  <c r="D245" i="68" s="1"/>
  <c r="B76" i="68"/>
  <c r="B246" i="68" s="1"/>
  <c r="C76" i="68"/>
  <c r="C246" i="68" s="1"/>
  <c r="D76" i="68"/>
  <c r="D246" i="68" s="1"/>
  <c r="B77" i="68"/>
  <c r="B247" i="68" s="1"/>
  <c r="C77" i="68"/>
  <c r="C247" i="68" s="1"/>
  <c r="D77" i="68"/>
  <c r="D247" i="68" s="1"/>
  <c r="B78" i="68"/>
  <c r="B248" i="68" s="1"/>
  <c r="C78" i="68"/>
  <c r="C248" i="68" s="1"/>
  <c r="D78" i="68"/>
  <c r="D248" i="68" s="1"/>
  <c r="B79" i="68"/>
  <c r="B249" i="68" s="1"/>
  <c r="C79" i="68"/>
  <c r="C249" i="68" s="1"/>
  <c r="D79" i="68"/>
  <c r="D249" i="68" s="1"/>
  <c r="B80" i="68"/>
  <c r="B250" i="68" s="1"/>
  <c r="C80" i="68"/>
  <c r="C250" i="68" s="1"/>
  <c r="D80" i="68"/>
  <c r="D250" i="68" s="1"/>
  <c r="B81" i="68"/>
  <c r="B251" i="68" s="1"/>
  <c r="C81" i="68"/>
  <c r="C251" i="68" s="1"/>
  <c r="D81" i="68"/>
  <c r="D251" i="68" s="1"/>
  <c r="B82" i="68"/>
  <c r="B252" i="68" s="1"/>
  <c r="C82" i="68"/>
  <c r="C252" i="68" s="1"/>
  <c r="D82" i="68"/>
  <c r="D252" i="68" s="1"/>
  <c r="B83" i="68"/>
  <c r="B253" i="68" s="1"/>
  <c r="C83" i="68"/>
  <c r="C253" i="68" s="1"/>
  <c r="D83" i="68"/>
  <c r="D253" i="68" s="1"/>
  <c r="B84" i="68"/>
  <c r="B254" i="68" s="1"/>
  <c r="C84" i="68"/>
  <c r="C254" i="68" s="1"/>
  <c r="D84" i="68"/>
  <c r="D254" i="68" s="1"/>
  <c r="B85" i="68"/>
  <c r="B255" i="68" s="1"/>
  <c r="C85" i="68"/>
  <c r="C255" i="68" s="1"/>
  <c r="D85" i="68"/>
  <c r="D255" i="68" s="1"/>
  <c r="B86" i="68"/>
  <c r="B256" i="68" s="1"/>
  <c r="C86" i="68"/>
  <c r="C256" i="68" s="1"/>
  <c r="D86" i="68"/>
  <c r="D256" i="68" s="1"/>
  <c r="B87" i="68"/>
  <c r="B257" i="68" s="1"/>
  <c r="C87" i="68"/>
  <c r="C257" i="68" s="1"/>
  <c r="D87" i="68"/>
  <c r="D257" i="68" s="1"/>
  <c r="B75" i="66"/>
  <c r="C75" i="66"/>
  <c r="C245" i="66" s="1"/>
  <c r="D75" i="66"/>
  <c r="D245" i="66" s="1"/>
  <c r="E245" i="66"/>
  <c r="F245" i="66"/>
  <c r="G245" i="66"/>
  <c r="B76" i="66"/>
  <c r="C76" i="66"/>
  <c r="C246" i="66" s="1"/>
  <c r="D76" i="66"/>
  <c r="D246" i="66" s="1"/>
  <c r="E246" i="66"/>
  <c r="F246" i="66"/>
  <c r="G246" i="66"/>
  <c r="B77" i="66"/>
  <c r="C77" i="66"/>
  <c r="C247" i="66" s="1"/>
  <c r="D77" i="66"/>
  <c r="D247" i="66" s="1"/>
  <c r="E247" i="66"/>
  <c r="F247" i="66"/>
  <c r="G247" i="66"/>
  <c r="B78" i="66"/>
  <c r="C78" i="66"/>
  <c r="C248" i="66" s="1"/>
  <c r="D78" i="66"/>
  <c r="D248" i="66" s="1"/>
  <c r="E248" i="66"/>
  <c r="F248" i="66"/>
  <c r="G248" i="66"/>
  <c r="B79" i="66"/>
  <c r="C79" i="66"/>
  <c r="C249" i="66" s="1"/>
  <c r="D79" i="66"/>
  <c r="D249" i="66" s="1"/>
  <c r="E249" i="66"/>
  <c r="F249" i="66"/>
  <c r="G249" i="66"/>
  <c r="B80" i="66"/>
  <c r="C80" i="66"/>
  <c r="C250" i="66" s="1"/>
  <c r="D80" i="66"/>
  <c r="D250" i="66" s="1"/>
  <c r="E250" i="66"/>
  <c r="F250" i="66"/>
  <c r="G250" i="66"/>
  <c r="B81" i="66"/>
  <c r="C81" i="66"/>
  <c r="C251" i="66" s="1"/>
  <c r="D81" i="66"/>
  <c r="D251" i="66" s="1"/>
  <c r="E251" i="66"/>
  <c r="F251" i="66"/>
  <c r="G251" i="66"/>
  <c r="B82" i="66"/>
  <c r="C82" i="66"/>
  <c r="C252" i="66" s="1"/>
  <c r="D82" i="66"/>
  <c r="D252" i="66" s="1"/>
  <c r="E252" i="66"/>
  <c r="F252" i="66"/>
  <c r="G252" i="66"/>
  <c r="B83" i="66"/>
  <c r="C83" i="66"/>
  <c r="C253" i="66" s="1"/>
  <c r="D83" i="66"/>
  <c r="D253" i="66" s="1"/>
  <c r="E253" i="66"/>
  <c r="F253" i="66"/>
  <c r="G253" i="66"/>
  <c r="B84" i="66"/>
  <c r="C84" i="66"/>
  <c r="C254" i="66" s="1"/>
  <c r="D84" i="66"/>
  <c r="D254" i="66" s="1"/>
  <c r="E254" i="66"/>
  <c r="F254" i="66"/>
  <c r="G254" i="66"/>
  <c r="B85" i="66"/>
  <c r="C85" i="66"/>
  <c r="C255" i="66" s="1"/>
  <c r="D85" i="66"/>
  <c r="D255" i="66" s="1"/>
  <c r="E255" i="66"/>
  <c r="F255" i="66"/>
  <c r="G255" i="66"/>
  <c r="B86" i="66"/>
  <c r="C86" i="66"/>
  <c r="C256" i="66" s="1"/>
  <c r="D86" i="66"/>
  <c r="D256" i="66" s="1"/>
  <c r="E256" i="66"/>
  <c r="F256" i="66"/>
  <c r="G256" i="66"/>
  <c r="B87" i="66"/>
  <c r="C87" i="66"/>
  <c r="C257" i="66" s="1"/>
  <c r="D87" i="66"/>
  <c r="D257" i="66" s="1"/>
  <c r="E257" i="66"/>
  <c r="F257" i="66"/>
  <c r="G257" i="66"/>
  <c r="D161" i="69"/>
  <c r="B162" i="69"/>
  <c r="B163" i="69"/>
  <c r="B165" i="69"/>
  <c r="C165" i="69"/>
  <c r="D165" i="69"/>
  <c r="C166" i="69"/>
  <c r="D168" i="69"/>
  <c r="D169" i="69"/>
  <c r="C170" i="69"/>
  <c r="B171" i="69"/>
  <c r="C160" i="68"/>
  <c r="D164" i="68"/>
  <c r="C165" i="68"/>
  <c r="C167" i="68"/>
  <c r="D167" i="68"/>
  <c r="C169" i="68"/>
  <c r="B170" i="68"/>
  <c r="D172" i="68"/>
  <c r="D163" i="66"/>
  <c r="C172" i="66"/>
  <c r="G171" i="91"/>
  <c r="G160" i="69" s="1"/>
  <c r="G172" i="91"/>
  <c r="G161" i="69" s="1"/>
  <c r="G173" i="91"/>
  <c r="G162" i="69" s="1"/>
  <c r="G174" i="91"/>
  <c r="G163" i="69" s="1"/>
  <c r="G175" i="91"/>
  <c r="G164" i="69" s="1"/>
  <c r="G176" i="91"/>
  <c r="G165" i="69" s="1"/>
  <c r="G177" i="91"/>
  <c r="G166" i="69" s="1"/>
  <c r="G178" i="91"/>
  <c r="G167" i="69" s="1"/>
  <c r="G179" i="91"/>
  <c r="G168" i="69" s="1"/>
  <c r="G180" i="91"/>
  <c r="G169" i="69" s="1"/>
  <c r="G181" i="91"/>
  <c r="G170" i="69" s="1"/>
  <c r="G182" i="91"/>
  <c r="G171" i="69" s="1"/>
  <c r="G183" i="91"/>
  <c r="G172" i="69" s="1"/>
  <c r="Q166" i="87"/>
  <c r="R166" i="87"/>
  <c r="Q167" i="87"/>
  <c r="R167" i="87"/>
  <c r="S167" i="87"/>
  <c r="T167" i="87"/>
  <c r="U167" i="87"/>
  <c r="V167" i="87"/>
  <c r="Q168" i="87"/>
  <c r="R168" i="87"/>
  <c r="S168" i="87"/>
  <c r="T168" i="87"/>
  <c r="U168" i="87"/>
  <c r="V168" i="87"/>
  <c r="Q169" i="87"/>
  <c r="R169" i="87"/>
  <c r="S169" i="87"/>
  <c r="T169" i="87"/>
  <c r="U169" i="87"/>
  <c r="V169" i="87"/>
  <c r="Q170" i="87"/>
  <c r="R170" i="87"/>
  <c r="S170" i="87"/>
  <c r="T170" i="87"/>
  <c r="U170" i="87"/>
  <c r="V170" i="87"/>
  <c r="Q171" i="87"/>
  <c r="R171" i="87"/>
  <c r="S171" i="87"/>
  <c r="T171" i="87"/>
  <c r="U171" i="87"/>
  <c r="V171" i="87"/>
  <c r="Q172" i="87"/>
  <c r="R172" i="87"/>
  <c r="S172" i="87"/>
  <c r="T172" i="87"/>
  <c r="U172" i="87"/>
  <c r="V172" i="87"/>
  <c r="Q173" i="87"/>
  <c r="R173" i="87"/>
  <c r="S173" i="87"/>
  <c r="T173" i="87"/>
  <c r="U173" i="87"/>
  <c r="V173" i="87"/>
  <c r="B75" i="91"/>
  <c r="C75" i="91"/>
  <c r="C161" i="87" s="1"/>
  <c r="D75" i="91"/>
  <c r="D161" i="87" s="1"/>
  <c r="B76" i="91"/>
  <c r="C76" i="91"/>
  <c r="D76" i="91"/>
  <c r="B77" i="91"/>
  <c r="C77" i="91"/>
  <c r="D77" i="91"/>
  <c r="B78" i="91"/>
  <c r="C78" i="91"/>
  <c r="D78" i="91"/>
  <c r="B79" i="91"/>
  <c r="C79" i="91"/>
  <c r="D79" i="91"/>
  <c r="B80" i="91"/>
  <c r="C80" i="91"/>
  <c r="D80" i="91"/>
  <c r="B81" i="91"/>
  <c r="C81" i="91"/>
  <c r="D81" i="91"/>
  <c r="B82" i="91"/>
  <c r="C82" i="91"/>
  <c r="D82" i="91"/>
  <c r="B83" i="91"/>
  <c r="C83" i="91"/>
  <c r="D83" i="91"/>
  <c r="B84" i="91"/>
  <c r="C84" i="91"/>
  <c r="D84" i="91"/>
  <c r="B85" i="91"/>
  <c r="C85" i="91"/>
  <c r="D85" i="91"/>
  <c r="B86" i="91"/>
  <c r="C86" i="91"/>
  <c r="D86" i="91"/>
  <c r="B87" i="91"/>
  <c r="C87" i="91"/>
  <c r="D87" i="91"/>
  <c r="D167" i="66" l="1"/>
  <c r="D160" i="68"/>
  <c r="C164" i="68"/>
  <c r="D168" i="68"/>
  <c r="B161" i="87"/>
  <c r="V163" i="87"/>
  <c r="N873" i="96"/>
  <c r="R165" i="87"/>
  <c r="Q165" i="87"/>
  <c r="B256" i="66"/>
  <c r="Q86" i="66"/>
  <c r="B252" i="66"/>
  <c r="Q82" i="66"/>
  <c r="B248" i="66"/>
  <c r="Q78" i="66"/>
  <c r="B910" i="96" s="1"/>
  <c r="B255" i="66"/>
  <c r="Q85" i="66"/>
  <c r="B251" i="66"/>
  <c r="Q81" i="66"/>
  <c r="B247" i="66"/>
  <c r="Q77" i="66"/>
  <c r="B863" i="96" s="1"/>
  <c r="B254" i="66"/>
  <c r="Q84" i="66"/>
  <c r="B250" i="66"/>
  <c r="Q80" i="66"/>
  <c r="B912" i="96" s="1"/>
  <c r="B246" i="66"/>
  <c r="Q76" i="66"/>
  <c r="B862" i="96" s="1"/>
  <c r="B257" i="66"/>
  <c r="Q87" i="66"/>
  <c r="B253" i="66"/>
  <c r="Q83" i="66"/>
  <c r="B249" i="66"/>
  <c r="Q79" i="66"/>
  <c r="B911" i="96" s="1"/>
  <c r="B245" i="66"/>
  <c r="Q75" i="66"/>
  <c r="B861" i="96" s="1"/>
  <c r="C163" i="66"/>
  <c r="B169" i="68"/>
  <c r="D163" i="68"/>
  <c r="D162" i="66"/>
  <c r="D171" i="68"/>
  <c r="B161" i="68"/>
  <c r="C172" i="69"/>
  <c r="D164" i="69"/>
  <c r="B161" i="69"/>
  <c r="C172" i="68"/>
  <c r="D172" i="69"/>
  <c r="B170" i="69"/>
  <c r="B166" i="69"/>
  <c r="C167" i="66"/>
  <c r="B160" i="66"/>
  <c r="C168" i="68"/>
  <c r="C169" i="69"/>
  <c r="D160" i="69"/>
  <c r="R164" i="87"/>
  <c r="L292" i="96"/>
  <c r="E119" i="102"/>
  <c r="Q164" i="87"/>
  <c r="K292" i="96"/>
  <c r="D170" i="68"/>
  <c r="C164" i="66"/>
  <c r="B161" i="66"/>
  <c r="B167" i="69"/>
  <c r="B166" i="68"/>
  <c r="B165" i="68"/>
  <c r="B164" i="66"/>
  <c r="U163" i="87"/>
  <c r="T163" i="87"/>
  <c r="C161" i="69"/>
  <c r="B167" i="66"/>
  <c r="B169" i="66"/>
  <c r="D170" i="66"/>
  <c r="C168" i="66"/>
  <c r="B165" i="66"/>
  <c r="D161" i="66"/>
  <c r="C279" i="91"/>
  <c r="C173" i="87"/>
  <c r="B274" i="91"/>
  <c r="B168" i="87"/>
  <c r="B270" i="91"/>
  <c r="B164" i="87"/>
  <c r="D279" i="91"/>
  <c r="D173" i="87"/>
  <c r="C278" i="91"/>
  <c r="C172" i="87"/>
  <c r="B277" i="91"/>
  <c r="B171" i="87"/>
  <c r="D275" i="91"/>
  <c r="D169" i="87"/>
  <c r="C274" i="91"/>
  <c r="C168" i="87"/>
  <c r="B273" i="91"/>
  <c r="B167" i="87"/>
  <c r="D271" i="91"/>
  <c r="D165" i="87"/>
  <c r="C270" i="91"/>
  <c r="C164" i="87"/>
  <c r="B269" i="91"/>
  <c r="B163" i="87"/>
  <c r="B171" i="66"/>
  <c r="D165" i="66"/>
  <c r="C162" i="66"/>
  <c r="C171" i="68"/>
  <c r="B164" i="68"/>
  <c r="B169" i="69"/>
  <c r="D163" i="69"/>
  <c r="C275" i="91"/>
  <c r="C169" i="87"/>
  <c r="D268" i="91"/>
  <c r="D162" i="87"/>
  <c r="B278" i="91"/>
  <c r="B172" i="87"/>
  <c r="D272" i="91"/>
  <c r="D166" i="87"/>
  <c r="B279" i="91"/>
  <c r="B173" i="87"/>
  <c r="D277" i="91"/>
  <c r="D171" i="87"/>
  <c r="C276" i="91"/>
  <c r="C170" i="87"/>
  <c r="B275" i="91"/>
  <c r="B169" i="87"/>
  <c r="D273" i="91"/>
  <c r="D167" i="87"/>
  <c r="C272" i="91"/>
  <c r="C166" i="87"/>
  <c r="B271" i="91"/>
  <c r="B165" i="87"/>
  <c r="D269" i="91"/>
  <c r="D163" i="87"/>
  <c r="C268" i="91"/>
  <c r="C162" i="87"/>
  <c r="M873" i="96"/>
  <c r="I873" i="96"/>
  <c r="B172" i="66"/>
  <c r="C170" i="66"/>
  <c r="B168" i="66"/>
  <c r="D166" i="66"/>
  <c r="B163" i="66"/>
  <c r="B172" i="68"/>
  <c r="D166" i="68"/>
  <c r="C163" i="68"/>
  <c r="D171" i="69"/>
  <c r="C168" i="69"/>
  <c r="D276" i="91"/>
  <c r="D170" i="87"/>
  <c r="C271" i="91"/>
  <c r="C165" i="87"/>
  <c r="D278" i="91"/>
  <c r="D172" i="87"/>
  <c r="C277" i="91"/>
  <c r="C171" i="87"/>
  <c r="B276" i="91"/>
  <c r="B170" i="87"/>
  <c r="D274" i="91"/>
  <c r="D168" i="87"/>
  <c r="C273" i="91"/>
  <c r="C167" i="87"/>
  <c r="B272" i="91"/>
  <c r="B166" i="87"/>
  <c r="D270" i="91"/>
  <c r="D164" i="87"/>
  <c r="C269" i="91"/>
  <c r="C163" i="87"/>
  <c r="B268" i="91"/>
  <c r="B162" i="87"/>
  <c r="C171" i="66"/>
  <c r="D169" i="66"/>
  <c r="C166" i="66"/>
  <c r="B168" i="68"/>
  <c r="D162" i="68"/>
  <c r="B160" i="68"/>
  <c r="D167" i="69"/>
  <c r="C164" i="69"/>
  <c r="C160" i="69"/>
  <c r="C162" i="69"/>
  <c r="B162" i="68"/>
  <c r="C161" i="68"/>
  <c r="C160" i="66"/>
  <c r="L873" i="96"/>
  <c r="C267" i="91"/>
  <c r="B267" i="91"/>
  <c r="D267" i="91"/>
  <c r="B170" i="66"/>
  <c r="D168" i="66"/>
  <c r="B166" i="66"/>
  <c r="D164" i="66"/>
  <c r="B162" i="66"/>
  <c r="D160" i="66"/>
  <c r="B171" i="68"/>
  <c r="D169" i="68"/>
  <c r="B167" i="68"/>
  <c r="D165" i="68"/>
  <c r="B163" i="68"/>
  <c r="D161" i="68"/>
  <c r="B172" i="69"/>
  <c r="D170" i="69"/>
  <c r="B168" i="69"/>
  <c r="D166" i="69"/>
  <c r="B164" i="69"/>
  <c r="D162" i="69"/>
  <c r="B160" i="69"/>
  <c r="D172" i="66"/>
  <c r="C169" i="66"/>
  <c r="C165" i="66"/>
  <c r="C161" i="66"/>
  <c r="C170" i="68"/>
  <c r="C166" i="68"/>
  <c r="C162" i="68"/>
  <c r="C171" i="69"/>
  <c r="C167" i="69"/>
  <c r="C163" i="69"/>
  <c r="G257" i="68"/>
  <c r="E255" i="68"/>
  <c r="F254" i="68"/>
  <c r="G253" i="68"/>
  <c r="E251" i="68"/>
  <c r="F250" i="68"/>
  <c r="G249" i="68"/>
  <c r="E247" i="68"/>
  <c r="F246" i="68"/>
  <c r="G245" i="68"/>
  <c r="F257" i="68"/>
  <c r="G256" i="68"/>
  <c r="E254" i="68"/>
  <c r="F253" i="68"/>
  <c r="G252" i="68"/>
  <c r="E250" i="68"/>
  <c r="F249" i="68"/>
  <c r="G248" i="68"/>
  <c r="E246" i="68"/>
  <c r="F245" i="68"/>
  <c r="E257" i="68"/>
  <c r="F256" i="68"/>
  <c r="G255" i="68"/>
  <c r="E253" i="68"/>
  <c r="F252" i="68"/>
  <c r="G251" i="68"/>
  <c r="E249" i="68"/>
  <c r="F248" i="68"/>
  <c r="G247" i="68"/>
  <c r="E245" i="68"/>
  <c r="E256" i="68"/>
  <c r="F255" i="68"/>
  <c r="G254" i="68"/>
  <c r="E252" i="68"/>
  <c r="F251" i="68"/>
  <c r="G250" i="68"/>
  <c r="E248" i="68"/>
  <c r="F247" i="68"/>
  <c r="G246" i="68"/>
  <c r="G171" i="68"/>
  <c r="G167" i="68"/>
  <c r="G163" i="68"/>
  <c r="G170" i="68"/>
  <c r="G166" i="68"/>
  <c r="G162" i="68"/>
  <c r="G169" i="68"/>
  <c r="G165" i="68"/>
  <c r="G161" i="68"/>
  <c r="G172" i="68"/>
  <c r="G168" i="68"/>
  <c r="G164" i="68"/>
  <c r="G160" i="68"/>
  <c r="D171" i="66"/>
  <c r="B182" i="91"/>
  <c r="C181" i="91"/>
  <c r="D180" i="91"/>
  <c r="B178" i="91"/>
  <c r="C177" i="91"/>
  <c r="D176" i="91"/>
  <c r="B174" i="91"/>
  <c r="C173" i="91"/>
  <c r="D172" i="91"/>
  <c r="D183" i="91"/>
  <c r="B181" i="91"/>
  <c r="C180" i="91"/>
  <c r="D179" i="91"/>
  <c r="B177" i="91"/>
  <c r="C176" i="91"/>
  <c r="D175" i="91"/>
  <c r="B173" i="91"/>
  <c r="C172" i="91"/>
  <c r="D171" i="91"/>
  <c r="C183" i="91"/>
  <c r="D182" i="91"/>
  <c r="B180" i="91"/>
  <c r="C179" i="91"/>
  <c r="D178" i="91"/>
  <c r="B176" i="91"/>
  <c r="C175" i="91"/>
  <c r="D174" i="91"/>
  <c r="B172" i="91"/>
  <c r="C171" i="91"/>
  <c r="B183" i="91"/>
  <c r="C182" i="91"/>
  <c r="D181" i="91"/>
  <c r="B179" i="91"/>
  <c r="C178" i="91"/>
  <c r="D177" i="91"/>
  <c r="B175" i="91"/>
  <c r="C174" i="91"/>
  <c r="D173" i="91"/>
  <c r="B171" i="91"/>
  <c r="L913" i="96" l="1"/>
  <c r="K913" i="96"/>
  <c r="B919" i="96"/>
  <c r="B926" i="96"/>
  <c r="B925" i="96"/>
  <c r="B918" i="96"/>
  <c r="B924" i="96"/>
  <c r="B917" i="96"/>
  <c r="B882" i="96"/>
  <c r="B872" i="96"/>
  <c r="B881" i="96"/>
  <c r="B871" i="96"/>
  <c r="B873" i="96"/>
  <c r="B883" i="96"/>
  <c r="L150" i="102" l="1"/>
  <c r="M150" i="102"/>
  <c r="U38" i="87" l="1"/>
  <c r="C668" i="96" l="1"/>
  <c r="D664" i="96"/>
  <c r="C664" i="96"/>
  <c r="D661" i="96"/>
  <c r="C661" i="96"/>
  <c r="B673" i="96"/>
  <c r="M495" i="96"/>
  <c r="M496" i="96"/>
  <c r="M581" i="96"/>
  <c r="B57" i="69" l="1"/>
  <c r="B227" i="69" s="1"/>
  <c r="C57" i="69"/>
  <c r="C142" i="69" s="1"/>
  <c r="D57" i="69"/>
  <c r="D142" i="69" s="1"/>
  <c r="B58" i="69"/>
  <c r="B228" i="69" s="1"/>
  <c r="C58" i="69"/>
  <c r="C228" i="69" s="1"/>
  <c r="D58" i="69"/>
  <c r="D143" i="69" s="1"/>
  <c r="B57" i="68"/>
  <c r="B142" i="68" s="1"/>
  <c r="C57" i="68"/>
  <c r="C227" i="68" s="1"/>
  <c r="D57" i="68"/>
  <c r="D227" i="68" s="1"/>
  <c r="B58" i="68"/>
  <c r="B143" i="68" s="1"/>
  <c r="C58" i="68"/>
  <c r="C143" i="68" s="1"/>
  <c r="D58" i="68"/>
  <c r="D228" i="68" s="1"/>
  <c r="B57" i="66"/>
  <c r="C57" i="66"/>
  <c r="C142" i="66" s="1"/>
  <c r="D57" i="66"/>
  <c r="D142" i="66" s="1"/>
  <c r="B58" i="66"/>
  <c r="C58" i="66"/>
  <c r="C228" i="66" s="1"/>
  <c r="D58" i="66"/>
  <c r="D143" i="66" s="1"/>
  <c r="B57" i="91"/>
  <c r="C57" i="91"/>
  <c r="D57" i="91"/>
  <c r="K143" i="87"/>
  <c r="B58" i="91"/>
  <c r="C58" i="91"/>
  <c r="D58" i="91"/>
  <c r="K122" i="87"/>
  <c r="L122" i="87"/>
  <c r="K123" i="87"/>
  <c r="K124" i="87"/>
  <c r="L124" i="87"/>
  <c r="M124" i="87"/>
  <c r="N124" i="87"/>
  <c r="B36" i="91"/>
  <c r="C36" i="91"/>
  <c r="C228" i="91" s="1"/>
  <c r="D36" i="91"/>
  <c r="D228" i="91" s="1"/>
  <c r="B37" i="91"/>
  <c r="C37" i="91"/>
  <c r="C229" i="91" s="1"/>
  <c r="D37" i="91"/>
  <c r="D133" i="91" s="1"/>
  <c r="B38" i="91"/>
  <c r="C38" i="91"/>
  <c r="C134" i="91" s="1"/>
  <c r="D38" i="91"/>
  <c r="D230" i="91" s="1"/>
  <c r="B228" i="91" l="1"/>
  <c r="B134" i="91"/>
  <c r="B227" i="66"/>
  <c r="Q57" i="66"/>
  <c r="B654" i="96" s="1"/>
  <c r="B228" i="66"/>
  <c r="Q58" i="66"/>
  <c r="B655" i="96" s="1"/>
  <c r="N122" i="87"/>
  <c r="E290" i="96"/>
  <c r="M123" i="87"/>
  <c r="M122" i="87"/>
  <c r="N143" i="87"/>
  <c r="F290" i="96"/>
  <c r="N123" i="87"/>
  <c r="D290" i="96"/>
  <c r="L123" i="87"/>
  <c r="M143" i="87"/>
  <c r="L143" i="87"/>
  <c r="D153" i="91"/>
  <c r="D143" i="87"/>
  <c r="D154" i="91"/>
  <c r="D144" i="87"/>
  <c r="C153" i="91"/>
  <c r="C143" i="87"/>
  <c r="C154" i="91"/>
  <c r="C144" i="87"/>
  <c r="B153" i="91"/>
  <c r="B143" i="87"/>
  <c r="B154" i="91"/>
  <c r="B144" i="87"/>
  <c r="C686" i="96"/>
  <c r="F134" i="91"/>
  <c r="F133" i="91"/>
  <c r="E654" i="96"/>
  <c r="D686" i="96"/>
  <c r="E134" i="91"/>
  <c r="E133" i="91"/>
  <c r="E655" i="96"/>
  <c r="E686" i="96"/>
  <c r="F686" i="96"/>
  <c r="G134" i="91"/>
  <c r="G133" i="91"/>
  <c r="C249" i="91"/>
  <c r="B249" i="91"/>
  <c r="D227" i="66"/>
  <c r="C228" i="68"/>
  <c r="B227" i="68"/>
  <c r="D227" i="69"/>
  <c r="C143" i="66"/>
  <c r="B142" i="66"/>
  <c r="D142" i="68"/>
  <c r="C143" i="69"/>
  <c r="B142" i="69"/>
  <c r="D228" i="66"/>
  <c r="C227" i="66"/>
  <c r="B228" i="68"/>
  <c r="D228" i="69"/>
  <c r="C227" i="69"/>
  <c r="B143" i="66"/>
  <c r="D143" i="68"/>
  <c r="C142" i="68"/>
  <c r="B143" i="69"/>
  <c r="M144" i="87"/>
  <c r="F655" i="96"/>
  <c r="F654" i="96"/>
  <c r="F670" i="96" s="1"/>
  <c r="K144" i="87"/>
  <c r="D655" i="96"/>
  <c r="F153" i="91"/>
  <c r="D654" i="96"/>
  <c r="B250" i="91"/>
  <c r="D250" i="91"/>
  <c r="G153" i="91"/>
  <c r="C250" i="91"/>
  <c r="C655" i="96"/>
  <c r="E153" i="91"/>
  <c r="C654" i="96"/>
  <c r="C670" i="96" s="1"/>
  <c r="D249" i="91"/>
  <c r="N144" i="87"/>
  <c r="L144" i="87"/>
  <c r="D229" i="91"/>
  <c r="B133" i="91"/>
  <c r="D134" i="91"/>
  <c r="B230" i="91"/>
  <c r="C133" i="91"/>
  <c r="B229" i="91"/>
  <c r="C230" i="91"/>
  <c r="E670" i="96" l="1"/>
  <c r="D687" i="96"/>
  <c r="D671" i="96" s="1"/>
  <c r="F687" i="96"/>
  <c r="F671" i="96" s="1"/>
  <c r="C687" i="96"/>
  <c r="C671" i="96" s="1"/>
  <c r="D670" i="96"/>
  <c r="E687" i="96"/>
  <c r="E671" i="96" s="1"/>
  <c r="E227" i="69"/>
  <c r="E227" i="66"/>
  <c r="E142" i="69"/>
  <c r="E227" i="68"/>
  <c r="F228" i="68"/>
  <c r="B670" i="96"/>
  <c r="E142" i="68"/>
  <c r="E154" i="91"/>
  <c r="B671" i="96"/>
  <c r="G154" i="91"/>
  <c r="F154" i="91"/>
  <c r="G228" i="68"/>
  <c r="G142" i="68"/>
  <c r="G227" i="66"/>
  <c r="G142" i="69"/>
  <c r="G227" i="69" s="1"/>
  <c r="G227" i="68"/>
  <c r="F227" i="68"/>
  <c r="F142" i="69"/>
  <c r="F227" i="69" s="1"/>
  <c r="F227" i="66"/>
  <c r="F142" i="68"/>
  <c r="E228" i="68"/>
  <c r="B686" i="96" l="1"/>
  <c r="G143" i="69"/>
  <c r="G228" i="69" s="1"/>
  <c r="B687" i="96"/>
  <c r="G228" i="66"/>
  <c r="G143" i="68"/>
  <c r="E143" i="69"/>
  <c r="E228" i="69" s="1"/>
  <c r="E143" i="68"/>
  <c r="E228" i="66"/>
  <c r="F228" i="66"/>
  <c r="F143" i="69"/>
  <c r="F228" i="69" s="1"/>
  <c r="F143" i="68"/>
  <c r="U157" i="87" l="1"/>
  <c r="M819" i="96"/>
  <c r="V157" i="87" l="1"/>
  <c r="O123" i="87" l="1"/>
  <c r="N292" i="96" l="1"/>
  <c r="M292" i="96"/>
  <c r="N913" i="96" l="1"/>
  <c r="O150" i="102" s="1"/>
  <c r="M913" i="96"/>
  <c r="N150" i="102" l="1"/>
  <c r="G241" i="69"/>
  <c r="F241" i="69"/>
  <c r="U39" i="87"/>
  <c r="E241" i="69" l="1"/>
  <c r="O98" i="68" l="1"/>
  <c r="P98" i="68"/>
  <c r="U99" i="87"/>
  <c r="V99" i="87"/>
  <c r="V100" i="87"/>
  <c r="N462" i="96"/>
  <c r="N464" i="96"/>
  <c r="U127" i="87"/>
  <c r="U128" i="87"/>
  <c r="V128" i="87" l="1"/>
  <c r="N565" i="96"/>
  <c r="N573" i="96" s="1"/>
  <c r="V127" i="87"/>
  <c r="N564" i="96"/>
  <c r="N572" i="96" s="1"/>
  <c r="U100" i="87"/>
  <c r="M464" i="96"/>
  <c r="M462" i="96"/>
  <c r="M564" i="96"/>
  <c r="M580" i="96"/>
  <c r="M565" i="96"/>
  <c r="M573" i="96" s="1"/>
  <c r="O108" i="68"/>
  <c r="N580" i="96"/>
  <c r="P108" i="68"/>
  <c r="P99" i="68"/>
  <c r="M572" i="96" l="1"/>
  <c r="O99" i="68"/>
  <c r="D713" i="96" l="1"/>
  <c r="C713" i="96"/>
  <c r="D83" i="87" l="1"/>
  <c r="D84" i="87"/>
  <c r="D85" i="87"/>
  <c r="D86" i="87"/>
  <c r="D87" i="87"/>
  <c r="D88" i="87"/>
  <c r="D89" i="87"/>
  <c r="D90" i="87"/>
  <c r="D91" i="87"/>
  <c r="D72" i="87"/>
  <c r="D73" i="87"/>
  <c r="D74" i="87"/>
  <c r="D75" i="87"/>
  <c r="D76" i="87"/>
  <c r="D77" i="87"/>
  <c r="D78" i="87"/>
  <c r="D79" i="87"/>
  <c r="D80" i="87"/>
  <c r="D884" i="96"/>
  <c r="B884" i="96"/>
  <c r="B874" i="96"/>
  <c r="O40" i="70" l="1"/>
  <c r="B3" i="123" l="1"/>
  <c r="B2" i="123"/>
  <c r="P38" i="123" l="1"/>
  <c r="P56" i="123" s="1"/>
  <c r="P54" i="123"/>
  <c r="P55" i="123"/>
  <c r="W56" i="123"/>
  <c r="P53" i="123"/>
  <c r="P48" i="123"/>
  <c r="P49" i="123"/>
  <c r="W50" i="123"/>
  <c r="P47" i="123"/>
  <c r="P42" i="123"/>
  <c r="P43" i="123"/>
  <c r="W44" i="123"/>
  <c r="P41" i="123"/>
  <c r="B41" i="123"/>
  <c r="B43" i="123"/>
  <c r="B42" i="123"/>
  <c r="B53" i="123"/>
  <c r="B55" i="123"/>
  <c r="B54" i="123"/>
  <c r="B47" i="123"/>
  <c r="B49" i="123"/>
  <c r="B48" i="123"/>
  <c r="B38" i="123"/>
  <c r="P50" i="123" l="1"/>
  <c r="P44" i="123"/>
  <c r="B44" i="123"/>
  <c r="B50" i="123"/>
  <c r="B56" i="123"/>
  <c r="B186" i="91" l="1"/>
  <c r="C186" i="91"/>
  <c r="D186" i="91"/>
  <c r="B187" i="91"/>
  <c r="C187" i="91"/>
  <c r="D187" i="91"/>
  <c r="E285" i="91"/>
  <c r="F285" i="91"/>
  <c r="G285" i="91"/>
  <c r="I117" i="102" l="1"/>
  <c r="J117" i="102"/>
  <c r="O149" i="102" l="1"/>
  <c r="N149" i="102"/>
  <c r="E254" i="70" l="1"/>
  <c r="D254" i="70"/>
  <c r="F253" i="70"/>
  <c r="E253" i="70"/>
  <c r="D253" i="70"/>
  <c r="C253" i="70"/>
  <c r="O151" i="87" l="1"/>
  <c r="F109" i="91" l="1"/>
  <c r="G109" i="91"/>
  <c r="G170" i="91"/>
  <c r="G169" i="91"/>
  <c r="G168" i="91"/>
  <c r="G184" i="91"/>
  <c r="G173" i="69" l="1"/>
  <c r="G173" i="68"/>
  <c r="F159" i="68" l="1"/>
  <c r="E159" i="68"/>
  <c r="F158" i="68"/>
  <c r="E158" i="68"/>
  <c r="F157" i="68"/>
  <c r="E157" i="68"/>
  <c r="E155" i="68"/>
  <c r="E154" i="68"/>
  <c r="F152" i="68"/>
  <c r="E152" i="68"/>
  <c r="F151" i="68"/>
  <c r="E151" i="68"/>
  <c r="F153" i="68"/>
  <c r="E153" i="68"/>
  <c r="F147" i="68"/>
  <c r="E147" i="68"/>
  <c r="F150" i="68"/>
  <c r="E150" i="68"/>
  <c r="F145" i="68"/>
  <c r="E145" i="68"/>
  <c r="F125" i="68"/>
  <c r="E125" i="68"/>
  <c r="F124" i="68"/>
  <c r="E124" i="68"/>
  <c r="N98" i="68"/>
  <c r="M98" i="68"/>
  <c r="L98" i="68"/>
  <c r="K98" i="68"/>
  <c r="J98" i="68"/>
  <c r="I98" i="68"/>
  <c r="H98" i="68"/>
  <c r="G98" i="68"/>
  <c r="F98" i="68"/>
  <c r="D74" i="68" l="1"/>
  <c r="D159" i="68" s="1"/>
  <c r="C74" i="68"/>
  <c r="C244" i="68" s="1"/>
  <c r="D73" i="68"/>
  <c r="D243" i="68" s="1"/>
  <c r="C73" i="68"/>
  <c r="C243" i="68" s="1"/>
  <c r="D74" i="69"/>
  <c r="D159" i="69" s="1"/>
  <c r="C74" i="69"/>
  <c r="C159" i="69" s="1"/>
  <c r="D73" i="69"/>
  <c r="D158" i="69" s="1"/>
  <c r="C73" i="69"/>
  <c r="C243" i="69" s="1"/>
  <c r="F159" i="69"/>
  <c r="E159" i="69"/>
  <c r="F158" i="69"/>
  <c r="E158" i="69"/>
  <c r="C73" i="66"/>
  <c r="C158" i="66" s="1"/>
  <c r="D73" i="66"/>
  <c r="D158" i="66" s="1"/>
  <c r="C74" i="66"/>
  <c r="C244" i="66" s="1"/>
  <c r="D74" i="66"/>
  <c r="D244" i="66" s="1"/>
  <c r="G159" i="68"/>
  <c r="G158" i="68"/>
  <c r="B289" i="91"/>
  <c r="B193" i="91" s="1"/>
  <c r="C289" i="91"/>
  <c r="C193" i="91" s="1"/>
  <c r="D289" i="91"/>
  <c r="D193" i="91" s="1"/>
  <c r="C73" i="91"/>
  <c r="D73" i="91"/>
  <c r="C74" i="91"/>
  <c r="C160" i="87" s="1"/>
  <c r="D74" i="91"/>
  <c r="D160" i="87" s="1"/>
  <c r="D159" i="87" l="1"/>
  <c r="C159" i="87"/>
  <c r="J285" i="96"/>
  <c r="D117" i="102"/>
  <c r="H285" i="96"/>
  <c r="I285" i="96"/>
  <c r="D170" i="91"/>
  <c r="C266" i="91"/>
  <c r="D265" i="91"/>
  <c r="C265" i="91"/>
  <c r="F244" i="68"/>
  <c r="F243" i="68"/>
  <c r="G243" i="68"/>
  <c r="C244" i="69"/>
  <c r="D243" i="69"/>
  <c r="C158" i="69"/>
  <c r="D244" i="69"/>
  <c r="D158" i="68"/>
  <c r="C170" i="91"/>
  <c r="D266" i="91"/>
  <c r="G243" i="69"/>
  <c r="E243" i="68"/>
  <c r="G244" i="68"/>
  <c r="G159" i="69"/>
  <c r="E244" i="69"/>
  <c r="C169" i="91"/>
  <c r="G158" i="69"/>
  <c r="E243" i="69"/>
  <c r="F244" i="69"/>
  <c r="E244" i="68"/>
  <c r="D169" i="91"/>
  <c r="F243" i="69"/>
  <c r="G244" i="69"/>
  <c r="D244" i="68"/>
  <c r="C159" i="68"/>
  <c r="C158" i="68"/>
  <c r="C243" i="66"/>
  <c r="C159" i="66"/>
  <c r="D243" i="66"/>
  <c r="D159" i="66"/>
  <c r="G243" i="66" l="1"/>
  <c r="G244" i="66"/>
  <c r="E243" i="66"/>
  <c r="E244" i="66"/>
  <c r="F244" i="66"/>
  <c r="F243" i="66"/>
  <c r="B283" i="91" l="1"/>
  <c r="C283" i="91"/>
  <c r="D283" i="91"/>
  <c r="B284" i="91"/>
  <c r="C284" i="91"/>
  <c r="D284" i="91"/>
  <c r="B285" i="91"/>
  <c r="C285" i="91"/>
  <c r="D285" i="91"/>
  <c r="B286" i="91"/>
  <c r="C286" i="91"/>
  <c r="D286" i="91"/>
  <c r="B287" i="91"/>
  <c r="C287" i="91"/>
  <c r="D287" i="91"/>
  <c r="B288" i="91"/>
  <c r="B192" i="91" s="1"/>
  <c r="C288" i="91"/>
  <c r="C192" i="91" s="1"/>
  <c r="D288" i="91"/>
  <c r="D192" i="91" s="1"/>
  <c r="F157" i="69" l="1"/>
  <c r="E157" i="69"/>
  <c r="E155" i="69"/>
  <c r="E154" i="69"/>
  <c r="F152" i="69"/>
  <c r="E152" i="69"/>
  <c r="F151" i="69"/>
  <c r="E151" i="69"/>
  <c r="F153" i="69"/>
  <c r="E153" i="69"/>
  <c r="F147" i="69"/>
  <c r="E147" i="69"/>
  <c r="F150" i="69"/>
  <c r="E150" i="69"/>
  <c r="F145" i="69"/>
  <c r="E145" i="69"/>
  <c r="F125" i="69"/>
  <c r="E125" i="69"/>
  <c r="F124" i="69"/>
  <c r="E124" i="69"/>
  <c r="G98" i="69"/>
  <c r="F98" i="69"/>
  <c r="G287" i="91" l="1"/>
  <c r="E143" i="96"/>
  <c r="E159" i="96" s="1"/>
  <c r="G286" i="91"/>
  <c r="G282" i="91"/>
  <c r="E117" i="102" l="1"/>
  <c r="G157" i="68"/>
  <c r="G157" i="69"/>
  <c r="D575" i="96" l="1"/>
  <c r="T99" i="87"/>
  <c r="L581" i="96" l="1"/>
  <c r="T100" i="87"/>
  <c r="T127" i="87"/>
  <c r="T128" i="87"/>
  <c r="N108" i="68" l="1"/>
  <c r="L462" i="96"/>
  <c r="L464" i="96"/>
  <c r="L565" i="96"/>
  <c r="L573" i="96" s="1"/>
  <c r="L564" i="96"/>
  <c r="L580" i="96" l="1"/>
  <c r="N99" i="68"/>
  <c r="L572" i="96"/>
  <c r="C159" i="96"/>
  <c r="C155" i="96"/>
  <c r="E581" i="96"/>
  <c r="D245" i="70"/>
  <c r="B39" i="69"/>
  <c r="B124" i="69" s="1"/>
  <c r="C39" i="69"/>
  <c r="C209" i="69" s="1"/>
  <c r="D39" i="69"/>
  <c r="D124" i="69" s="1"/>
  <c r="B40" i="69"/>
  <c r="B125" i="69" s="1"/>
  <c r="C40" i="69"/>
  <c r="C125" i="69" s="1"/>
  <c r="D40" i="69"/>
  <c r="D125" i="69" s="1"/>
  <c r="B39" i="68"/>
  <c r="B209" i="68" s="1"/>
  <c r="C39" i="68"/>
  <c r="C124" i="68" s="1"/>
  <c r="D39" i="68"/>
  <c r="D209" i="68" s="1"/>
  <c r="B40" i="68"/>
  <c r="B125" i="68" s="1"/>
  <c r="C40" i="68"/>
  <c r="C125" i="68" s="1"/>
  <c r="D40" i="68"/>
  <c r="D125" i="68" s="1"/>
  <c r="B39" i="66"/>
  <c r="C39" i="66"/>
  <c r="D39" i="66"/>
  <c r="D124" i="66" s="1"/>
  <c r="B40" i="66"/>
  <c r="C40" i="66"/>
  <c r="C210" i="66" s="1"/>
  <c r="D40" i="66"/>
  <c r="E495" i="96"/>
  <c r="E494" i="96"/>
  <c r="E242" i="69"/>
  <c r="F242" i="69"/>
  <c r="G242" i="69"/>
  <c r="E242" i="68"/>
  <c r="F242" i="68"/>
  <c r="G242" i="68"/>
  <c r="E242" i="66"/>
  <c r="F242" i="66"/>
  <c r="G242" i="66"/>
  <c r="B73" i="69"/>
  <c r="B243" i="69" s="1"/>
  <c r="B74" i="69"/>
  <c r="B159" i="69" s="1"/>
  <c r="B73" i="68"/>
  <c r="B158" i="68" s="1"/>
  <c r="B74" i="68"/>
  <c r="B159" i="68" s="1"/>
  <c r="B73" i="66"/>
  <c r="B74" i="66"/>
  <c r="B173" i="66"/>
  <c r="B72" i="69"/>
  <c r="C72" i="69"/>
  <c r="C242" i="69" s="1"/>
  <c r="D72" i="69"/>
  <c r="D157" i="69" s="1"/>
  <c r="B72" i="68"/>
  <c r="B242" i="68" s="1"/>
  <c r="C72" i="68"/>
  <c r="D72" i="68"/>
  <c r="D157" i="68" s="1"/>
  <c r="B72" i="66"/>
  <c r="C72" i="66"/>
  <c r="C242" i="66" s="1"/>
  <c r="D72" i="66"/>
  <c r="D242" i="66" s="1"/>
  <c r="B88" i="91"/>
  <c r="B74" i="91"/>
  <c r="B73" i="91"/>
  <c r="K109" i="87"/>
  <c r="L109" i="87"/>
  <c r="B72" i="91"/>
  <c r="C72" i="91"/>
  <c r="D72" i="91"/>
  <c r="B49" i="69"/>
  <c r="B134" i="69" s="1"/>
  <c r="C49" i="69"/>
  <c r="C134" i="69" s="1"/>
  <c r="D49" i="69"/>
  <c r="D134" i="69" s="1"/>
  <c r="B50" i="69"/>
  <c r="C50" i="69"/>
  <c r="C135" i="69" s="1"/>
  <c r="D50" i="69"/>
  <c r="D135" i="69" s="1"/>
  <c r="B49" i="68"/>
  <c r="B134" i="68" s="1"/>
  <c r="C49" i="68"/>
  <c r="C219" i="68" s="1"/>
  <c r="D49" i="68"/>
  <c r="D134" i="68" s="1"/>
  <c r="B50" i="68"/>
  <c r="B135" i="68" s="1"/>
  <c r="C50" i="68"/>
  <c r="C135" i="68" s="1"/>
  <c r="D50" i="68"/>
  <c r="B49" i="66"/>
  <c r="C49" i="66"/>
  <c r="C219" i="66" s="1"/>
  <c r="D49" i="66"/>
  <c r="D134" i="66" s="1"/>
  <c r="B50" i="66"/>
  <c r="C50" i="66"/>
  <c r="C135" i="66" s="1"/>
  <c r="D50" i="66"/>
  <c r="D135" i="66" s="1"/>
  <c r="B49" i="91"/>
  <c r="C49" i="91"/>
  <c r="C135" i="87" s="1"/>
  <c r="D49" i="91"/>
  <c r="D145" i="91" s="1"/>
  <c r="B50" i="91"/>
  <c r="C50" i="91"/>
  <c r="C146" i="91" s="1"/>
  <c r="D50" i="91"/>
  <c r="B55" i="91"/>
  <c r="C55" i="91"/>
  <c r="C151" i="91" s="1"/>
  <c r="D55" i="91"/>
  <c r="D151" i="91" s="1"/>
  <c r="K141" i="87"/>
  <c r="M141" i="87"/>
  <c r="B51" i="91"/>
  <c r="C51" i="91"/>
  <c r="C147" i="91" s="1"/>
  <c r="D51" i="91"/>
  <c r="D243" i="91" s="1"/>
  <c r="K137" i="87"/>
  <c r="L137" i="87"/>
  <c r="M137" i="87"/>
  <c r="B48" i="91"/>
  <c r="C48" i="91"/>
  <c r="D48" i="91"/>
  <c r="K134" i="87"/>
  <c r="B44" i="91"/>
  <c r="C44" i="91"/>
  <c r="D44" i="91"/>
  <c r="D140" i="91" s="1"/>
  <c r="K130" i="87"/>
  <c r="L130" i="87"/>
  <c r="M130" i="87"/>
  <c r="O130" i="87"/>
  <c r="K132" i="87"/>
  <c r="K142" i="87"/>
  <c r="K145" i="87"/>
  <c r="L132" i="87"/>
  <c r="L142" i="87"/>
  <c r="L145" i="87"/>
  <c r="M132" i="87"/>
  <c r="M128" i="87"/>
  <c r="M142" i="87"/>
  <c r="B41" i="91"/>
  <c r="C41" i="91"/>
  <c r="C137" i="91" s="1"/>
  <c r="D41" i="91"/>
  <c r="D127" i="87" s="1"/>
  <c r="B42" i="91"/>
  <c r="C42" i="91"/>
  <c r="D42" i="91"/>
  <c r="D128" i="87" s="1"/>
  <c r="B43" i="91"/>
  <c r="C43" i="91"/>
  <c r="C235" i="91" s="1"/>
  <c r="D43" i="91"/>
  <c r="D139" i="91" s="1"/>
  <c r="B45" i="91"/>
  <c r="C45" i="91"/>
  <c r="D45" i="91"/>
  <c r="B46" i="91"/>
  <c r="C46" i="91"/>
  <c r="C238" i="91" s="1"/>
  <c r="D46" i="91"/>
  <c r="D238" i="91" s="1"/>
  <c r="B47" i="91"/>
  <c r="B133" i="87" s="1"/>
  <c r="C47" i="91"/>
  <c r="C143" i="91" s="1"/>
  <c r="D47" i="91"/>
  <c r="D143" i="91" s="1"/>
  <c r="B52" i="91"/>
  <c r="C52" i="91"/>
  <c r="C244" i="91" s="1"/>
  <c r="D52" i="91"/>
  <c r="B53" i="91"/>
  <c r="C53" i="91"/>
  <c r="C245" i="91" s="1"/>
  <c r="D53" i="91"/>
  <c r="D149" i="91" s="1"/>
  <c r="B54" i="91"/>
  <c r="C54" i="91"/>
  <c r="C246" i="91" s="1"/>
  <c r="D54" i="91"/>
  <c r="D140" i="87" s="1"/>
  <c r="B56" i="91"/>
  <c r="C56" i="91"/>
  <c r="C152" i="91" s="1"/>
  <c r="D56" i="91"/>
  <c r="D142" i="87" s="1"/>
  <c r="B59" i="91"/>
  <c r="B145" i="87" s="1"/>
  <c r="C59" i="91"/>
  <c r="C251" i="91" s="1"/>
  <c r="D59" i="91"/>
  <c r="E680" i="96"/>
  <c r="K112" i="87"/>
  <c r="D210" i="96"/>
  <c r="L115" i="87"/>
  <c r="F287" i="91"/>
  <c r="M146" i="87"/>
  <c r="E493" i="96"/>
  <c r="B44" i="69"/>
  <c r="B214" i="69" s="1"/>
  <c r="C44" i="69"/>
  <c r="D44" i="69"/>
  <c r="D129" i="69" s="1"/>
  <c r="B45" i="69"/>
  <c r="C45" i="69"/>
  <c r="C130" i="69" s="1"/>
  <c r="D45" i="69"/>
  <c r="B46" i="69"/>
  <c r="B216" i="69" s="1"/>
  <c r="C46" i="69"/>
  <c r="C216" i="69" s="1"/>
  <c r="D46" i="69"/>
  <c r="B47" i="69"/>
  <c r="C47" i="69"/>
  <c r="D47" i="69"/>
  <c r="B48" i="69"/>
  <c r="C48" i="69"/>
  <c r="D48" i="69"/>
  <c r="B51" i="69"/>
  <c r="C51" i="69"/>
  <c r="C136" i="69" s="1"/>
  <c r="D51" i="69"/>
  <c r="D136" i="69" s="1"/>
  <c r="B52" i="69"/>
  <c r="C52" i="69"/>
  <c r="C137" i="69" s="1"/>
  <c r="D52" i="69"/>
  <c r="D222" i="69" s="1"/>
  <c r="B53" i="69"/>
  <c r="B223" i="69" s="1"/>
  <c r="C53" i="69"/>
  <c r="D53" i="69"/>
  <c r="D223" i="69" s="1"/>
  <c r="B54" i="69"/>
  <c r="B139" i="69" s="1"/>
  <c r="C54" i="69"/>
  <c r="C224" i="69" s="1"/>
  <c r="D54" i="69"/>
  <c r="D139" i="69" s="1"/>
  <c r="B55" i="69"/>
  <c r="C55" i="69"/>
  <c r="C140" i="69" s="1"/>
  <c r="D55" i="69"/>
  <c r="D140" i="69" s="1"/>
  <c r="B56" i="69"/>
  <c r="C56" i="69"/>
  <c r="D56" i="69"/>
  <c r="D226" i="69" s="1"/>
  <c r="B44" i="68"/>
  <c r="C44" i="68"/>
  <c r="D44" i="68"/>
  <c r="B45" i="68"/>
  <c r="C45" i="68"/>
  <c r="D45" i="68"/>
  <c r="D130" i="68" s="1"/>
  <c r="B46" i="68"/>
  <c r="B131" i="68" s="1"/>
  <c r="C46" i="68"/>
  <c r="C216" i="68" s="1"/>
  <c r="D46" i="68"/>
  <c r="B47" i="68"/>
  <c r="B217" i="68" s="1"/>
  <c r="C47" i="68"/>
  <c r="C132" i="68" s="1"/>
  <c r="D47" i="68"/>
  <c r="B48" i="68"/>
  <c r="C48" i="68"/>
  <c r="D48" i="68"/>
  <c r="D218" i="68" s="1"/>
  <c r="B51" i="68"/>
  <c r="C51" i="68"/>
  <c r="D51" i="68"/>
  <c r="B52" i="68"/>
  <c r="B137" i="68" s="1"/>
  <c r="C52" i="68"/>
  <c r="C222" i="68" s="1"/>
  <c r="D52" i="68"/>
  <c r="B53" i="68"/>
  <c r="C53" i="68"/>
  <c r="C223" i="68" s="1"/>
  <c r="D53" i="68"/>
  <c r="D138" i="68" s="1"/>
  <c r="B54" i="68"/>
  <c r="B224" i="68" s="1"/>
  <c r="C54" i="68"/>
  <c r="D54" i="68"/>
  <c r="D139" i="68" s="1"/>
  <c r="B55" i="68"/>
  <c r="B140" i="68" s="1"/>
  <c r="C55" i="68"/>
  <c r="D55" i="68"/>
  <c r="D140" i="68" s="1"/>
  <c r="B56" i="68"/>
  <c r="B226" i="68" s="1"/>
  <c r="C56" i="68"/>
  <c r="D56" i="68"/>
  <c r="D226" i="68" s="1"/>
  <c r="B44" i="66"/>
  <c r="C44" i="66"/>
  <c r="C129" i="66" s="1"/>
  <c r="D44" i="66"/>
  <c r="D214" i="66" s="1"/>
  <c r="B45" i="66"/>
  <c r="C45" i="66"/>
  <c r="C215" i="66" s="1"/>
  <c r="D45" i="66"/>
  <c r="D130" i="66" s="1"/>
  <c r="B46" i="66"/>
  <c r="C46" i="66"/>
  <c r="C131" i="66" s="1"/>
  <c r="D46" i="66"/>
  <c r="D131" i="66" s="1"/>
  <c r="B47" i="66"/>
  <c r="C47" i="66"/>
  <c r="C132" i="66" s="1"/>
  <c r="D47" i="66"/>
  <c r="B48" i="66"/>
  <c r="C48" i="66"/>
  <c r="D48" i="66"/>
  <c r="B51" i="66"/>
  <c r="C51" i="66"/>
  <c r="D51" i="66"/>
  <c r="B52" i="66"/>
  <c r="C52" i="66"/>
  <c r="D52" i="66"/>
  <c r="B53" i="66"/>
  <c r="C53" i="66"/>
  <c r="C223" i="66" s="1"/>
  <c r="D53" i="66"/>
  <c r="D223" i="66" s="1"/>
  <c r="B54" i="66"/>
  <c r="C54" i="66"/>
  <c r="C224" i="66" s="1"/>
  <c r="D54" i="66"/>
  <c r="B55" i="66"/>
  <c r="C55" i="66"/>
  <c r="D55" i="66"/>
  <c r="D225" i="66" s="1"/>
  <c r="B56" i="66"/>
  <c r="C56" i="66"/>
  <c r="D56" i="66"/>
  <c r="B30" i="91"/>
  <c r="B769" i="96"/>
  <c r="B775" i="96" s="1"/>
  <c r="B831" i="96"/>
  <c r="B820" i="96"/>
  <c r="B494" i="96"/>
  <c r="C25" i="91"/>
  <c r="C26" i="91"/>
  <c r="C218" i="91" s="1"/>
  <c r="C24" i="91"/>
  <c r="B148" i="96"/>
  <c r="B3" i="102"/>
  <c r="B2" i="102"/>
  <c r="B24" i="91"/>
  <c r="D191" i="91"/>
  <c r="C191" i="91"/>
  <c r="B191" i="91"/>
  <c r="D190" i="91"/>
  <c r="C190" i="91"/>
  <c r="B190" i="91"/>
  <c r="D189" i="91"/>
  <c r="C189" i="91"/>
  <c r="B189" i="91"/>
  <c r="D188" i="91"/>
  <c r="C188" i="91"/>
  <c r="B188" i="91"/>
  <c r="B580" i="96"/>
  <c r="B581" i="96"/>
  <c r="B582" i="96"/>
  <c r="B583" i="96"/>
  <c r="B584" i="96"/>
  <c r="B572" i="96"/>
  <c r="B573" i="96"/>
  <c r="B574" i="96"/>
  <c r="B575" i="96"/>
  <c r="B576" i="96"/>
  <c r="B214" i="70"/>
  <c r="B213" i="70"/>
  <c r="B212" i="70"/>
  <c r="B211" i="70"/>
  <c r="B172" i="70"/>
  <c r="B171" i="70"/>
  <c r="B170" i="70"/>
  <c r="B169" i="70"/>
  <c r="B130" i="70"/>
  <c r="B129" i="70"/>
  <c r="B128" i="70"/>
  <c r="B127" i="70"/>
  <c r="C60" i="91"/>
  <c r="D60" i="91"/>
  <c r="D156" i="91" s="1"/>
  <c r="B62" i="69"/>
  <c r="B232" i="69" s="1"/>
  <c r="C62" i="69"/>
  <c r="C147" i="69" s="1"/>
  <c r="D62" i="69"/>
  <c r="B62" i="68"/>
  <c r="B147" i="68" s="1"/>
  <c r="C62" i="68"/>
  <c r="C147" i="68" s="1"/>
  <c r="D62" i="68"/>
  <c r="D147" i="68" s="1"/>
  <c r="B62" i="66"/>
  <c r="C62" i="66"/>
  <c r="D62" i="66"/>
  <c r="D147" i="66" s="1"/>
  <c r="B69" i="69"/>
  <c r="B239" i="69" s="1"/>
  <c r="C69" i="69"/>
  <c r="C154" i="69" s="1"/>
  <c r="D69" i="69"/>
  <c r="D154" i="69" s="1"/>
  <c r="B69" i="68"/>
  <c r="C69" i="68"/>
  <c r="D69" i="68"/>
  <c r="D239" i="68" s="1"/>
  <c r="B69" i="66"/>
  <c r="C69" i="66"/>
  <c r="C154" i="66" s="1"/>
  <c r="D69" i="66"/>
  <c r="B27" i="91"/>
  <c r="B28" i="91"/>
  <c r="B29" i="91"/>
  <c r="B31" i="91"/>
  <c r="B32" i="91"/>
  <c r="B33" i="91"/>
  <c r="B34" i="91"/>
  <c r="B35" i="91"/>
  <c r="B124" i="87"/>
  <c r="B60" i="91"/>
  <c r="B25" i="91"/>
  <c r="B26" i="91"/>
  <c r="B14" i="91"/>
  <c r="B15" i="91"/>
  <c r="B16" i="91"/>
  <c r="B17" i="91"/>
  <c r="B18" i="91"/>
  <c r="B19" i="91"/>
  <c r="B20" i="91"/>
  <c r="B21" i="91"/>
  <c r="B22" i="91"/>
  <c r="B109" i="87"/>
  <c r="B9" i="91"/>
  <c r="B10" i="91"/>
  <c r="B11" i="91"/>
  <c r="B12" i="91"/>
  <c r="B6" i="60"/>
  <c r="C9" i="91"/>
  <c r="D9" i="91"/>
  <c r="C10" i="91"/>
  <c r="C202" i="91" s="1"/>
  <c r="D10" i="91"/>
  <c r="D106" i="91" s="1"/>
  <c r="C11" i="91"/>
  <c r="C107" i="91" s="1"/>
  <c r="D11" i="91"/>
  <c r="C12" i="91"/>
  <c r="C108" i="91" s="1"/>
  <c r="D12" i="91"/>
  <c r="C14" i="91"/>
  <c r="C206" i="91" s="1"/>
  <c r="D14" i="91"/>
  <c r="C15" i="91"/>
  <c r="C111" i="91" s="1"/>
  <c r="D15" i="91"/>
  <c r="D207" i="91" s="1"/>
  <c r="C16" i="91"/>
  <c r="D16" i="91"/>
  <c r="C17" i="91"/>
  <c r="C113" i="91" s="1"/>
  <c r="D17" i="91"/>
  <c r="C18" i="91"/>
  <c r="C114" i="91" s="1"/>
  <c r="D18" i="91"/>
  <c r="C19" i="91"/>
  <c r="C211" i="91" s="1"/>
  <c r="D19" i="91"/>
  <c r="D211" i="91" s="1"/>
  <c r="C20" i="91"/>
  <c r="C212" i="91" s="1"/>
  <c r="D20" i="91"/>
  <c r="D212" i="91" s="1"/>
  <c r="C21" i="91"/>
  <c r="D21" i="91"/>
  <c r="C22" i="91"/>
  <c r="C214" i="91" s="1"/>
  <c r="D22" i="91"/>
  <c r="D24" i="91"/>
  <c r="D216" i="91" s="1"/>
  <c r="D25" i="91"/>
  <c r="D26" i="91"/>
  <c r="D218" i="91" s="1"/>
  <c r="C27" i="91"/>
  <c r="D27" i="91"/>
  <c r="C28" i="91"/>
  <c r="D28" i="91"/>
  <c r="C29" i="91"/>
  <c r="C221" i="91" s="1"/>
  <c r="D29" i="91"/>
  <c r="D115" i="87" s="1"/>
  <c r="C31" i="91"/>
  <c r="D31" i="91"/>
  <c r="D223" i="91" s="1"/>
  <c r="C32" i="91"/>
  <c r="C118" i="87" s="1"/>
  <c r="D32" i="91"/>
  <c r="D128" i="91" s="1"/>
  <c r="C33" i="91"/>
  <c r="D33" i="91"/>
  <c r="D129" i="91" s="1"/>
  <c r="C34" i="91"/>
  <c r="C120" i="87" s="1"/>
  <c r="D34" i="91"/>
  <c r="D226" i="91" s="1"/>
  <c r="C35" i="91"/>
  <c r="C121" i="87" s="1"/>
  <c r="D35" i="91"/>
  <c r="D121" i="87" s="1"/>
  <c r="B13" i="69"/>
  <c r="C13" i="69"/>
  <c r="D13" i="69"/>
  <c r="D183" i="69" s="1"/>
  <c r="B13" i="68"/>
  <c r="C13" i="68"/>
  <c r="D13" i="68"/>
  <c r="D183" i="68" s="1"/>
  <c r="B13" i="66"/>
  <c r="C13" i="66"/>
  <c r="C183" i="66" s="1"/>
  <c r="D13" i="66"/>
  <c r="D183" i="66" s="1"/>
  <c r="B23" i="69"/>
  <c r="B108" i="69" s="1"/>
  <c r="C23" i="69"/>
  <c r="C193" i="69" s="1"/>
  <c r="D23" i="69"/>
  <c r="D108" i="69" s="1"/>
  <c r="B23" i="68"/>
  <c r="B108" i="68" s="1"/>
  <c r="C23" i="68"/>
  <c r="C108" i="68" s="1"/>
  <c r="D23" i="68"/>
  <c r="D108" i="68" s="1"/>
  <c r="B23" i="66"/>
  <c r="C23" i="66"/>
  <c r="C108" i="66" s="1"/>
  <c r="D23" i="66"/>
  <c r="D193" i="66" s="1"/>
  <c r="B3" i="71"/>
  <c r="B2" i="71"/>
  <c r="C464" i="96"/>
  <c r="C497" i="96"/>
  <c r="D497" i="96"/>
  <c r="B147" i="96"/>
  <c r="B3" i="96"/>
  <c r="B2" i="96"/>
  <c r="B689" i="96"/>
  <c r="B585" i="96"/>
  <c r="B577" i="96"/>
  <c r="B466" i="96"/>
  <c r="B465" i="96"/>
  <c r="B464" i="96"/>
  <c r="B463" i="96"/>
  <c r="B462" i="96"/>
  <c r="B461" i="96"/>
  <c r="B458" i="96"/>
  <c r="B457" i="96"/>
  <c r="B456" i="96"/>
  <c r="B455" i="96"/>
  <c r="B454" i="96"/>
  <c r="B453" i="96"/>
  <c r="B452" i="96"/>
  <c r="B417" i="96"/>
  <c r="B412" i="96" s="1"/>
  <c r="B416" i="96"/>
  <c r="B411" i="96" s="1"/>
  <c r="B415" i="96"/>
  <c r="B410" i="96" s="1"/>
  <c r="K99" i="87"/>
  <c r="L99" i="87"/>
  <c r="M99" i="87"/>
  <c r="N99" i="87"/>
  <c r="O99" i="87"/>
  <c r="P99" i="87"/>
  <c r="Q99" i="87"/>
  <c r="R99" i="87"/>
  <c r="S99" i="87"/>
  <c r="C116" i="87"/>
  <c r="D116" i="87"/>
  <c r="B25" i="69"/>
  <c r="B110" i="69" s="1"/>
  <c r="C25" i="69"/>
  <c r="C195" i="69" s="1"/>
  <c r="D25" i="69"/>
  <c r="D195" i="69" s="1"/>
  <c r="B26" i="69"/>
  <c r="B196" i="69" s="1"/>
  <c r="C26" i="69"/>
  <c r="C196" i="69" s="1"/>
  <c r="D26" i="69"/>
  <c r="D111" i="69" s="1"/>
  <c r="B24" i="69"/>
  <c r="B194" i="69" s="1"/>
  <c r="C24" i="69"/>
  <c r="C194" i="69" s="1"/>
  <c r="D24" i="69"/>
  <c r="B16" i="69"/>
  <c r="C16" i="69"/>
  <c r="C186" i="69" s="1"/>
  <c r="D16" i="69"/>
  <c r="D186" i="69" s="1"/>
  <c r="B17" i="69"/>
  <c r="C17" i="69"/>
  <c r="C187" i="69" s="1"/>
  <c r="D17" i="69"/>
  <c r="D187" i="69" s="1"/>
  <c r="B18" i="69"/>
  <c r="B103" i="69" s="1"/>
  <c r="C18" i="69"/>
  <c r="D18" i="69"/>
  <c r="B19" i="69"/>
  <c r="B189" i="69" s="1"/>
  <c r="C19" i="69"/>
  <c r="C189" i="69" s="1"/>
  <c r="D19" i="69"/>
  <c r="D189" i="69" s="1"/>
  <c r="B20" i="69"/>
  <c r="B190" i="69" s="1"/>
  <c r="C20" i="69"/>
  <c r="C190" i="69" s="1"/>
  <c r="D20" i="69"/>
  <c r="D190" i="69" s="1"/>
  <c r="B21" i="69"/>
  <c r="C21" i="69"/>
  <c r="D21" i="69"/>
  <c r="B22" i="69"/>
  <c r="B192" i="69" s="1"/>
  <c r="C22" i="69"/>
  <c r="C107" i="69" s="1"/>
  <c r="D22" i="69"/>
  <c r="D192" i="69" s="1"/>
  <c r="B19" i="68"/>
  <c r="B189" i="68" s="1"/>
  <c r="C19" i="68"/>
  <c r="D19" i="68"/>
  <c r="B20" i="68"/>
  <c r="B105" i="68" s="1"/>
  <c r="C20" i="68"/>
  <c r="C190" i="68" s="1"/>
  <c r="D20" i="68"/>
  <c r="B21" i="68"/>
  <c r="C21" i="68"/>
  <c r="C191" i="68" s="1"/>
  <c r="D21" i="68"/>
  <c r="B22" i="68"/>
  <c r="C22" i="68"/>
  <c r="C107" i="68" s="1"/>
  <c r="D22" i="68"/>
  <c r="D107" i="68" s="1"/>
  <c r="B119" i="91"/>
  <c r="C119" i="91"/>
  <c r="D119" i="91"/>
  <c r="E109" i="91"/>
  <c r="B109" i="91"/>
  <c r="C109" i="91"/>
  <c r="D109" i="91"/>
  <c r="B215" i="91"/>
  <c r="C215" i="91"/>
  <c r="D215" i="91"/>
  <c r="B205" i="91"/>
  <c r="C205" i="91"/>
  <c r="D205" i="91"/>
  <c r="D222" i="91"/>
  <c r="C222" i="91"/>
  <c r="D200" i="91"/>
  <c r="C200" i="91"/>
  <c r="B200" i="91"/>
  <c r="G193" i="91"/>
  <c r="F193" i="91"/>
  <c r="E193" i="91"/>
  <c r="D126" i="91"/>
  <c r="C126" i="91"/>
  <c r="D104" i="91"/>
  <c r="C104" i="91"/>
  <c r="B104" i="91"/>
  <c r="B3" i="91"/>
  <c r="B2" i="91"/>
  <c r="B34" i="69"/>
  <c r="B204" i="69" s="1"/>
  <c r="C34" i="69"/>
  <c r="C119" i="69" s="1"/>
  <c r="D34" i="69"/>
  <c r="D119" i="69" s="1"/>
  <c r="B35" i="69"/>
  <c r="C35" i="69"/>
  <c r="C205" i="69" s="1"/>
  <c r="D35" i="69"/>
  <c r="D205" i="69" s="1"/>
  <c r="B33" i="69"/>
  <c r="C33" i="69"/>
  <c r="C203" i="69" s="1"/>
  <c r="D33" i="69"/>
  <c r="B32" i="69"/>
  <c r="C32" i="69"/>
  <c r="C202" i="69" s="1"/>
  <c r="D32" i="69"/>
  <c r="B115" i="69"/>
  <c r="C115" i="69"/>
  <c r="D115" i="69"/>
  <c r="B31" i="69"/>
  <c r="B116" i="69" s="1"/>
  <c r="C31" i="69"/>
  <c r="D31" i="69"/>
  <c r="D116" i="69" s="1"/>
  <c r="B115" i="66"/>
  <c r="C115" i="66"/>
  <c r="D115" i="66"/>
  <c r="B38" i="69"/>
  <c r="B208" i="69" s="1"/>
  <c r="C38" i="69"/>
  <c r="D38" i="69"/>
  <c r="D208" i="69" s="1"/>
  <c r="B38" i="66"/>
  <c r="C38" i="66"/>
  <c r="D38" i="66"/>
  <c r="B19" i="66"/>
  <c r="C19" i="66"/>
  <c r="C189" i="66" s="1"/>
  <c r="D19" i="66"/>
  <c r="B20" i="66"/>
  <c r="C20" i="66"/>
  <c r="C190" i="66" s="1"/>
  <c r="D20" i="66"/>
  <c r="D105" i="66" s="1"/>
  <c r="B21" i="66"/>
  <c r="C21" i="66"/>
  <c r="D21" i="66"/>
  <c r="D106" i="66" s="1"/>
  <c r="B37" i="68"/>
  <c r="B207" i="68" s="1"/>
  <c r="C37" i="68"/>
  <c r="C207" i="68" s="1"/>
  <c r="D37" i="68"/>
  <c r="B37" i="66"/>
  <c r="C37" i="66"/>
  <c r="C207" i="66" s="1"/>
  <c r="D37" i="66"/>
  <c r="D207" i="66" s="1"/>
  <c r="B37" i="69"/>
  <c r="B207" i="69" s="1"/>
  <c r="C37" i="69"/>
  <c r="C207" i="69" s="1"/>
  <c r="D37" i="69"/>
  <c r="D207" i="69" s="1"/>
  <c r="B31" i="68"/>
  <c r="C31" i="68"/>
  <c r="D31" i="68"/>
  <c r="B31" i="66"/>
  <c r="C31" i="66"/>
  <c r="C201" i="66" s="1"/>
  <c r="D31" i="66"/>
  <c r="B28" i="68"/>
  <c r="B113" i="68" s="1"/>
  <c r="C28" i="68"/>
  <c r="C113" i="68" s="1"/>
  <c r="D28" i="68"/>
  <c r="B28" i="66"/>
  <c r="C28" i="66"/>
  <c r="C113" i="66" s="1"/>
  <c r="D28" i="66"/>
  <c r="D113" i="66" s="1"/>
  <c r="B28" i="69"/>
  <c r="B198" i="69" s="1"/>
  <c r="C28" i="69"/>
  <c r="C113" i="69" s="1"/>
  <c r="D28" i="69"/>
  <c r="D198" i="69" s="1"/>
  <c r="B26" i="66"/>
  <c r="C26" i="66"/>
  <c r="D26" i="66"/>
  <c r="D196" i="66" s="1"/>
  <c r="B26" i="68"/>
  <c r="B111" i="68" s="1"/>
  <c r="C26" i="68"/>
  <c r="D26" i="68"/>
  <c r="D196" i="68" s="1"/>
  <c r="B27" i="69"/>
  <c r="B197" i="69" s="1"/>
  <c r="C27" i="69"/>
  <c r="C112" i="69" s="1"/>
  <c r="D27" i="69"/>
  <c r="D112" i="69" s="1"/>
  <c r="B3" i="87"/>
  <c r="B2" i="87"/>
  <c r="A61" i="33"/>
  <c r="A59" i="33"/>
  <c r="A56" i="33"/>
  <c r="A55" i="33"/>
  <c r="B3" i="69"/>
  <c r="B3" i="68"/>
  <c r="B3" i="66"/>
  <c r="B3" i="70"/>
  <c r="B3" i="33"/>
  <c r="B3" i="10"/>
  <c r="D68" i="69"/>
  <c r="D238" i="69" s="1"/>
  <c r="C68" i="69"/>
  <c r="C153" i="69" s="1"/>
  <c r="B68" i="69"/>
  <c r="B238" i="69" s="1"/>
  <c r="D65" i="69"/>
  <c r="D235" i="69" s="1"/>
  <c r="C65" i="69"/>
  <c r="B65" i="69"/>
  <c r="B150" i="69" s="1"/>
  <c r="D60" i="69"/>
  <c r="C60" i="69"/>
  <c r="C230" i="69" s="1"/>
  <c r="B60" i="69"/>
  <c r="D36" i="69"/>
  <c r="C36" i="69"/>
  <c r="C121" i="69" s="1"/>
  <c r="B36" i="69"/>
  <c r="D68" i="68"/>
  <c r="C68" i="68"/>
  <c r="C153" i="68" s="1"/>
  <c r="B68" i="68"/>
  <c r="B238" i="68" s="1"/>
  <c r="D65" i="68"/>
  <c r="D150" i="68" s="1"/>
  <c r="C65" i="68"/>
  <c r="B65" i="68"/>
  <c r="B235" i="68" s="1"/>
  <c r="D60" i="68"/>
  <c r="D230" i="68" s="1"/>
  <c r="C60" i="68"/>
  <c r="B60" i="68"/>
  <c r="D38" i="68"/>
  <c r="D208" i="68" s="1"/>
  <c r="C38" i="68"/>
  <c r="C123" i="68" s="1"/>
  <c r="B38" i="68"/>
  <c r="B123" i="68" s="1"/>
  <c r="D36" i="68"/>
  <c r="D121" i="68" s="1"/>
  <c r="C36" i="68"/>
  <c r="C206" i="68" s="1"/>
  <c r="B36" i="68"/>
  <c r="B121" i="68" s="1"/>
  <c r="D68" i="66"/>
  <c r="C68" i="66"/>
  <c r="C238" i="66" s="1"/>
  <c r="B68" i="66"/>
  <c r="D65" i="66"/>
  <c r="D150" i="66" s="1"/>
  <c r="C65" i="66"/>
  <c r="C235" i="66" s="1"/>
  <c r="B65" i="66"/>
  <c r="D60" i="66"/>
  <c r="C60" i="66"/>
  <c r="C145" i="66" s="1"/>
  <c r="B60" i="66"/>
  <c r="D36" i="66"/>
  <c r="D206" i="66" s="1"/>
  <c r="C36" i="66"/>
  <c r="C121" i="66" s="1"/>
  <c r="B36" i="66"/>
  <c r="B178" i="69"/>
  <c r="C178" i="69"/>
  <c r="D178" i="69"/>
  <c r="B93" i="69"/>
  <c r="C93" i="69"/>
  <c r="D93" i="69"/>
  <c r="B8" i="69"/>
  <c r="C8" i="69"/>
  <c r="D8" i="69"/>
  <c r="B178" i="68"/>
  <c r="C178" i="68"/>
  <c r="D178" i="68"/>
  <c r="B93" i="68"/>
  <c r="C93" i="68"/>
  <c r="D93" i="68"/>
  <c r="B178" i="66"/>
  <c r="C178" i="66"/>
  <c r="D178" i="66"/>
  <c r="B93" i="66"/>
  <c r="C93" i="66"/>
  <c r="D93" i="66"/>
  <c r="B66" i="68"/>
  <c r="B236" i="68" s="1"/>
  <c r="C66" i="68"/>
  <c r="D66" i="68"/>
  <c r="D151" i="68" s="1"/>
  <c r="B67" i="68"/>
  <c r="C67" i="68"/>
  <c r="C237" i="68" s="1"/>
  <c r="D67" i="68"/>
  <c r="B70" i="68"/>
  <c r="C70" i="68"/>
  <c r="C240" i="68" s="1"/>
  <c r="D70" i="68"/>
  <c r="B66" i="69"/>
  <c r="C66" i="69"/>
  <c r="C236" i="69" s="1"/>
  <c r="D66" i="69"/>
  <c r="D236" i="69" s="1"/>
  <c r="B67" i="69"/>
  <c r="C67" i="69"/>
  <c r="D67" i="69"/>
  <c r="D152" i="69" s="1"/>
  <c r="B70" i="69"/>
  <c r="B240" i="69" s="1"/>
  <c r="C70" i="69"/>
  <c r="D70" i="69"/>
  <c r="D155" i="69" s="1"/>
  <c r="B66" i="66"/>
  <c r="C66" i="66"/>
  <c r="C236" i="66" s="1"/>
  <c r="D66" i="66"/>
  <c r="B67" i="66"/>
  <c r="C67" i="66"/>
  <c r="C152" i="66" s="1"/>
  <c r="D67" i="66"/>
  <c r="D152" i="66" s="1"/>
  <c r="B70" i="66"/>
  <c r="C70" i="66"/>
  <c r="D70" i="66"/>
  <c r="B27" i="68"/>
  <c r="B112" i="68" s="1"/>
  <c r="C27" i="68"/>
  <c r="D27" i="68"/>
  <c r="D112" i="68" s="1"/>
  <c r="B27" i="66"/>
  <c r="C27" i="66"/>
  <c r="C197" i="66" s="1"/>
  <c r="D27" i="66"/>
  <c r="D112" i="66" s="1"/>
  <c r="B24" i="68"/>
  <c r="B109" i="68" s="1"/>
  <c r="C24" i="68"/>
  <c r="D24" i="68"/>
  <c r="D109" i="68" s="1"/>
  <c r="B25" i="68"/>
  <c r="B195" i="68" s="1"/>
  <c r="C25" i="68"/>
  <c r="C195" i="68" s="1"/>
  <c r="D25" i="68"/>
  <c r="B24" i="66"/>
  <c r="C24" i="66"/>
  <c r="D24" i="66"/>
  <c r="D109" i="66" s="1"/>
  <c r="B25" i="66"/>
  <c r="C25" i="66"/>
  <c r="C110" i="66" s="1"/>
  <c r="D25" i="66"/>
  <c r="B43" i="71"/>
  <c r="B42" i="71"/>
  <c r="B41" i="71"/>
  <c r="D31" i="71"/>
  <c r="D40" i="71" s="1"/>
  <c r="D29" i="71"/>
  <c r="D32" i="71" s="1"/>
  <c r="D30" i="71"/>
  <c r="D39" i="71" s="1"/>
  <c r="B41" i="70"/>
  <c r="B42" i="70"/>
  <c r="B43" i="70"/>
  <c r="B253" i="70"/>
  <c r="B254" i="70"/>
  <c r="B255" i="70"/>
  <c r="B283" i="70"/>
  <c r="B291" i="70" s="1"/>
  <c r="B282" i="70"/>
  <c r="B44" i="70"/>
  <c r="B2" i="70"/>
  <c r="D200" i="69"/>
  <c r="C200" i="69"/>
  <c r="B200" i="69"/>
  <c r="D59" i="69"/>
  <c r="C59" i="69"/>
  <c r="C144" i="69" s="1"/>
  <c r="B59" i="69"/>
  <c r="B229" i="69" s="1"/>
  <c r="D43" i="69"/>
  <c r="D128" i="69" s="1"/>
  <c r="C43" i="69"/>
  <c r="C128" i="69" s="1"/>
  <c r="B43" i="69"/>
  <c r="B128" i="69" s="1"/>
  <c r="D42" i="69"/>
  <c r="D212" i="69" s="1"/>
  <c r="C42" i="69"/>
  <c r="B42" i="69"/>
  <c r="B127" i="69" s="1"/>
  <c r="D41" i="69"/>
  <c r="D211" i="69" s="1"/>
  <c r="C41" i="69"/>
  <c r="C126" i="69" s="1"/>
  <c r="B41" i="69"/>
  <c r="B126" i="69" s="1"/>
  <c r="D29" i="69"/>
  <c r="D114" i="69" s="1"/>
  <c r="C29" i="69"/>
  <c r="C199" i="69" s="1"/>
  <c r="B29" i="69"/>
  <c r="B199" i="69" s="1"/>
  <c r="D15" i="69"/>
  <c r="C15" i="69"/>
  <c r="C185" i="69" s="1"/>
  <c r="B15" i="69"/>
  <c r="B185" i="69" s="1"/>
  <c r="D14" i="69"/>
  <c r="D184" i="69" s="1"/>
  <c r="C14" i="69"/>
  <c r="C99" i="69" s="1"/>
  <c r="B14" i="69"/>
  <c r="B99" i="69" s="1"/>
  <c r="D12" i="69"/>
  <c r="D182" i="69" s="1"/>
  <c r="C12" i="69"/>
  <c r="B12" i="69"/>
  <c r="B97" i="69" s="1"/>
  <c r="D11" i="69"/>
  <c r="C11" i="69"/>
  <c r="C181" i="69" s="1"/>
  <c r="B11" i="69"/>
  <c r="B96" i="69" s="1"/>
  <c r="D10" i="69"/>
  <c r="C10" i="69"/>
  <c r="C180" i="69" s="1"/>
  <c r="B10" i="69"/>
  <c r="B180" i="69" s="1"/>
  <c r="D9" i="69"/>
  <c r="D179" i="69" s="1"/>
  <c r="C9" i="69"/>
  <c r="B9" i="69"/>
  <c r="B94" i="69" s="1"/>
  <c r="B2" i="69"/>
  <c r="D200" i="68"/>
  <c r="C200" i="68"/>
  <c r="B200" i="68"/>
  <c r="D115" i="68"/>
  <c r="C115" i="68"/>
  <c r="B115" i="68"/>
  <c r="D59" i="68"/>
  <c r="D144" i="68" s="1"/>
  <c r="C59" i="68"/>
  <c r="C229" i="68" s="1"/>
  <c r="B59" i="68"/>
  <c r="B144" i="68" s="1"/>
  <c r="D43" i="68"/>
  <c r="D128" i="68" s="1"/>
  <c r="C43" i="68"/>
  <c r="C213" i="68" s="1"/>
  <c r="B43" i="68"/>
  <c r="B213" i="68" s="1"/>
  <c r="D42" i="68"/>
  <c r="D212" i="68" s="1"/>
  <c r="C42" i="68"/>
  <c r="C212" i="68" s="1"/>
  <c r="B42" i="68"/>
  <c r="B127" i="68" s="1"/>
  <c r="D41" i="68"/>
  <c r="D126" i="68" s="1"/>
  <c r="C41" i="68"/>
  <c r="C126" i="68" s="1"/>
  <c r="B41" i="68"/>
  <c r="D35" i="68"/>
  <c r="D120" i="68" s="1"/>
  <c r="C35" i="68"/>
  <c r="C205" i="68" s="1"/>
  <c r="B35" i="68"/>
  <c r="B205" i="68" s="1"/>
  <c r="D34" i="68"/>
  <c r="D119" i="68" s="1"/>
  <c r="C34" i="68"/>
  <c r="C119" i="68" s="1"/>
  <c r="B34" i="68"/>
  <c r="B119" i="68" s="1"/>
  <c r="D33" i="68"/>
  <c r="D203" i="68" s="1"/>
  <c r="C33" i="68"/>
  <c r="B33" i="68"/>
  <c r="D32" i="68"/>
  <c r="D202" i="68" s="1"/>
  <c r="C32" i="68"/>
  <c r="C117" i="68" s="1"/>
  <c r="B32" i="68"/>
  <c r="B117" i="68" s="1"/>
  <c r="D29" i="68"/>
  <c r="C29" i="68"/>
  <c r="B29" i="68"/>
  <c r="B199" i="68" s="1"/>
  <c r="D18" i="68"/>
  <c r="C18" i="68"/>
  <c r="C188" i="68" s="1"/>
  <c r="B18" i="68"/>
  <c r="B103" i="68" s="1"/>
  <c r="D17" i="68"/>
  <c r="D102" i="68" s="1"/>
  <c r="C17" i="68"/>
  <c r="B17" i="68"/>
  <c r="B187" i="68" s="1"/>
  <c r="D16" i="68"/>
  <c r="C16" i="68"/>
  <c r="C101" i="68" s="1"/>
  <c r="B16" i="68"/>
  <c r="D15" i="68"/>
  <c r="D185" i="68" s="1"/>
  <c r="C15" i="68"/>
  <c r="C185" i="68" s="1"/>
  <c r="B15" i="68"/>
  <c r="B185" i="68" s="1"/>
  <c r="D14" i="68"/>
  <c r="C14" i="68"/>
  <c r="C184" i="68" s="1"/>
  <c r="B14" i="68"/>
  <c r="D12" i="68"/>
  <c r="D97" i="68" s="1"/>
  <c r="C12" i="68"/>
  <c r="B12" i="68"/>
  <c r="B182" i="68" s="1"/>
  <c r="D11" i="68"/>
  <c r="C11" i="68"/>
  <c r="C181" i="68" s="1"/>
  <c r="B11" i="68"/>
  <c r="B96" i="68" s="1"/>
  <c r="D10" i="68"/>
  <c r="D180" i="68" s="1"/>
  <c r="C10" i="68"/>
  <c r="C95" i="68" s="1"/>
  <c r="B10" i="68"/>
  <c r="D9" i="68"/>
  <c r="C9" i="68"/>
  <c r="B9" i="68"/>
  <c r="B179" i="68" s="1"/>
  <c r="B2" i="68"/>
  <c r="D200" i="66"/>
  <c r="C200" i="66"/>
  <c r="B200" i="66"/>
  <c r="D59" i="66"/>
  <c r="D144" i="66" s="1"/>
  <c r="C59" i="66"/>
  <c r="B59" i="66"/>
  <c r="D43" i="66"/>
  <c r="D213" i="66" s="1"/>
  <c r="C43" i="66"/>
  <c r="C128" i="66" s="1"/>
  <c r="B43" i="66"/>
  <c r="D42" i="66"/>
  <c r="D212" i="66" s="1"/>
  <c r="C42" i="66"/>
  <c r="C212" i="66" s="1"/>
  <c r="B42" i="66"/>
  <c r="D41" i="66"/>
  <c r="C41" i="66"/>
  <c r="B41" i="66"/>
  <c r="D35" i="66"/>
  <c r="D205" i="66" s="1"/>
  <c r="C35" i="66"/>
  <c r="B35" i="66"/>
  <c r="D34" i="66"/>
  <c r="C34" i="66"/>
  <c r="C119" i="66" s="1"/>
  <c r="B34" i="66"/>
  <c r="D33" i="66"/>
  <c r="D203" i="66" s="1"/>
  <c r="C33" i="66"/>
  <c r="C203" i="66" s="1"/>
  <c r="B33" i="66"/>
  <c r="D32" i="66"/>
  <c r="D202" i="66" s="1"/>
  <c r="C32" i="66"/>
  <c r="C117" i="66" s="1"/>
  <c r="B32" i="66"/>
  <c r="D29" i="66"/>
  <c r="C29" i="66"/>
  <c r="B29" i="66"/>
  <c r="D22" i="66"/>
  <c r="D192" i="66" s="1"/>
  <c r="C22" i="66"/>
  <c r="C192" i="66" s="1"/>
  <c r="B22" i="66"/>
  <c r="D18" i="66"/>
  <c r="C18" i="66"/>
  <c r="C188" i="66" s="1"/>
  <c r="B18" i="66"/>
  <c r="D17" i="66"/>
  <c r="C17" i="66"/>
  <c r="C102" i="66" s="1"/>
  <c r="B17" i="66"/>
  <c r="D16" i="66"/>
  <c r="D101" i="66" s="1"/>
  <c r="C16" i="66"/>
  <c r="B16" i="66"/>
  <c r="D15" i="66"/>
  <c r="C15" i="66"/>
  <c r="C185" i="66" s="1"/>
  <c r="B15" i="66"/>
  <c r="D14" i="66"/>
  <c r="C14" i="66"/>
  <c r="C184" i="66" s="1"/>
  <c r="B14" i="66"/>
  <c r="D12" i="66"/>
  <c r="C12" i="66"/>
  <c r="C182" i="66" s="1"/>
  <c r="B12" i="66"/>
  <c r="D11" i="66"/>
  <c r="D96" i="66" s="1"/>
  <c r="C11" i="66"/>
  <c r="B11" i="66"/>
  <c r="D10" i="66"/>
  <c r="D180" i="66" s="1"/>
  <c r="C10" i="66"/>
  <c r="C180" i="66" s="1"/>
  <c r="B10" i="66"/>
  <c r="D9" i="66"/>
  <c r="D179" i="66" s="1"/>
  <c r="C9" i="66"/>
  <c r="C179" i="66" s="1"/>
  <c r="B9" i="66"/>
  <c r="B2" i="66"/>
  <c r="B2" i="33"/>
  <c r="B2" i="10"/>
  <c r="E829" i="96"/>
  <c r="M113" i="87"/>
  <c r="E828" i="96"/>
  <c r="C333" i="96"/>
  <c r="C236" i="91"/>
  <c r="N132" i="87"/>
  <c r="E685" i="96"/>
  <c r="C131" i="68"/>
  <c r="C136" i="87"/>
  <c r="B216" i="66"/>
  <c r="B131" i="66"/>
  <c r="D223" i="68"/>
  <c r="L112" i="87"/>
  <c r="O132" i="87"/>
  <c r="M116" i="87"/>
  <c r="M102" i="87"/>
  <c r="L135" i="87"/>
  <c r="D246" i="70"/>
  <c r="B209" i="66"/>
  <c r="D219" i="66"/>
  <c r="J462" i="96"/>
  <c r="D232" i="68"/>
  <c r="M135" i="87"/>
  <c r="E678" i="96"/>
  <c r="B243" i="66"/>
  <c r="E583" i="96"/>
  <c r="E584" i="96"/>
  <c r="C334" i="96"/>
  <c r="C198" i="68"/>
  <c r="B155" i="91"/>
  <c r="E114" i="91"/>
  <c r="G581" i="96"/>
  <c r="O128" i="87"/>
  <c r="E152" i="91"/>
  <c r="C651" i="96"/>
  <c r="E416" i="96"/>
  <c r="M104" i="87"/>
  <c r="M133" i="87"/>
  <c r="M117" i="87"/>
  <c r="M121" i="87"/>
  <c r="B145" i="91"/>
  <c r="C168" i="91"/>
  <c r="M126" i="87"/>
  <c r="E684" i="96"/>
  <c r="H581" i="96"/>
  <c r="E281" i="96"/>
  <c r="M107" i="87"/>
  <c r="M140" i="87"/>
  <c r="E681" i="96"/>
  <c r="E683" i="96"/>
  <c r="E733" i="96" s="1"/>
  <c r="M101" i="87"/>
  <c r="N119" i="87"/>
  <c r="F281" i="96"/>
  <c r="R128" i="87"/>
  <c r="I581" i="96"/>
  <c r="S128" i="87"/>
  <c r="J581" i="96"/>
  <c r="G580" i="96"/>
  <c r="R127" i="87"/>
  <c r="K581" i="96"/>
  <c r="S127" i="87"/>
  <c r="D129" i="66" l="1"/>
  <c r="C137" i="68"/>
  <c r="C215" i="69"/>
  <c r="D137" i="69"/>
  <c r="B225" i="68"/>
  <c r="B210" i="68"/>
  <c r="D123" i="69"/>
  <c r="C219" i="69"/>
  <c r="C225" i="69"/>
  <c r="F209" i="68"/>
  <c r="C241" i="91"/>
  <c r="Q127" i="87"/>
  <c r="Q128" i="87"/>
  <c r="O127" i="87"/>
  <c r="D147" i="91"/>
  <c r="Q37" i="66"/>
  <c r="D154" i="68"/>
  <c r="D196" i="69"/>
  <c r="B105" i="91"/>
  <c r="B116" i="91"/>
  <c r="B125" i="91"/>
  <c r="B143" i="91"/>
  <c r="B234" i="91"/>
  <c r="B144" i="91"/>
  <c r="B204" i="91"/>
  <c r="B211" i="91"/>
  <c r="B101" i="87"/>
  <c r="Q56" i="66"/>
  <c r="B653" i="96" s="1"/>
  <c r="Q46" i="66"/>
  <c r="B251" i="91"/>
  <c r="B203" i="91"/>
  <c r="B210" i="91"/>
  <c r="B224" i="91"/>
  <c r="B123" i="91"/>
  <c r="B130" i="87"/>
  <c r="B243" i="91"/>
  <c r="B160" i="87"/>
  <c r="B96" i="87"/>
  <c r="B213" i="91"/>
  <c r="B209" i="91"/>
  <c r="B218" i="91"/>
  <c r="B117" i="87"/>
  <c r="B110" i="87"/>
  <c r="K113" i="87"/>
  <c r="B137" i="91"/>
  <c r="B135" i="87"/>
  <c r="M114" i="87"/>
  <c r="Q27" i="66"/>
  <c r="Q28" i="66"/>
  <c r="Q20" i="66"/>
  <c r="K131" i="87"/>
  <c r="D220" i="91"/>
  <c r="D141" i="91"/>
  <c r="L131" i="87"/>
  <c r="D158" i="87"/>
  <c r="C158" i="87"/>
  <c r="B159" i="87"/>
  <c r="B158" i="87"/>
  <c r="Q66" i="66"/>
  <c r="Q69" i="66"/>
  <c r="Q54" i="66"/>
  <c r="B651" i="96" s="1"/>
  <c r="B133" i="66"/>
  <c r="Q48" i="66"/>
  <c r="B645" i="96" s="1"/>
  <c r="B661" i="96" s="1"/>
  <c r="Q44" i="66"/>
  <c r="B124" i="66"/>
  <c r="Q39" i="66"/>
  <c r="B94" i="66"/>
  <c r="Q9" i="66"/>
  <c r="B212" i="66"/>
  <c r="Q42" i="66"/>
  <c r="E183" i="66"/>
  <c r="E98" i="68"/>
  <c r="C224" i="91"/>
  <c r="B182" i="66"/>
  <c r="Q12" i="66"/>
  <c r="B187" i="66"/>
  <c r="Q17" i="66"/>
  <c r="B202" i="66"/>
  <c r="Q32" i="66"/>
  <c r="B126" i="66"/>
  <c r="Q41" i="66"/>
  <c r="B237" i="66"/>
  <c r="Q67" i="66"/>
  <c r="B145" i="66"/>
  <c r="Q60" i="66"/>
  <c r="Q21" i="66"/>
  <c r="B108" i="66"/>
  <c r="Q23" i="66"/>
  <c r="Q62" i="66"/>
  <c r="Q55" i="66"/>
  <c r="B652" i="96" s="1"/>
  <c r="Q51" i="66"/>
  <c r="Q45" i="66"/>
  <c r="L114" i="87"/>
  <c r="L108" i="87"/>
  <c r="L106" i="87"/>
  <c r="L104" i="87"/>
  <c r="L102" i="87"/>
  <c r="L100" i="87"/>
  <c r="K121" i="87"/>
  <c r="K119" i="87"/>
  <c r="K117" i="87"/>
  <c r="B157" i="66"/>
  <c r="Q72" i="66"/>
  <c r="B858" i="96" s="1"/>
  <c r="B159" i="66"/>
  <c r="Q74" i="66"/>
  <c r="B860" i="96" s="1"/>
  <c r="B210" i="66"/>
  <c r="Q40" i="66"/>
  <c r="B188" i="66"/>
  <c r="Q18" i="66"/>
  <c r="B235" i="66"/>
  <c r="Q65" i="66"/>
  <c r="N135" i="87"/>
  <c r="Q11" i="66"/>
  <c r="B101" i="66"/>
  <c r="Q16" i="66"/>
  <c r="Q29" i="66"/>
  <c r="B120" i="66"/>
  <c r="Q35" i="66"/>
  <c r="B144" i="66"/>
  <c r="Q59" i="66"/>
  <c r="B656" i="96" s="1"/>
  <c r="Q70" i="66"/>
  <c r="B206" i="66"/>
  <c r="Q36" i="66"/>
  <c r="B111" i="66"/>
  <c r="Q26" i="66"/>
  <c r="Q31" i="66"/>
  <c r="B208" i="66"/>
  <c r="Q38" i="66"/>
  <c r="B98" i="66"/>
  <c r="Q13" i="66"/>
  <c r="B222" i="66"/>
  <c r="Q52" i="66"/>
  <c r="B649" i="96" s="1"/>
  <c r="B134" i="66"/>
  <c r="Q49" i="66"/>
  <c r="B646" i="96" s="1"/>
  <c r="B662" i="96" s="1"/>
  <c r="B158" i="66"/>
  <c r="Q73" i="66"/>
  <c r="B859" i="96" s="1"/>
  <c r="B184" i="66"/>
  <c r="Q14" i="66"/>
  <c r="B118" i="66"/>
  <c r="Q33" i="66"/>
  <c r="B195" i="66"/>
  <c r="Q25" i="66"/>
  <c r="L136" i="87"/>
  <c r="Q10" i="66"/>
  <c r="Q15" i="66"/>
  <c r="Q22" i="66"/>
  <c r="Q34" i="66"/>
  <c r="B128" i="66"/>
  <c r="Q43" i="66"/>
  <c r="B109" i="66"/>
  <c r="Q24" i="66"/>
  <c r="Q68" i="66"/>
  <c r="B104" i="66"/>
  <c r="Q19" i="66"/>
  <c r="Q53" i="66"/>
  <c r="B650" i="96" s="1"/>
  <c r="B217" i="66"/>
  <c r="Q47" i="66"/>
  <c r="B644" i="96" s="1"/>
  <c r="B660" i="96" s="1"/>
  <c r="B135" i="66"/>
  <c r="Q50" i="66"/>
  <c r="B647" i="96" s="1"/>
  <c r="B125" i="66"/>
  <c r="C239" i="69"/>
  <c r="B220" i="68"/>
  <c r="D220" i="66"/>
  <c r="K115" i="87"/>
  <c r="B190" i="68"/>
  <c r="D137" i="87"/>
  <c r="D220" i="69"/>
  <c r="K135" i="87"/>
  <c r="D242" i="69"/>
  <c r="D210" i="68"/>
  <c r="C209" i="68"/>
  <c r="L113" i="87"/>
  <c r="L110" i="87"/>
  <c r="L107" i="87"/>
  <c r="L105" i="87"/>
  <c r="L101" i="87"/>
  <c r="K120" i="87"/>
  <c r="K118" i="87"/>
  <c r="K100" i="87"/>
  <c r="L141" i="87"/>
  <c r="N127" i="87"/>
  <c r="P128" i="87"/>
  <c r="R100" i="87"/>
  <c r="M100" i="87"/>
  <c r="D289" i="96"/>
  <c r="L111" i="87"/>
  <c r="F284" i="96"/>
  <c r="M131" i="87"/>
  <c r="E284" i="96"/>
  <c r="L139" i="87"/>
  <c r="K138" i="87"/>
  <c r="K129" i="87"/>
  <c r="D291" i="96"/>
  <c r="L134" i="87"/>
  <c r="E129" i="96"/>
  <c r="M109" i="87"/>
  <c r="P127" i="87"/>
  <c r="Q100" i="87"/>
  <c r="F95" i="91"/>
  <c r="L146" i="87"/>
  <c r="L120" i="87"/>
  <c r="L118" i="87"/>
  <c r="L116" i="87"/>
  <c r="E95" i="91"/>
  <c r="E191" i="91" s="1"/>
  <c r="K146" i="87"/>
  <c r="K114" i="87"/>
  <c r="K110" i="87"/>
  <c r="K107" i="87"/>
  <c r="K105" i="87"/>
  <c r="K103" i="87"/>
  <c r="L138" i="87"/>
  <c r="L129" i="87"/>
  <c r="K133" i="87"/>
  <c r="K128" i="87"/>
  <c r="N109" i="87"/>
  <c r="M103" i="87"/>
  <c r="M111" i="87"/>
  <c r="D288" i="96"/>
  <c r="L103" i="87"/>
  <c r="K116" i="87"/>
  <c r="L133" i="87"/>
  <c r="L128" i="87"/>
  <c r="K140" i="87"/>
  <c r="K127" i="87"/>
  <c r="K136" i="87"/>
  <c r="S100" i="87"/>
  <c r="L121" i="87"/>
  <c r="L119" i="87"/>
  <c r="L117" i="87"/>
  <c r="K111" i="87"/>
  <c r="K85" i="87" s="1"/>
  <c r="K108" i="87"/>
  <c r="K106" i="87"/>
  <c r="K104" i="87"/>
  <c r="K102" i="87"/>
  <c r="L140" i="87"/>
  <c r="L127" i="87"/>
  <c r="K139" i="87"/>
  <c r="E291" i="96"/>
  <c r="M134" i="87"/>
  <c r="N141" i="87"/>
  <c r="C145" i="91"/>
  <c r="D210" i="69"/>
  <c r="B120" i="91"/>
  <c r="B127" i="87"/>
  <c r="C248" i="91"/>
  <c r="D224" i="68"/>
  <c r="D211" i="68"/>
  <c r="D157" i="66"/>
  <c r="B222" i="68"/>
  <c r="D124" i="68"/>
  <c r="B223" i="91"/>
  <c r="C214" i="66"/>
  <c r="B104" i="87"/>
  <c r="B105" i="69"/>
  <c r="B219" i="68"/>
  <c r="C217" i="68"/>
  <c r="C220" i="68"/>
  <c r="C222" i="69"/>
  <c r="C134" i="66"/>
  <c r="C125" i="66"/>
  <c r="E231" i="69"/>
  <c r="G95" i="91"/>
  <c r="E125" i="96"/>
  <c r="E155" i="96" s="1"/>
  <c r="F155" i="96"/>
  <c r="E287" i="91"/>
  <c r="G233" i="69"/>
  <c r="F233" i="69"/>
  <c r="E233" i="69"/>
  <c r="F231" i="69"/>
  <c r="G231" i="69"/>
  <c r="B802" i="96"/>
  <c r="C165" i="91"/>
  <c r="D146" i="87"/>
  <c r="B158" i="91"/>
  <c r="D162" i="91"/>
  <c r="I464" i="96"/>
  <c r="B156" i="91"/>
  <c r="C252" i="91"/>
  <c r="C406" i="96"/>
  <c r="B805" i="96"/>
  <c r="B803" i="96"/>
  <c r="B213" i="69"/>
  <c r="C229" i="69"/>
  <c r="D117" i="68"/>
  <c r="C289" i="96"/>
  <c r="F286" i="91"/>
  <c r="D417" i="96"/>
  <c r="D376" i="96"/>
  <c r="F581" i="96"/>
  <c r="D685" i="96"/>
  <c r="D683" i="96"/>
  <c r="D733" i="96" s="1"/>
  <c r="D680" i="96"/>
  <c r="E652" i="96"/>
  <c r="E651" i="96"/>
  <c r="E667" i="96" s="1"/>
  <c r="F584" i="96"/>
  <c r="D682" i="96"/>
  <c r="D581" i="96"/>
  <c r="D465" i="96"/>
  <c r="E653" i="96"/>
  <c r="E669" i="96" s="1"/>
  <c r="C653" i="96"/>
  <c r="C669" i="96" s="1"/>
  <c r="E648" i="96"/>
  <c r="E664" i="96" s="1"/>
  <c r="D684" i="96"/>
  <c r="D681" i="96"/>
  <c r="D653" i="96"/>
  <c r="D669" i="96" s="1"/>
  <c r="D565" i="96"/>
  <c r="D573" i="96" s="1"/>
  <c r="C646" i="96"/>
  <c r="I462" i="96"/>
  <c r="E644" i="96"/>
  <c r="E646" i="96"/>
  <c r="E662" i="96" s="1"/>
  <c r="G161" i="91"/>
  <c r="D677" i="96"/>
  <c r="B243" i="68"/>
  <c r="B122" i="68"/>
  <c r="D240" i="69"/>
  <c r="B123" i="66"/>
  <c r="D95" i="66"/>
  <c r="D135" i="87"/>
  <c r="C124" i="69"/>
  <c r="C138" i="68"/>
  <c r="B141" i="68"/>
  <c r="D215" i="66"/>
  <c r="D38" i="71"/>
  <c r="C118" i="66"/>
  <c r="B132" i="66"/>
  <c r="D107" i="66"/>
  <c r="B163" i="91"/>
  <c r="C139" i="66"/>
  <c r="C146" i="87"/>
  <c r="C104" i="66"/>
  <c r="D221" i="69"/>
  <c r="C106" i="91"/>
  <c r="C127" i="66"/>
  <c r="C144" i="68"/>
  <c r="D239" i="91"/>
  <c r="B188" i="68"/>
  <c r="D937" i="96"/>
  <c r="E937" i="96"/>
  <c r="D939" i="96"/>
  <c r="D938" i="96"/>
  <c r="C939" i="96"/>
  <c r="C938" i="96"/>
  <c r="C937" i="96"/>
  <c r="C715" i="96"/>
  <c r="B111" i="69"/>
  <c r="C204" i="68"/>
  <c r="D130" i="91"/>
  <c r="C122" i="69"/>
  <c r="D224" i="91"/>
  <c r="B762" i="96"/>
  <c r="D120" i="87"/>
  <c r="C678" i="96"/>
  <c r="E118" i="91"/>
  <c r="E107" i="69" s="1"/>
  <c r="D463" i="96"/>
  <c r="F192" i="68"/>
  <c r="F186" i="68"/>
  <c r="F181" i="68"/>
  <c r="E122" i="91"/>
  <c r="E111" i="68" s="1"/>
  <c r="D53" i="123"/>
  <c r="D55" i="123" s="1"/>
  <c r="D54" i="123" s="1"/>
  <c r="R53" i="123"/>
  <c r="R55" i="123" s="1"/>
  <c r="R54" i="123" s="1"/>
  <c r="G119" i="91"/>
  <c r="G108" i="68" s="1"/>
  <c r="E405" i="96"/>
  <c r="E181" i="68"/>
  <c r="G141" i="91"/>
  <c r="G130" i="68" s="1"/>
  <c r="C35" i="123"/>
  <c r="C37" i="123" s="1"/>
  <c r="E53" i="123"/>
  <c r="E55" i="123" s="1"/>
  <c r="E54" i="123" s="1"/>
  <c r="F114" i="91"/>
  <c r="K462" i="96"/>
  <c r="D580" i="96"/>
  <c r="G124" i="91"/>
  <c r="G113" i="68" s="1"/>
  <c r="D688" i="96"/>
  <c r="D676" i="96"/>
  <c r="D730" i="96" s="1"/>
  <c r="D462" i="96"/>
  <c r="C407" i="96"/>
  <c r="D529" i="96"/>
  <c r="E47" i="123"/>
  <c r="E49" i="123" s="1"/>
  <c r="E48" i="123" s="1"/>
  <c r="K464" i="96"/>
  <c r="D447" i="96"/>
  <c r="D415" i="96"/>
  <c r="G568" i="96"/>
  <c r="G281" i="91"/>
  <c r="D448" i="96"/>
  <c r="D444" i="96"/>
  <c r="C564" i="96"/>
  <c r="J464" i="96"/>
  <c r="C161" i="91"/>
  <c r="D150" i="69"/>
  <c r="B202" i="68"/>
  <c r="B196" i="68"/>
  <c r="B195" i="69"/>
  <c r="D104" i="69"/>
  <c r="D113" i="69"/>
  <c r="B198" i="68"/>
  <c r="D152" i="91"/>
  <c r="B107" i="87"/>
  <c r="D191" i="66"/>
  <c r="C216" i="66"/>
  <c r="C145" i="69"/>
  <c r="B113" i="91"/>
  <c r="C111" i="69"/>
  <c r="C193" i="68"/>
  <c r="B103" i="87"/>
  <c r="C105" i="66"/>
  <c r="C192" i="69"/>
  <c r="D133" i="87"/>
  <c r="D536" i="96"/>
  <c r="D566" i="96"/>
  <c r="D711" i="96" s="1"/>
  <c r="C138" i="96"/>
  <c r="C287" i="96"/>
  <c r="E303" i="91"/>
  <c r="B804" i="96"/>
  <c r="D119" i="87"/>
  <c r="D151" i="69"/>
  <c r="B244" i="69"/>
  <c r="C535" i="96"/>
  <c r="B128" i="87"/>
  <c r="C139" i="91"/>
  <c r="D94" i="69"/>
  <c r="B197" i="68"/>
  <c r="D209" i="69"/>
  <c r="B147" i="91"/>
  <c r="C210" i="68"/>
  <c r="D194" i="68"/>
  <c r="C134" i="68"/>
  <c r="D117" i="87"/>
  <c r="D242" i="68"/>
  <c r="D225" i="91"/>
  <c r="D131" i="91"/>
  <c r="B155" i="69"/>
  <c r="C195" i="66"/>
  <c r="C100" i="68"/>
  <c r="B212" i="91"/>
  <c r="B183" i="66"/>
  <c r="B206" i="68"/>
  <c r="B287" i="70"/>
  <c r="D35" i="71"/>
  <c r="D122" i="91"/>
  <c r="D193" i="68"/>
  <c r="D120" i="66"/>
  <c r="B128" i="91"/>
  <c r="B128" i="68"/>
  <c r="C155" i="68"/>
  <c r="D126" i="69"/>
  <c r="C180" i="68"/>
  <c r="B204" i="68"/>
  <c r="B194" i="66"/>
  <c r="B95" i="69"/>
  <c r="B153" i="68"/>
  <c r="B106" i="87"/>
  <c r="D107" i="69"/>
  <c r="D124" i="91"/>
  <c r="D235" i="66"/>
  <c r="C95" i="66"/>
  <c r="B118" i="87"/>
  <c r="D237" i="66"/>
  <c r="C120" i="68"/>
  <c r="B232" i="68"/>
  <c r="C112" i="66"/>
  <c r="D535" i="96"/>
  <c r="C226" i="96"/>
  <c r="C251" i="96" s="1"/>
  <c r="C203" i="91"/>
  <c r="B100" i="68"/>
  <c r="E141" i="68"/>
  <c r="E103" i="68"/>
  <c r="D647" i="96"/>
  <c r="C220" i="69"/>
  <c r="D98" i="66"/>
  <c r="D110" i="69"/>
  <c r="B193" i="68"/>
  <c r="C95" i="69"/>
  <c r="C243" i="91"/>
  <c r="D224" i="69"/>
  <c r="B165" i="91"/>
  <c r="C166" i="91"/>
  <c r="D252" i="91"/>
  <c r="D209" i="66"/>
  <c r="B131" i="69"/>
  <c r="B112" i="69"/>
  <c r="D164" i="91"/>
  <c r="C242" i="91"/>
  <c r="D216" i="96"/>
  <c r="C405" i="96"/>
  <c r="L84" i="87"/>
  <c r="D138" i="96"/>
  <c r="K84" i="87"/>
  <c r="E106" i="91"/>
  <c r="E95" i="69" s="1"/>
  <c r="B210" i="69"/>
  <c r="E119" i="91"/>
  <c r="E108" i="68" s="1"/>
  <c r="C193" i="66"/>
  <c r="D206" i="68"/>
  <c r="C137" i="87"/>
  <c r="C142" i="87"/>
  <c r="B806" i="96"/>
  <c r="D219" i="68"/>
  <c r="E145" i="91"/>
  <c r="E134" i="68" s="1"/>
  <c r="D239" i="69"/>
  <c r="C220" i="66"/>
  <c r="D214" i="69"/>
  <c r="F121" i="91"/>
  <c r="F110" i="69" s="1"/>
  <c r="F108" i="91"/>
  <c r="E120" i="91"/>
  <c r="E109" i="69" s="1"/>
  <c r="B124" i="68"/>
  <c r="B233" i="91"/>
  <c r="B184" i="69"/>
  <c r="B229" i="66"/>
  <c r="D204" i="69"/>
  <c r="C202" i="66"/>
  <c r="C97" i="66"/>
  <c r="D333" i="96"/>
  <c r="C466" i="96"/>
  <c r="D36" i="71"/>
  <c r="C128" i="91"/>
  <c r="D528" i="96"/>
  <c r="D652" i="96"/>
  <c r="C528" i="96"/>
  <c r="E148" i="91"/>
  <c r="C288" i="96"/>
  <c r="F143" i="91"/>
  <c r="F132" i="69" s="1"/>
  <c r="F165" i="91"/>
  <c r="F154" i="69" s="1"/>
  <c r="C647" i="96"/>
  <c r="D237" i="91"/>
  <c r="C148" i="91"/>
  <c r="D161" i="91"/>
  <c r="C212" i="96"/>
  <c r="E92" i="91"/>
  <c r="B106" i="91"/>
  <c r="C116" i="91"/>
  <c r="D114" i="87"/>
  <c r="D227" i="91"/>
  <c r="D116" i="91"/>
  <c r="F130" i="91"/>
  <c r="F119" i="69" s="1"/>
  <c r="D131" i="87"/>
  <c r="C138" i="87"/>
  <c r="F151" i="91"/>
  <c r="C124" i="96"/>
  <c r="C649" i="96"/>
  <c r="B126" i="87"/>
  <c r="B239" i="91"/>
  <c r="C129" i="87"/>
  <c r="C118" i="91"/>
  <c r="D127" i="91"/>
  <c r="E283" i="91"/>
  <c r="C239" i="66"/>
  <c r="B230" i="66"/>
  <c r="D232" i="66"/>
  <c r="C151" i="66"/>
  <c r="B151" i="68"/>
  <c r="C150" i="66"/>
  <c r="D235" i="68"/>
  <c r="D197" i="66"/>
  <c r="F110" i="91"/>
  <c r="B95" i="68"/>
  <c r="B180" i="68"/>
  <c r="B214" i="68"/>
  <c r="B129" i="68"/>
  <c r="C139" i="69"/>
  <c r="E225" i="96"/>
  <c r="B166" i="91"/>
  <c r="B807" i="96"/>
  <c r="B829" i="96" s="1"/>
  <c r="C162" i="91"/>
  <c r="B116" i="87"/>
  <c r="B222" i="91"/>
  <c r="B141" i="66"/>
  <c r="B226" i="66"/>
  <c r="D139" i="66"/>
  <c r="D224" i="66"/>
  <c r="D218" i="66"/>
  <c r="D133" i="66"/>
  <c r="C226" i="68"/>
  <c r="C141" i="68"/>
  <c r="B221" i="68"/>
  <c r="B136" i="68"/>
  <c r="D217" i="68"/>
  <c r="D132" i="68"/>
  <c r="B215" i="68"/>
  <c r="B130" i="68"/>
  <c r="D131" i="69"/>
  <c r="D216" i="69"/>
  <c r="D242" i="91"/>
  <c r="D146" i="91"/>
  <c r="D136" i="87"/>
  <c r="D113" i="68"/>
  <c r="D198" i="68"/>
  <c r="C208" i="66"/>
  <c r="C123" i="66"/>
  <c r="B225" i="66"/>
  <c r="B140" i="66"/>
  <c r="E214" i="96"/>
  <c r="E492" i="96"/>
  <c r="C107" i="66"/>
  <c r="D127" i="68"/>
  <c r="B144" i="69"/>
  <c r="C211" i="68"/>
  <c r="D182" i="68"/>
  <c r="B103" i="66"/>
  <c r="D168" i="91"/>
  <c r="F210" i="68"/>
  <c r="F122" i="91"/>
  <c r="B220" i="66"/>
  <c r="D241" i="91"/>
  <c r="C156" i="91"/>
  <c r="M125" i="87"/>
  <c r="B181" i="69"/>
  <c r="D127" i="69"/>
  <c r="B114" i="69"/>
  <c r="B120" i="68"/>
  <c r="D229" i="66"/>
  <c r="C100" i="66"/>
  <c r="B209" i="69"/>
  <c r="D219" i="69"/>
  <c r="D264" i="91"/>
  <c r="C210" i="69"/>
  <c r="C264" i="91"/>
  <c r="B129" i="69"/>
  <c r="C217" i="66"/>
  <c r="C138" i="66"/>
  <c r="C221" i="69"/>
  <c r="B183" i="68"/>
  <c r="B98" i="68"/>
  <c r="B123" i="87"/>
  <c r="B225" i="91"/>
  <c r="B129" i="91"/>
  <c r="B119" i="87"/>
  <c r="B114" i="87"/>
  <c r="B124" i="91"/>
  <c r="B238" i="91"/>
  <c r="B132" i="87"/>
  <c r="B142" i="91"/>
  <c r="D114" i="66"/>
  <c r="D199" i="66"/>
  <c r="C97" i="69"/>
  <c r="C182" i="69"/>
  <c r="B290" i="70"/>
  <c r="B286" i="70"/>
  <c r="C215" i="68"/>
  <c r="C130" i="68"/>
  <c r="C157" i="66"/>
  <c r="C186" i="68"/>
  <c r="E123" i="96"/>
  <c r="B114" i="68"/>
  <c r="B99" i="66"/>
  <c r="D163" i="91"/>
  <c r="D138" i="66"/>
  <c r="B137" i="66"/>
  <c r="C119" i="87"/>
  <c r="C129" i="91"/>
  <c r="L97" i="87"/>
  <c r="F107" i="91"/>
  <c r="E192" i="91"/>
  <c r="E286" i="91"/>
  <c r="D145" i="69"/>
  <c r="D230" i="69"/>
  <c r="C158" i="91"/>
  <c r="D443" i="96"/>
  <c r="C139" i="96"/>
  <c r="B207" i="66"/>
  <c r="B122" i="66"/>
  <c r="D202" i="69"/>
  <c r="D117" i="69"/>
  <c r="B191" i="68"/>
  <c r="B106" i="68"/>
  <c r="F191" i="91"/>
  <c r="R47" i="123"/>
  <c r="R49" i="123" s="1"/>
  <c r="R48" i="123" s="1"/>
  <c r="Q53" i="123"/>
  <c r="Q47" i="123"/>
  <c r="E41" i="123"/>
  <c r="E802" i="96"/>
  <c r="E804" i="96"/>
  <c r="S41" i="123"/>
  <c r="D41" i="123"/>
  <c r="D43" i="123" s="1"/>
  <c r="D42" i="123" s="1"/>
  <c r="D47" i="123"/>
  <c r="D49" i="123" s="1"/>
  <c r="D48" i="123" s="1"/>
  <c r="E217" i="96"/>
  <c r="S35" i="123"/>
  <c r="R41" i="123"/>
  <c r="Q41" i="123"/>
  <c r="D35" i="123"/>
  <c r="E144" i="91"/>
  <c r="E133" i="69" s="1"/>
  <c r="C41" i="123"/>
  <c r="E147" i="91"/>
  <c r="C47" i="123"/>
  <c r="C49" i="123" s="1"/>
  <c r="C48" i="123" s="1"/>
  <c r="C254" i="70"/>
  <c r="C255" i="70" s="1"/>
  <c r="S47" i="123"/>
  <c r="G166" i="91"/>
  <c r="G155" i="69" s="1"/>
  <c r="S53" i="123"/>
  <c r="F236" i="68"/>
  <c r="D217" i="96"/>
  <c r="R35" i="123"/>
  <c r="Q35" i="123"/>
  <c r="C53" i="123"/>
  <c r="C55" i="123" s="1"/>
  <c r="C54" i="123" s="1"/>
  <c r="D97" i="69"/>
  <c r="B97" i="66"/>
  <c r="D128" i="66"/>
  <c r="F195" i="68"/>
  <c r="B94" i="68"/>
  <c r="C99" i="66"/>
  <c r="C94" i="66"/>
  <c r="D283" i="96"/>
  <c r="F117" i="91"/>
  <c r="F115" i="91"/>
  <c r="C283" i="96"/>
  <c r="E282" i="91"/>
  <c r="F282" i="91"/>
  <c r="E93" i="91"/>
  <c r="C210" i="96"/>
  <c r="G93" i="91"/>
  <c r="G189" i="91" s="1"/>
  <c r="F90" i="91"/>
  <c r="F93" i="91"/>
  <c r="B211" i="69"/>
  <c r="D213" i="68"/>
  <c r="D194" i="66"/>
  <c r="B213" i="66"/>
  <c r="D197" i="68"/>
  <c r="B181" i="68"/>
  <c r="C238" i="68"/>
  <c r="C106" i="68"/>
  <c r="C206" i="66"/>
  <c r="C184" i="69"/>
  <c r="B150" i="68"/>
  <c r="D190" i="66"/>
  <c r="C120" i="69"/>
  <c r="C110" i="69"/>
  <c r="C102" i="69"/>
  <c r="E806" i="96"/>
  <c r="E817" i="96" s="1"/>
  <c r="F113" i="91"/>
  <c r="B244" i="66"/>
  <c r="D237" i="69"/>
  <c r="E365" i="96"/>
  <c r="C204" i="69"/>
  <c r="D236" i="68"/>
  <c r="C206" i="69"/>
  <c r="D127" i="66"/>
  <c r="D122" i="66"/>
  <c r="D120" i="69"/>
  <c r="D205" i="68"/>
  <c r="D118" i="87"/>
  <c r="C151" i="69"/>
  <c r="B186" i="66"/>
  <c r="C209" i="91"/>
  <c r="D145" i="68"/>
  <c r="C213" i="69"/>
  <c r="B188" i="69"/>
  <c r="D37" i="71"/>
  <c r="D120" i="91"/>
  <c r="B153" i="69"/>
  <c r="D100" i="66"/>
  <c r="D185" i="66"/>
  <c r="D181" i="68"/>
  <c r="D96" i="68"/>
  <c r="B99" i="68"/>
  <c r="B184" i="68"/>
  <c r="D238" i="66"/>
  <c r="D153" i="66"/>
  <c r="C145" i="68"/>
  <c r="C230" i="68"/>
  <c r="B206" i="69"/>
  <c r="B121" i="69"/>
  <c r="D99" i="66"/>
  <c r="D184" i="66"/>
  <c r="B199" i="66"/>
  <c r="B114" i="66"/>
  <c r="C94" i="68"/>
  <c r="C179" i="68"/>
  <c r="B203" i="68"/>
  <c r="B118" i="68"/>
  <c r="D144" i="69"/>
  <c r="D229" i="69"/>
  <c r="D195" i="68"/>
  <c r="D110" i="68"/>
  <c r="B240" i="68"/>
  <c r="B155" i="68"/>
  <c r="C196" i="66"/>
  <c r="C111" i="66"/>
  <c r="D226" i="66"/>
  <c r="D141" i="66"/>
  <c r="B222" i="69"/>
  <c r="B137" i="69"/>
  <c r="K77" i="87"/>
  <c r="C582" i="96"/>
  <c r="C729" i="96" s="1"/>
  <c r="C99" i="68"/>
  <c r="B227" i="91"/>
  <c r="B131" i="91"/>
  <c r="B121" i="66"/>
  <c r="C187" i="66"/>
  <c r="C230" i="66"/>
  <c r="C208" i="68"/>
  <c r="D101" i="69"/>
  <c r="D98" i="68"/>
  <c r="C115" i="91"/>
  <c r="C237" i="66"/>
  <c r="C116" i="66"/>
  <c r="C109" i="69"/>
  <c r="D34" i="71"/>
  <c r="E94" i="91"/>
  <c r="C164" i="91"/>
  <c r="D98" i="69"/>
  <c r="C198" i="69"/>
  <c r="B122" i="69"/>
  <c r="D202" i="91"/>
  <c r="C192" i="68"/>
  <c r="D195" i="66"/>
  <c r="D110" i="66"/>
  <c r="C235" i="68"/>
  <c r="C150" i="68"/>
  <c r="D238" i="68"/>
  <c r="D153" i="68"/>
  <c r="C235" i="69"/>
  <c r="C150" i="69"/>
  <c r="B208" i="91"/>
  <c r="B112" i="91"/>
  <c r="B147" i="66"/>
  <c r="B232" i="66"/>
  <c r="C216" i="91"/>
  <c r="B332" i="96"/>
  <c r="B223" i="66"/>
  <c r="B138" i="66"/>
  <c r="D221" i="66"/>
  <c r="D136" i="66"/>
  <c r="C218" i="66"/>
  <c r="C133" i="66"/>
  <c r="D214" i="68"/>
  <c r="D129" i="68"/>
  <c r="C226" i="69"/>
  <c r="C141" i="69"/>
  <c r="B221" i="69"/>
  <c r="B136" i="69"/>
  <c r="D132" i="69"/>
  <c r="D217" i="69"/>
  <c r="B215" i="69"/>
  <c r="B130" i="69"/>
  <c r="C224" i="68"/>
  <c r="C139" i="68"/>
  <c r="B223" i="68"/>
  <c r="B138" i="68"/>
  <c r="C132" i="69"/>
  <c r="C217" i="69"/>
  <c r="C242" i="68"/>
  <c r="C157" i="68"/>
  <c r="C209" i="66"/>
  <c r="C124" i="66"/>
  <c r="D255" i="70"/>
  <c r="C121" i="96"/>
  <c r="C142" i="96"/>
  <c r="K40" i="87" s="1"/>
  <c r="B111" i="91"/>
  <c r="B207" i="91"/>
  <c r="C204" i="66"/>
  <c r="D33" i="71"/>
  <c r="D99" i="69"/>
  <c r="B229" i="68"/>
  <c r="D187" i="68"/>
  <c r="C96" i="68"/>
  <c r="B203" i="66"/>
  <c r="D186" i="66"/>
  <c r="B179" i="66"/>
  <c r="C120" i="91"/>
  <c r="D225" i="68"/>
  <c r="B216" i="68"/>
  <c r="D216" i="66"/>
  <c r="D165" i="91"/>
  <c r="D138" i="69"/>
  <c r="B219" i="91"/>
  <c r="B102" i="87"/>
  <c r="L86" i="87"/>
  <c r="B113" i="66"/>
  <c r="B198" i="66"/>
  <c r="D207" i="68"/>
  <c r="D122" i="68"/>
  <c r="B191" i="69"/>
  <c r="B106" i="69"/>
  <c r="C188" i="69"/>
  <c r="C103" i="69"/>
  <c r="D194" i="69"/>
  <c r="D109" i="69"/>
  <c r="D132" i="91"/>
  <c r="C113" i="87"/>
  <c r="C123" i="91"/>
  <c r="C219" i="91"/>
  <c r="D210" i="91"/>
  <c r="D114" i="91"/>
  <c r="D208" i="91"/>
  <c r="D112" i="91"/>
  <c r="D203" i="91"/>
  <c r="D107" i="91"/>
  <c r="B127" i="66"/>
  <c r="B252" i="91"/>
  <c r="B761" i="96" s="1"/>
  <c r="C211" i="69"/>
  <c r="C202" i="68"/>
  <c r="C213" i="66"/>
  <c r="D181" i="66"/>
  <c r="B201" i="91"/>
  <c r="B110" i="68"/>
  <c r="C130" i="66"/>
  <c r="D133" i="68"/>
  <c r="B185" i="66"/>
  <c r="B100" i="66"/>
  <c r="B238" i="66"/>
  <c r="B153" i="66"/>
  <c r="D121" i="69"/>
  <c r="D206" i="69"/>
  <c r="B201" i="68"/>
  <c r="B116" i="68"/>
  <c r="B106" i="66"/>
  <c r="B191" i="66"/>
  <c r="D104" i="66"/>
  <c r="D189" i="66"/>
  <c r="C189" i="68"/>
  <c r="C104" i="68"/>
  <c r="L85" i="87"/>
  <c r="F116" i="91"/>
  <c r="E123" i="91"/>
  <c r="E116" i="91"/>
  <c r="B219" i="69"/>
  <c r="C157" i="69"/>
  <c r="B219" i="66"/>
  <c r="B137" i="87"/>
  <c r="B193" i="66"/>
  <c r="D192" i="68"/>
  <c r="C238" i="69"/>
  <c r="C198" i="66"/>
  <c r="C225" i="91"/>
  <c r="D115" i="91"/>
  <c r="C197" i="68"/>
  <c r="C112" i="68"/>
  <c r="B155" i="66"/>
  <c r="B240" i="66"/>
  <c r="C155" i="69"/>
  <c r="C240" i="69"/>
  <c r="B237" i="69"/>
  <c r="B152" i="69"/>
  <c r="D155" i="68"/>
  <c r="D240" i="68"/>
  <c r="B145" i="68"/>
  <c r="B230" i="68"/>
  <c r="E281" i="91"/>
  <c r="B115" i="91"/>
  <c r="C110" i="91"/>
  <c r="B201" i="69"/>
  <c r="B121" i="87"/>
  <c r="C108" i="69"/>
  <c r="B218" i="66"/>
  <c r="B147" i="69"/>
  <c r="C232" i="68"/>
  <c r="D193" i="69"/>
  <c r="B108" i="91"/>
  <c r="D141" i="68"/>
  <c r="B139" i="68"/>
  <c r="F149" i="91"/>
  <c r="D153" i="69"/>
  <c r="C196" i="68"/>
  <c r="C111" i="68"/>
  <c r="D203" i="69"/>
  <c r="D118" i="69"/>
  <c r="D191" i="68"/>
  <c r="D106" i="68"/>
  <c r="D201" i="68"/>
  <c r="D116" i="68"/>
  <c r="B120" i="69"/>
  <c r="B205" i="69"/>
  <c r="C191" i="69"/>
  <c r="C106" i="69"/>
  <c r="B186" i="69"/>
  <c r="B101" i="69"/>
  <c r="D154" i="66"/>
  <c r="D239" i="66"/>
  <c r="C154" i="68"/>
  <c r="C239" i="68"/>
  <c r="D158" i="91"/>
  <c r="B224" i="66"/>
  <c r="B139" i="66"/>
  <c r="B129" i="66"/>
  <c r="B214" i="66"/>
  <c r="D136" i="68"/>
  <c r="D221" i="68"/>
  <c r="C214" i="68"/>
  <c r="C129" i="68"/>
  <c r="B226" i="69"/>
  <c r="B141" i="69"/>
  <c r="D133" i="69"/>
  <c r="D218" i="69"/>
  <c r="F283" i="91"/>
  <c r="L77" i="87"/>
  <c r="E130" i="91"/>
  <c r="E110" i="91"/>
  <c r="E99" i="69" s="1"/>
  <c r="K97" i="87"/>
  <c r="B142" i="87"/>
  <c r="B248" i="91"/>
  <c r="D650" i="96"/>
  <c r="D130" i="87"/>
  <c r="D236" i="91"/>
  <c r="F144" i="91"/>
  <c r="F133" i="69" s="1"/>
  <c r="C96" i="66"/>
  <c r="C181" i="66"/>
  <c r="B204" i="66"/>
  <c r="B119" i="66"/>
  <c r="D94" i="68"/>
  <c r="D179" i="68"/>
  <c r="C227" i="91"/>
  <c r="C131" i="91"/>
  <c r="C117" i="87"/>
  <c r="C127" i="91"/>
  <c r="C223" i="91"/>
  <c r="D121" i="91"/>
  <c r="D217" i="91"/>
  <c r="D113" i="91"/>
  <c r="D209" i="91"/>
  <c r="B97" i="87"/>
  <c r="B107" i="91"/>
  <c r="B108" i="87"/>
  <c r="B118" i="91"/>
  <c r="B206" i="91"/>
  <c r="B110" i="91"/>
  <c r="B130" i="91"/>
  <c r="B226" i="91"/>
  <c r="B115" i="87"/>
  <c r="B221" i="91"/>
  <c r="C222" i="66"/>
  <c r="C137" i="66"/>
  <c r="B221" i="66"/>
  <c r="B136" i="66"/>
  <c r="D217" i="66"/>
  <c r="D132" i="66"/>
  <c r="C221" i="68"/>
  <c r="C136" i="68"/>
  <c r="B218" i="68"/>
  <c r="B133" i="68"/>
  <c r="D216" i="68"/>
  <c r="D131" i="68"/>
  <c r="C218" i="69"/>
  <c r="C133" i="69"/>
  <c r="B217" i="69"/>
  <c r="B132" i="69"/>
  <c r="C129" i="69"/>
  <c r="C214" i="69"/>
  <c r="D446" i="96"/>
  <c r="F201" i="68"/>
  <c r="D416" i="96"/>
  <c r="F112" i="91"/>
  <c r="L95" i="87"/>
  <c r="L72" i="87" s="1"/>
  <c r="F105" i="91"/>
  <c r="C443" i="96"/>
  <c r="E121" i="91"/>
  <c r="C149" i="91"/>
  <c r="C139" i="87"/>
  <c r="B244" i="91"/>
  <c r="B138" i="87"/>
  <c r="C536" i="96"/>
  <c r="C140" i="91"/>
  <c r="C130" i="87"/>
  <c r="E221" i="68"/>
  <c r="E151" i="91"/>
  <c r="D368" i="96"/>
  <c r="H565" i="96"/>
  <c r="H573" i="96" s="1"/>
  <c r="B119" i="69"/>
  <c r="C122" i="66"/>
  <c r="C105" i="69"/>
  <c r="D229" i="68"/>
  <c r="D95" i="68"/>
  <c r="C105" i="68"/>
  <c r="B102" i="68"/>
  <c r="B104" i="69"/>
  <c r="C194" i="66"/>
  <c r="C109" i="66"/>
  <c r="C124" i="91"/>
  <c r="C220" i="91"/>
  <c r="D213" i="91"/>
  <c r="D117" i="91"/>
  <c r="D150" i="91"/>
  <c r="D246" i="91"/>
  <c r="D135" i="68"/>
  <c r="D220" i="68"/>
  <c r="B235" i="69"/>
  <c r="B97" i="68"/>
  <c r="C103" i="68"/>
  <c r="B113" i="69"/>
  <c r="C98" i="66"/>
  <c r="D111" i="68"/>
  <c r="B152" i="66"/>
  <c r="D215" i="68"/>
  <c r="B205" i="66"/>
  <c r="B179" i="69"/>
  <c r="D118" i="66"/>
  <c r="B212" i="68"/>
  <c r="D140" i="66"/>
  <c r="B196" i="66"/>
  <c r="C210" i="91"/>
  <c r="C142" i="91"/>
  <c r="C132" i="87"/>
  <c r="F152" i="91"/>
  <c r="B236" i="91"/>
  <c r="B140" i="91"/>
  <c r="B181" i="66"/>
  <c r="B96" i="66"/>
  <c r="D188" i="66"/>
  <c r="D103" i="66"/>
  <c r="C211" i="66"/>
  <c r="C126" i="66"/>
  <c r="D199" i="68"/>
  <c r="D114" i="68"/>
  <c r="D181" i="69"/>
  <c r="D96" i="69"/>
  <c r="C194" i="68"/>
  <c r="C109" i="68"/>
  <c r="B112" i="66"/>
  <c r="B197" i="66"/>
  <c r="D155" i="66"/>
  <c r="D240" i="66"/>
  <c r="B236" i="66"/>
  <c r="B151" i="66"/>
  <c r="D190" i="68"/>
  <c r="D105" i="68"/>
  <c r="D147" i="69"/>
  <c r="D232" i="69"/>
  <c r="B140" i="69"/>
  <c r="B225" i="69"/>
  <c r="E143" i="91"/>
  <c r="C186" i="66"/>
  <c r="C101" i="66"/>
  <c r="C94" i="69"/>
  <c r="C179" i="69"/>
  <c r="B201" i="66"/>
  <c r="B116" i="66"/>
  <c r="C116" i="69"/>
  <c r="C201" i="69"/>
  <c r="D191" i="69"/>
  <c r="D106" i="69"/>
  <c r="C112" i="91"/>
  <c r="C208" i="91"/>
  <c r="C201" i="91"/>
  <c r="C105" i="91"/>
  <c r="B162" i="91"/>
  <c r="B334" i="96"/>
  <c r="C122" i="91"/>
  <c r="C140" i="66"/>
  <c r="C225" i="66"/>
  <c r="C218" i="68"/>
  <c r="C133" i="68"/>
  <c r="C118" i="69"/>
  <c r="N130" i="87"/>
  <c r="B202" i="69"/>
  <c r="B117" i="69"/>
  <c r="F155" i="91"/>
  <c r="D137" i="96"/>
  <c r="C183" i="69"/>
  <c r="C98" i="69"/>
  <c r="C163" i="91"/>
  <c r="C132" i="91"/>
  <c r="B492" i="96"/>
  <c r="D222" i="66"/>
  <c r="D137" i="66"/>
  <c r="C221" i="66"/>
  <c r="C136" i="66"/>
  <c r="C223" i="69"/>
  <c r="C138" i="69"/>
  <c r="F129" i="91"/>
  <c r="D236" i="66"/>
  <c r="D151" i="66"/>
  <c r="B145" i="69"/>
  <c r="B230" i="69"/>
  <c r="D188" i="69"/>
  <c r="D103" i="69"/>
  <c r="C183" i="68"/>
  <c r="C98" i="68"/>
  <c r="B183" i="69"/>
  <c r="B98" i="69"/>
  <c r="C130" i="91"/>
  <c r="C226" i="91"/>
  <c r="C125" i="91"/>
  <c r="C115" i="87"/>
  <c r="D118" i="91"/>
  <c r="D214" i="91"/>
  <c r="D110" i="91"/>
  <c r="D206" i="91"/>
  <c r="D105" i="91"/>
  <c r="D201" i="91"/>
  <c r="B122" i="91"/>
  <c r="B112" i="87"/>
  <c r="B154" i="68"/>
  <c r="B239" i="68"/>
  <c r="C141" i="66"/>
  <c r="C226" i="66"/>
  <c r="B215" i="66"/>
  <c r="B130" i="66"/>
  <c r="C225" i="68"/>
  <c r="C140" i="68"/>
  <c r="D222" i="68"/>
  <c r="D137" i="68"/>
  <c r="D215" i="69"/>
  <c r="D130" i="69"/>
  <c r="B149" i="91"/>
  <c r="B245" i="91"/>
  <c r="B141" i="91"/>
  <c r="B131" i="87"/>
  <c r="B237" i="91"/>
  <c r="D234" i="91"/>
  <c r="D138" i="91"/>
  <c r="C233" i="91"/>
  <c r="C127" i="87"/>
  <c r="F138" i="91"/>
  <c r="F140" i="91"/>
  <c r="D240" i="91"/>
  <c r="D144" i="91"/>
  <c r="D134" i="87"/>
  <c r="D141" i="87"/>
  <c r="D247" i="91"/>
  <c r="D108" i="66"/>
  <c r="C152" i="68"/>
  <c r="C207" i="91"/>
  <c r="B132" i="68"/>
  <c r="D119" i="66"/>
  <c r="D204" i="66"/>
  <c r="D101" i="68"/>
  <c r="D186" i="68"/>
  <c r="C199" i="68"/>
  <c r="C114" i="68"/>
  <c r="B152" i="68"/>
  <c r="B237" i="68"/>
  <c r="D208" i="66"/>
  <c r="D123" i="66"/>
  <c r="D104" i="68"/>
  <c r="D189" i="68"/>
  <c r="B187" i="69"/>
  <c r="B102" i="69"/>
  <c r="G565" i="96"/>
  <c r="G573" i="96" s="1"/>
  <c r="C679" i="96"/>
  <c r="K88" i="87"/>
  <c r="D464" i="96"/>
  <c r="F92" i="91"/>
  <c r="B180" i="66"/>
  <c r="B95" i="66"/>
  <c r="D182" i="66"/>
  <c r="D97" i="66"/>
  <c r="D187" i="66"/>
  <c r="D102" i="66"/>
  <c r="B107" i="66"/>
  <c r="B192" i="66"/>
  <c r="C114" i="66"/>
  <c r="C199" i="66"/>
  <c r="C120" i="66"/>
  <c r="C205" i="66"/>
  <c r="D211" i="66"/>
  <c r="D126" i="66"/>
  <c r="C229" i="66"/>
  <c r="C144" i="66"/>
  <c r="C182" i="68"/>
  <c r="C97" i="68"/>
  <c r="D184" i="68"/>
  <c r="D99" i="68"/>
  <c r="C102" i="68"/>
  <c r="C187" i="68"/>
  <c r="D188" i="68"/>
  <c r="D103" i="68"/>
  <c r="C118" i="68"/>
  <c r="C203" i="68"/>
  <c r="B211" i="68"/>
  <c r="B126" i="68"/>
  <c r="D180" i="69"/>
  <c r="D95" i="69"/>
  <c r="D100" i="69"/>
  <c r="D185" i="69"/>
  <c r="C212" i="69"/>
  <c r="C127" i="69"/>
  <c r="C240" i="66"/>
  <c r="C155" i="66"/>
  <c r="C237" i="69"/>
  <c r="C152" i="69"/>
  <c r="B151" i="69"/>
  <c r="B236" i="69"/>
  <c r="D237" i="68"/>
  <c r="D152" i="68"/>
  <c r="C151" i="68"/>
  <c r="C236" i="68"/>
  <c r="D230" i="66"/>
  <c r="D145" i="66"/>
  <c r="D139" i="96"/>
  <c r="E107" i="91"/>
  <c r="E96" i="69" s="1"/>
  <c r="E146" i="91"/>
  <c r="D201" i="66"/>
  <c r="D116" i="66"/>
  <c r="C201" i="68"/>
  <c r="C116" i="68"/>
  <c r="C106" i="66"/>
  <c r="C191" i="66"/>
  <c r="B105" i="66"/>
  <c r="B190" i="66"/>
  <c r="B203" i="69"/>
  <c r="B118" i="69"/>
  <c r="E761" i="96"/>
  <c r="F146" i="102"/>
  <c r="E216" i="96"/>
  <c r="F148" i="102"/>
  <c r="E146" i="102"/>
  <c r="F131" i="91"/>
  <c r="D466" i="96"/>
  <c r="F127" i="91"/>
  <c r="F284" i="91"/>
  <c r="D140" i="96"/>
  <c r="F125" i="91"/>
  <c r="D407" i="96"/>
  <c r="D412" i="96" s="1"/>
  <c r="D366" i="96"/>
  <c r="D213" i="96"/>
  <c r="F123" i="91"/>
  <c r="L75" i="87"/>
  <c r="D212" i="96"/>
  <c r="D332" i="96"/>
  <c r="F120" i="91"/>
  <c r="L74" i="87"/>
  <c r="D120" i="96"/>
  <c r="F182" i="68"/>
  <c r="L98" i="87"/>
  <c r="D221" i="96"/>
  <c r="F106" i="91"/>
  <c r="F95" i="69" s="1"/>
  <c r="D119" i="96"/>
  <c r="L96" i="87"/>
  <c r="L83" i="87" s="1"/>
  <c r="E139" i="91"/>
  <c r="E128" i="69" s="1"/>
  <c r="E122" i="69"/>
  <c r="C465" i="96"/>
  <c r="C463" i="96"/>
  <c r="E128" i="91"/>
  <c r="C461" i="96"/>
  <c r="E126" i="91"/>
  <c r="C365" i="96"/>
  <c r="E124" i="91"/>
  <c r="C223" i="96"/>
  <c r="E194" i="68"/>
  <c r="C332" i="96"/>
  <c r="E91" i="91"/>
  <c r="K74" i="87"/>
  <c r="E115" i="91"/>
  <c r="C222" i="96"/>
  <c r="E105" i="91"/>
  <c r="K95" i="87"/>
  <c r="K72" i="87" s="1"/>
  <c r="C137" i="96"/>
  <c r="B140" i="87"/>
  <c r="B150" i="91"/>
  <c r="D138" i="87"/>
  <c r="D244" i="91"/>
  <c r="D148" i="91"/>
  <c r="C133" i="87"/>
  <c r="C239" i="91"/>
  <c r="D235" i="91"/>
  <c r="D129" i="87"/>
  <c r="C138" i="91"/>
  <c r="C128" i="87"/>
  <c r="C234" i="91"/>
  <c r="D651" i="96"/>
  <c r="F150" i="91"/>
  <c r="F142" i="91"/>
  <c r="D525" i="96"/>
  <c r="F137" i="91"/>
  <c r="D215" i="96"/>
  <c r="D564" i="96"/>
  <c r="E149" i="91"/>
  <c r="C650" i="96"/>
  <c r="E141" i="91"/>
  <c r="E140" i="91"/>
  <c r="C134" i="87"/>
  <c r="C144" i="91"/>
  <c r="C240" i="91"/>
  <c r="C141" i="87"/>
  <c r="C247" i="91"/>
  <c r="C527" i="96"/>
  <c r="B135" i="69"/>
  <c r="B220" i="69"/>
  <c r="F119" i="91"/>
  <c r="B157" i="69"/>
  <c r="B242" i="69"/>
  <c r="D125" i="66"/>
  <c r="D210" i="66"/>
  <c r="B154" i="66"/>
  <c r="B239" i="66"/>
  <c r="C147" i="66"/>
  <c r="C232" i="66"/>
  <c r="B218" i="69"/>
  <c r="B133" i="69"/>
  <c r="B123" i="69"/>
  <c r="D201" i="69"/>
  <c r="B107" i="68"/>
  <c r="B192" i="68"/>
  <c r="D108" i="91"/>
  <c r="D204" i="91"/>
  <c r="B493" i="96"/>
  <c r="C122" i="68"/>
  <c r="D113" i="87"/>
  <c r="D123" i="91"/>
  <c r="C117" i="91"/>
  <c r="C213" i="91"/>
  <c r="E147" i="102"/>
  <c r="F132" i="91"/>
  <c r="D369" i="96"/>
  <c r="D445" i="96"/>
  <c r="F128" i="91"/>
  <c r="D367" i="96"/>
  <c r="F126" i="91"/>
  <c r="D224" i="96"/>
  <c r="D147" i="102"/>
  <c r="K96" i="87"/>
  <c r="K83" i="87" s="1"/>
  <c r="C140" i="87"/>
  <c r="C150" i="91"/>
  <c r="D644" i="96"/>
  <c r="E150" i="91"/>
  <c r="E142" i="91"/>
  <c r="E137" i="91"/>
  <c r="C525" i="96"/>
  <c r="G151" i="91"/>
  <c r="E668" i="96"/>
  <c r="E125" i="91"/>
  <c r="G117" i="91"/>
  <c r="G131" i="91"/>
  <c r="G111" i="91"/>
  <c r="G114" i="91"/>
  <c r="G106" i="91"/>
  <c r="G145" i="91"/>
  <c r="G121" i="91"/>
  <c r="G107" i="91"/>
  <c r="G96" i="69" s="1"/>
  <c r="G123" i="91"/>
  <c r="B101" i="68"/>
  <c r="B186" i="68"/>
  <c r="C208" i="69"/>
  <c r="C123" i="69"/>
  <c r="C685" i="96"/>
  <c r="G142" i="91"/>
  <c r="G144" i="91"/>
  <c r="G147" i="91"/>
  <c r="G113" i="91"/>
  <c r="G105" i="91"/>
  <c r="F646" i="96"/>
  <c r="G112" i="91"/>
  <c r="G110" i="91"/>
  <c r="C121" i="68"/>
  <c r="C529" i="96"/>
  <c r="C656" i="96"/>
  <c r="C672" i="96" s="1"/>
  <c r="G126" i="91"/>
  <c r="G158" i="91"/>
  <c r="C462" i="96"/>
  <c r="C366" i="96"/>
  <c r="C213" i="96"/>
  <c r="H564" i="96"/>
  <c r="G150" i="91"/>
  <c r="G127" i="91"/>
  <c r="G143" i="91"/>
  <c r="C127" i="68"/>
  <c r="B194" i="68"/>
  <c r="C677" i="96"/>
  <c r="G165" i="91"/>
  <c r="E155" i="91"/>
  <c r="B146" i="91"/>
  <c r="C417" i="96"/>
  <c r="G122" i="68"/>
  <c r="C684" i="96"/>
  <c r="G156" i="91"/>
  <c r="G163" i="91"/>
  <c r="C683" i="96"/>
  <c r="C667" i="96" s="1"/>
  <c r="G152" i="91"/>
  <c r="G140" i="91"/>
  <c r="G132" i="91"/>
  <c r="C680" i="96"/>
  <c r="G164" i="91"/>
  <c r="G162" i="91"/>
  <c r="C682" i="96"/>
  <c r="C581" i="96"/>
  <c r="G138" i="91"/>
  <c r="C147" i="96"/>
  <c r="G108" i="91"/>
  <c r="K108" i="68"/>
  <c r="B95" i="87"/>
  <c r="B122" i="87"/>
  <c r="B113" i="87"/>
  <c r="B216" i="91"/>
  <c r="B126" i="91"/>
  <c r="B148" i="91"/>
  <c r="D537" i="96"/>
  <c r="J108" i="68"/>
  <c r="B98" i="87"/>
  <c r="B105" i="87"/>
  <c r="B146" i="87"/>
  <c r="B127" i="91"/>
  <c r="B139" i="87"/>
  <c r="E98" i="69"/>
  <c r="E183" i="69" s="1"/>
  <c r="M108" i="68"/>
  <c r="I108" i="68"/>
  <c r="B214" i="91"/>
  <c r="B114" i="91"/>
  <c r="B100" i="87"/>
  <c r="B120" i="87"/>
  <c r="B164" i="91"/>
  <c r="B246" i="91"/>
  <c r="B241" i="91"/>
  <c r="B265" i="91"/>
  <c r="L108" i="68"/>
  <c r="B202" i="91"/>
  <c r="B117" i="91"/>
  <c r="B220" i="91"/>
  <c r="B138" i="91"/>
  <c r="C537" i="96"/>
  <c r="B266" i="91"/>
  <c r="B125" i="87"/>
  <c r="D145" i="87"/>
  <c r="D155" i="91"/>
  <c r="D251" i="91"/>
  <c r="D141" i="69"/>
  <c r="D248" i="91"/>
  <c r="B170" i="91"/>
  <c r="B158" i="69"/>
  <c r="B242" i="66"/>
  <c r="B264" i="91"/>
  <c r="B157" i="68"/>
  <c r="B168" i="91"/>
  <c r="H496" i="96"/>
  <c r="F496" i="96"/>
  <c r="K564" i="96"/>
  <c r="K565" i="96"/>
  <c r="K573" i="96" s="1"/>
  <c r="G191" i="69"/>
  <c r="G219" i="69"/>
  <c r="F219" i="69"/>
  <c r="E443" i="96"/>
  <c r="I564" i="96"/>
  <c r="E448" i="96"/>
  <c r="F103" i="69"/>
  <c r="D334" i="96"/>
  <c r="E211" i="96"/>
  <c r="J564" i="96"/>
  <c r="E141" i="69"/>
  <c r="E103" i="69"/>
  <c r="F91" i="91"/>
  <c r="E287" i="96"/>
  <c r="E137" i="69"/>
  <c r="E111" i="69"/>
  <c r="G125" i="69"/>
  <c r="F207" i="69"/>
  <c r="G207" i="69"/>
  <c r="G232" i="69"/>
  <c r="F192" i="69"/>
  <c r="D211" i="96"/>
  <c r="D287" i="96"/>
  <c r="E192" i="69"/>
  <c r="F567" i="96"/>
  <c r="E567" i="96"/>
  <c r="E575" i="96" s="1"/>
  <c r="F223" i="69"/>
  <c r="F141" i="91"/>
  <c r="E213" i="69"/>
  <c r="E214" i="69"/>
  <c r="E218" i="69"/>
  <c r="E225" i="69"/>
  <c r="E219" i="69"/>
  <c r="F210" i="69"/>
  <c r="F209" i="69"/>
  <c r="F238" i="69"/>
  <c r="E240" i="69"/>
  <c r="E238" i="69"/>
  <c r="E208" i="69"/>
  <c r="E108" i="91"/>
  <c r="E182" i="69"/>
  <c r="F213" i="69"/>
  <c r="E226" i="69"/>
  <c r="E212" i="69"/>
  <c r="G210" i="69"/>
  <c r="E210" i="69"/>
  <c r="E209" i="69"/>
  <c r="F802" i="96"/>
  <c r="F232" i="69"/>
  <c r="F191" i="69"/>
  <c r="F189" i="69"/>
  <c r="F182" i="69"/>
  <c r="D146" i="102"/>
  <c r="E232" i="69"/>
  <c r="E207" i="69"/>
  <c r="E191" i="69"/>
  <c r="E189" i="69"/>
  <c r="G212" i="69"/>
  <c r="F212" i="69"/>
  <c r="E224" i="69"/>
  <c r="E216" i="69"/>
  <c r="G214" i="69"/>
  <c r="G218" i="69"/>
  <c r="G208" i="69"/>
  <c r="G238" i="69"/>
  <c r="F237" i="69"/>
  <c r="E237" i="69"/>
  <c r="F224" i="69"/>
  <c r="F216" i="69"/>
  <c r="E223" i="69"/>
  <c r="F214" i="69"/>
  <c r="F218" i="69"/>
  <c r="G209" i="69"/>
  <c r="G182" i="69"/>
  <c r="P126" i="87"/>
  <c r="N126" i="87"/>
  <c r="O126" i="87"/>
  <c r="F207" i="68"/>
  <c r="E208" i="68"/>
  <c r="E210" i="68"/>
  <c r="E209" i="68"/>
  <c r="B244" i="68"/>
  <c r="C114" i="69"/>
  <c r="C96" i="69"/>
  <c r="C101" i="69"/>
  <c r="D199" i="69"/>
  <c r="D225" i="69"/>
  <c r="D102" i="69"/>
  <c r="C104" i="69"/>
  <c r="D105" i="69"/>
  <c r="B138" i="69"/>
  <c r="B107" i="69"/>
  <c r="D122" i="69"/>
  <c r="B100" i="69"/>
  <c r="C100" i="69"/>
  <c r="C197" i="69"/>
  <c r="B212" i="69"/>
  <c r="C131" i="69"/>
  <c r="B109" i="69"/>
  <c r="C232" i="69"/>
  <c r="B154" i="69"/>
  <c r="B102" i="66"/>
  <c r="C103" i="66"/>
  <c r="B189" i="66"/>
  <c r="D125" i="91"/>
  <c r="D219" i="91"/>
  <c r="D221" i="91"/>
  <c r="C204" i="91"/>
  <c r="D148" i="102"/>
  <c r="E117" i="91"/>
  <c r="C217" i="91"/>
  <c r="B333" i="96"/>
  <c r="C121" i="91"/>
  <c r="F761" i="96"/>
  <c r="D365" i="96"/>
  <c r="D406" i="96"/>
  <c r="D122" i="96"/>
  <c r="F124" i="91"/>
  <c r="D377" i="96"/>
  <c r="F118" i="91"/>
  <c r="D222" i="96"/>
  <c r="E131" i="91"/>
  <c r="C448" i="96"/>
  <c r="C370" i="96"/>
  <c r="C377" i="96"/>
  <c r="C369" i="96"/>
  <c r="E129" i="91"/>
  <c r="C446" i="96"/>
  <c r="C455" i="96" s="1"/>
  <c r="C224" i="96"/>
  <c r="V251" i="96" s="1"/>
  <c r="C368" i="96"/>
  <c r="C444" i="96"/>
  <c r="E127" i="91"/>
  <c r="C376" i="96"/>
  <c r="C122" i="96"/>
  <c r="K86" i="87"/>
  <c r="C416" i="96"/>
  <c r="C411" i="96" s="1"/>
  <c r="C140" i="96"/>
  <c r="K75" i="87"/>
  <c r="E284" i="91"/>
  <c r="E113" i="91"/>
  <c r="C221" i="96"/>
  <c r="C119" i="96"/>
  <c r="D829" i="96"/>
  <c r="D132" i="87"/>
  <c r="D142" i="91"/>
  <c r="C131" i="87"/>
  <c r="C237" i="91"/>
  <c r="C141" i="91"/>
  <c r="B129" i="87"/>
  <c r="B139" i="91"/>
  <c r="B235" i="91"/>
  <c r="D137" i="91"/>
  <c r="D233" i="91"/>
  <c r="D656" i="96"/>
  <c r="D672" i="96" s="1"/>
  <c r="F148" i="91"/>
  <c r="F139" i="91"/>
  <c r="C526" i="96"/>
  <c r="C215" i="96"/>
  <c r="E138" i="91"/>
  <c r="C565" i="96"/>
  <c r="B134" i="87"/>
  <c r="B240" i="91"/>
  <c r="B141" i="87"/>
  <c r="B151" i="91"/>
  <c r="B242" i="91"/>
  <c r="B136" i="87"/>
  <c r="B111" i="87"/>
  <c r="B217" i="91"/>
  <c r="B121" i="91"/>
  <c r="D646" i="96"/>
  <c r="D111" i="91"/>
  <c r="B152" i="91"/>
  <c r="D245" i="91"/>
  <c r="D526" i="96"/>
  <c r="C155" i="91"/>
  <c r="D139" i="87"/>
  <c r="C145" i="87"/>
  <c r="F580" i="96"/>
  <c r="F564" i="96"/>
  <c r="F111" i="91"/>
  <c r="F146" i="91"/>
  <c r="E367" i="96"/>
  <c r="D121" i="96"/>
  <c r="D679" i="96"/>
  <c r="B208" i="68"/>
  <c r="B247" i="91"/>
  <c r="B169" i="91"/>
  <c r="C110" i="68"/>
  <c r="B117" i="66"/>
  <c r="D213" i="69"/>
  <c r="C114" i="87"/>
  <c r="D118" i="68"/>
  <c r="B104" i="68"/>
  <c r="D121" i="66"/>
  <c r="C117" i="69"/>
  <c r="D197" i="69"/>
  <c r="D198" i="66"/>
  <c r="B224" i="69"/>
  <c r="D166" i="91"/>
  <c r="D111" i="66"/>
  <c r="B182" i="69"/>
  <c r="B193" i="69"/>
  <c r="B211" i="66"/>
  <c r="D204" i="68"/>
  <c r="D100" i="68"/>
  <c r="D123" i="68"/>
  <c r="B110" i="66"/>
  <c r="D94" i="66"/>
  <c r="C153" i="66"/>
  <c r="C128" i="68"/>
  <c r="B150" i="66"/>
  <c r="D117" i="66"/>
  <c r="B161" i="91"/>
  <c r="B132" i="91"/>
  <c r="G564" i="96"/>
  <c r="J565" i="96"/>
  <c r="J573" i="96" s="1"/>
  <c r="D124" i="96"/>
  <c r="D828" i="96"/>
  <c r="D527" i="96"/>
  <c r="F94" i="91"/>
  <c r="D582" i="96"/>
  <c r="F678" i="96"/>
  <c r="L88" i="87"/>
  <c r="D142" i="96"/>
  <c r="D678" i="96"/>
  <c r="D370" i="96"/>
  <c r="C688" i="96"/>
  <c r="C681" i="96"/>
  <c r="C580" i="96"/>
  <c r="C281" i="96"/>
  <c r="E201" i="68"/>
  <c r="F462" i="96"/>
  <c r="I565" i="96"/>
  <c r="I573" i="96" s="1"/>
  <c r="D806" i="96"/>
  <c r="F493" i="96"/>
  <c r="D461" i="96"/>
  <c r="C676" i="96"/>
  <c r="C566" i="96"/>
  <c r="C711" i="96" s="1"/>
  <c r="F652" i="96"/>
  <c r="D147" i="96"/>
  <c r="L126" i="87"/>
  <c r="L125" i="87"/>
  <c r="E148" i="102"/>
  <c r="F568" i="96"/>
  <c r="F122" i="68"/>
  <c r="D281" i="96"/>
  <c r="K98" i="87"/>
  <c r="D649" i="96"/>
  <c r="C644" i="96"/>
  <c r="F147" i="91"/>
  <c r="E496" i="96"/>
  <c r="K126" i="87"/>
  <c r="K125" i="87"/>
  <c r="D807" i="96"/>
  <c r="F145" i="91"/>
  <c r="D223" i="96"/>
  <c r="D405" i="96"/>
  <c r="E132" i="91"/>
  <c r="C447" i="96"/>
  <c r="C445" i="96"/>
  <c r="C367" i="96"/>
  <c r="C415" i="96"/>
  <c r="F147" i="102"/>
  <c r="E221" i="96"/>
  <c r="E827" i="96"/>
  <c r="E119" i="96"/>
  <c r="E805" i="96"/>
  <c r="E463" i="96"/>
  <c r="M97" i="87"/>
  <c r="E762" i="96"/>
  <c r="E147" i="96"/>
  <c r="E582" i="96"/>
  <c r="E729" i="96" s="1"/>
  <c r="M89" i="87"/>
  <c r="E406" i="96"/>
  <c r="E411" i="96" s="1"/>
  <c r="E824" i="96"/>
  <c r="E807" i="96"/>
  <c r="E818" i="96" s="1"/>
  <c r="E568" i="96"/>
  <c r="M84" i="87"/>
  <c r="E370" i="96"/>
  <c r="E526" i="96"/>
  <c r="E580" i="96"/>
  <c r="L73" i="87"/>
  <c r="D282" i="96"/>
  <c r="F89" i="91"/>
  <c r="G496" i="96"/>
  <c r="E565" i="96"/>
  <c r="E573" i="96" s="1"/>
  <c r="F446" i="96"/>
  <c r="F684" i="96"/>
  <c r="N131" i="87"/>
  <c r="E141" i="96"/>
  <c r="E676" i="96"/>
  <c r="E730" i="96" s="1"/>
  <c r="M90" i="87"/>
  <c r="E826" i="96"/>
  <c r="E774" i="96"/>
  <c r="E803" i="96"/>
  <c r="E773" i="96"/>
  <c r="E677" i="96"/>
  <c r="E731" i="96" s="1"/>
  <c r="M138" i="87"/>
  <c r="M115" i="87"/>
  <c r="M129" i="87"/>
  <c r="M120" i="87"/>
  <c r="E465" i="96"/>
  <c r="E112" i="91"/>
  <c r="D226" i="96"/>
  <c r="D251" i="96" s="1"/>
  <c r="E134" i="69" l="1"/>
  <c r="C457" i="96"/>
  <c r="D456" i="96"/>
  <c r="B648" i="96"/>
  <c r="F138" i="69"/>
  <c r="F94" i="69"/>
  <c r="E182" i="68"/>
  <c r="E107" i="68"/>
  <c r="E193" i="66"/>
  <c r="D569" i="96"/>
  <c r="D666" i="96"/>
  <c r="C662" i="96"/>
  <c r="E108" i="69"/>
  <c r="E193" i="69" s="1"/>
  <c r="D668" i="96"/>
  <c r="D453" i="96"/>
  <c r="C36" i="123"/>
  <c r="E234" i="69"/>
  <c r="E236" i="69"/>
  <c r="F236" i="69"/>
  <c r="G234" i="69"/>
  <c r="F139" i="69"/>
  <c r="F97" i="69"/>
  <c r="K37" i="87"/>
  <c r="D297" i="96"/>
  <c r="M110" i="87"/>
  <c r="E206" i="68"/>
  <c r="D936" i="96"/>
  <c r="D296" i="96"/>
  <c r="D295" i="96"/>
  <c r="D300" i="96"/>
  <c r="D298" i="96"/>
  <c r="N146" i="87"/>
  <c r="D299" i="96"/>
  <c r="E282" i="96"/>
  <c r="E936" i="96" s="1"/>
  <c r="D418" i="96"/>
  <c r="C714" i="96"/>
  <c r="D410" i="96"/>
  <c r="D538" i="96"/>
  <c r="C162" i="96"/>
  <c r="C250" i="96"/>
  <c r="C252" i="96" s="1"/>
  <c r="D234" i="96"/>
  <c r="D244" i="96"/>
  <c r="D665" i="96"/>
  <c r="D236" i="96"/>
  <c r="D240" i="96"/>
  <c r="D242" i="96"/>
  <c r="D154" i="96"/>
  <c r="C412" i="96"/>
  <c r="D245" i="96"/>
  <c r="L36" i="87"/>
  <c r="D239" i="96"/>
  <c r="D233" i="96"/>
  <c r="C245" i="96"/>
  <c r="D378" i="96"/>
  <c r="D250" i="96"/>
  <c r="D252" i="96" s="1"/>
  <c r="D253" i="96" s="1"/>
  <c r="D238" i="96"/>
  <c r="D235" i="96"/>
  <c r="D237" i="96"/>
  <c r="D241" i="96"/>
  <c r="D731" i="96"/>
  <c r="D454" i="96"/>
  <c r="D457" i="96"/>
  <c r="F180" i="66"/>
  <c r="G234" i="68"/>
  <c r="F234" i="68"/>
  <c r="G240" i="66"/>
  <c r="D831" i="96"/>
  <c r="D809" i="96"/>
  <c r="F159" i="96"/>
  <c r="E809" i="96"/>
  <c r="E235" i="69"/>
  <c r="G235" i="69"/>
  <c r="F235" i="69"/>
  <c r="E192" i="68"/>
  <c r="F179" i="68"/>
  <c r="E210" i="66"/>
  <c r="F209" i="66"/>
  <c r="E209" i="66"/>
  <c r="G210" i="66"/>
  <c r="F210" i="66"/>
  <c r="G209" i="66"/>
  <c r="F218" i="66"/>
  <c r="E215" i="66"/>
  <c r="F211" i="69"/>
  <c r="E202" i="69"/>
  <c r="E206" i="69"/>
  <c r="F203" i="69"/>
  <c r="G218" i="66"/>
  <c r="F217" i="66"/>
  <c r="E239" i="66"/>
  <c r="F232" i="66"/>
  <c r="G239" i="66"/>
  <c r="F221" i="69"/>
  <c r="E217" i="69"/>
  <c r="F213" i="66"/>
  <c r="E240" i="66"/>
  <c r="F200" i="69"/>
  <c r="E218" i="66"/>
  <c r="F215" i="66"/>
  <c r="G215" i="66"/>
  <c r="F198" i="66"/>
  <c r="G232" i="66"/>
  <c r="G198" i="66"/>
  <c r="G217" i="66"/>
  <c r="G185" i="66"/>
  <c r="G206" i="68"/>
  <c r="G103" i="68"/>
  <c r="G188" i="68" s="1"/>
  <c r="E232" i="68"/>
  <c r="E649" i="96"/>
  <c r="E665" i="96" s="1"/>
  <c r="F216" i="66"/>
  <c r="G216" i="66"/>
  <c r="E200" i="66"/>
  <c r="F237" i="66"/>
  <c r="G206" i="69"/>
  <c r="E220" i="66"/>
  <c r="E211" i="69"/>
  <c r="F217" i="69"/>
  <c r="E196" i="66"/>
  <c r="E232" i="66"/>
  <c r="E239" i="69"/>
  <c r="G239" i="69"/>
  <c r="G230" i="69"/>
  <c r="G225" i="66"/>
  <c r="E226" i="66"/>
  <c r="F229" i="69"/>
  <c r="E203" i="69"/>
  <c r="F202" i="66"/>
  <c r="G235" i="66"/>
  <c r="E219" i="66"/>
  <c r="G221" i="66"/>
  <c r="E222" i="69"/>
  <c r="E186" i="66"/>
  <c r="E230" i="66"/>
  <c r="F186" i="66"/>
  <c r="G237" i="66"/>
  <c r="G186" i="66"/>
  <c r="G201" i="66"/>
  <c r="G184" i="66"/>
  <c r="G200" i="69"/>
  <c r="G219" i="66"/>
  <c r="G217" i="69"/>
  <c r="G182" i="68"/>
  <c r="G127" i="68"/>
  <c r="E126" i="69"/>
  <c r="F117" i="69"/>
  <c r="E129" i="68"/>
  <c r="E130" i="68"/>
  <c r="E196" i="68"/>
  <c r="F114" i="69"/>
  <c r="F199" i="69" s="1"/>
  <c r="F116" i="69"/>
  <c r="F120" i="69"/>
  <c r="F205" i="69" s="1"/>
  <c r="E135" i="69"/>
  <c r="F212" i="66"/>
  <c r="F144" i="69"/>
  <c r="E190" i="66"/>
  <c r="F237" i="68"/>
  <c r="F230" i="68"/>
  <c r="F225" i="66"/>
  <c r="F214" i="66"/>
  <c r="E200" i="69"/>
  <c r="F201" i="69"/>
  <c r="E221" i="66"/>
  <c r="G214" i="66"/>
  <c r="E216" i="66"/>
  <c r="F226" i="66"/>
  <c r="E198" i="66"/>
  <c r="F185" i="66"/>
  <c r="F194" i="66"/>
  <c r="G226" i="66"/>
  <c r="F202" i="69"/>
  <c r="F206" i="69"/>
  <c r="G221" i="69"/>
  <c r="E214" i="66"/>
  <c r="E213" i="66"/>
  <c r="F230" i="69"/>
  <c r="G207" i="66"/>
  <c r="G201" i="69"/>
  <c r="F219" i="66"/>
  <c r="B879" i="96"/>
  <c r="G147" i="68"/>
  <c r="G102" i="68"/>
  <c r="G140" i="68"/>
  <c r="G225" i="68" s="1"/>
  <c r="E224" i="66"/>
  <c r="E223" i="66"/>
  <c r="E104" i="69"/>
  <c r="E113" i="69"/>
  <c r="E222" i="68"/>
  <c r="E202" i="66"/>
  <c r="E237" i="66"/>
  <c r="F235" i="66"/>
  <c r="G238" i="66"/>
  <c r="E221" i="69"/>
  <c r="E207" i="66"/>
  <c r="F221" i="66"/>
  <c r="E217" i="66"/>
  <c r="E201" i="69"/>
  <c r="F200" i="66"/>
  <c r="F204" i="66"/>
  <c r="E225" i="66"/>
  <c r="E229" i="69"/>
  <c r="E236" i="66"/>
  <c r="F236" i="66"/>
  <c r="F207" i="66"/>
  <c r="E236" i="68"/>
  <c r="B878" i="96"/>
  <c r="E131" i="69"/>
  <c r="F773" i="96"/>
  <c r="F767" i="96" s="1"/>
  <c r="E212" i="68"/>
  <c r="C712" i="96"/>
  <c r="C657" i="96"/>
  <c r="D660" i="96"/>
  <c r="D657" i="96"/>
  <c r="E188" i="68"/>
  <c r="E239" i="68"/>
  <c r="E105" i="69"/>
  <c r="E190" i="69" s="1"/>
  <c r="F205" i="66"/>
  <c r="E129" i="69"/>
  <c r="E130" i="69"/>
  <c r="F201" i="66"/>
  <c r="F115" i="69"/>
  <c r="B665" i="96"/>
  <c r="F199" i="66"/>
  <c r="E189" i="66"/>
  <c r="F188" i="91"/>
  <c r="E191" i="68"/>
  <c r="E219" i="68"/>
  <c r="F937" i="96"/>
  <c r="C940" i="96"/>
  <c r="F662" i="96"/>
  <c r="D940" i="96"/>
  <c r="E712" i="96"/>
  <c r="E721" i="96" s="1"/>
  <c r="E660" i="96"/>
  <c r="F668" i="96"/>
  <c r="C689" i="96"/>
  <c r="D715" i="96"/>
  <c r="D724" i="96" s="1"/>
  <c r="D667" i="96"/>
  <c r="C663" i="96"/>
  <c r="D663" i="96"/>
  <c r="C944" i="96"/>
  <c r="C666" i="96"/>
  <c r="D714" i="96"/>
  <c r="D662" i="96"/>
  <c r="E713" i="96"/>
  <c r="E722" i="96" s="1"/>
  <c r="E661" i="96"/>
  <c r="C665" i="96"/>
  <c r="C730" i="96"/>
  <c r="C335" i="96"/>
  <c r="E497" i="96"/>
  <c r="G191" i="68"/>
  <c r="G181" i="68"/>
  <c r="D203" i="70"/>
  <c r="E195" i="68"/>
  <c r="F196" i="68"/>
  <c r="D735" i="96"/>
  <c r="F135" i="68"/>
  <c r="G129" i="68"/>
  <c r="G154" i="68"/>
  <c r="G94" i="68"/>
  <c r="F115" i="68"/>
  <c r="F200" i="68" s="1"/>
  <c r="F95" i="68"/>
  <c r="F180" i="68" s="1"/>
  <c r="F127" i="68"/>
  <c r="F118" i="68"/>
  <c r="F144" i="68"/>
  <c r="K580" i="96"/>
  <c r="E140" i="69"/>
  <c r="F133" i="68"/>
  <c r="K99" i="68"/>
  <c r="E189" i="91"/>
  <c r="F104" i="68"/>
  <c r="F99" i="68"/>
  <c r="F119" i="68"/>
  <c r="F110" i="68"/>
  <c r="F103" i="68"/>
  <c r="F100" i="68"/>
  <c r="F137" i="68"/>
  <c r="G121" i="68"/>
  <c r="G132" i="68"/>
  <c r="G136" i="68"/>
  <c r="G221" i="68" s="1"/>
  <c r="F114" i="68"/>
  <c r="F199" i="68" s="1"/>
  <c r="F116" i="68"/>
  <c r="F120" i="68"/>
  <c r="M99" i="68"/>
  <c r="I580" i="96"/>
  <c r="J580" i="96"/>
  <c r="F101" i="68"/>
  <c r="F138" i="68"/>
  <c r="F105" i="68"/>
  <c r="F102" i="68"/>
  <c r="F106" i="68"/>
  <c r="F132" i="68"/>
  <c r="F217" i="68" s="1"/>
  <c r="E186" i="68"/>
  <c r="F134" i="68"/>
  <c r="F136" i="68"/>
  <c r="F113" i="68"/>
  <c r="G141" i="68"/>
  <c r="G139" i="68"/>
  <c r="G224" i="68" s="1"/>
  <c r="G131" i="68"/>
  <c r="F813" i="96"/>
  <c r="F126" i="68"/>
  <c r="F139" i="68"/>
  <c r="F112" i="68"/>
  <c r="F129" i="68"/>
  <c r="G155" i="68"/>
  <c r="F140" i="68"/>
  <c r="F97" i="68"/>
  <c r="D717" i="96"/>
  <c r="F128" i="68"/>
  <c r="F107" i="68"/>
  <c r="F130" i="68"/>
  <c r="F187" i="91"/>
  <c r="G116" i="68"/>
  <c r="G133" i="68"/>
  <c r="G96" i="68"/>
  <c r="G134" i="68"/>
  <c r="G100" i="68"/>
  <c r="G106" i="68"/>
  <c r="F117" i="68"/>
  <c r="F121" i="68"/>
  <c r="F108" i="68"/>
  <c r="F131" i="68"/>
  <c r="E187" i="91"/>
  <c r="F109" i="68"/>
  <c r="F141" i="68"/>
  <c r="F94" i="68"/>
  <c r="L99" i="68"/>
  <c r="H108" i="68"/>
  <c r="F189" i="91"/>
  <c r="F96" i="68"/>
  <c r="F111" i="68"/>
  <c r="B678" i="96"/>
  <c r="E132" i="69"/>
  <c r="E119" i="69"/>
  <c r="E204" i="69" s="1"/>
  <c r="F166" i="91"/>
  <c r="F208" i="68"/>
  <c r="F99" i="69"/>
  <c r="F184" i="69" s="1"/>
  <c r="E188" i="91"/>
  <c r="D335" i="96"/>
  <c r="F140" i="69"/>
  <c r="F225" i="69" s="1"/>
  <c r="F281" i="91"/>
  <c r="E106" i="68"/>
  <c r="G125" i="68"/>
  <c r="G124" i="68"/>
  <c r="G145" i="68"/>
  <c r="G230" i="68" s="1"/>
  <c r="E114" i="68"/>
  <c r="E138" i="68"/>
  <c r="E117" i="68"/>
  <c r="E132" i="68"/>
  <c r="E140" i="68"/>
  <c r="E119" i="68"/>
  <c r="E101" i="68"/>
  <c r="E116" i="68"/>
  <c r="G153" i="68"/>
  <c r="E144" i="68"/>
  <c r="E126" i="68"/>
  <c r="E104" i="68"/>
  <c r="E189" i="68" s="1"/>
  <c r="E113" i="68"/>
  <c r="E122" i="68"/>
  <c r="E128" i="68"/>
  <c r="E135" i="68"/>
  <c r="E110" i="68"/>
  <c r="E105" i="68"/>
  <c r="E133" i="68"/>
  <c r="E120" i="68"/>
  <c r="E97" i="68"/>
  <c r="G152" i="68"/>
  <c r="G237" i="68" s="1"/>
  <c r="E139" i="68"/>
  <c r="E94" i="68"/>
  <c r="E115" i="68"/>
  <c r="E112" i="68"/>
  <c r="E197" i="68" s="1"/>
  <c r="E118" i="68"/>
  <c r="E123" i="68"/>
  <c r="G151" i="68"/>
  <c r="E131" i="68"/>
  <c r="E96" i="68"/>
  <c r="E99" i="68"/>
  <c r="E136" i="68"/>
  <c r="F154" i="68"/>
  <c r="E137" i="68"/>
  <c r="E109" i="68"/>
  <c r="E95" i="68"/>
  <c r="E180" i="68" s="1"/>
  <c r="E117" i="69"/>
  <c r="E190" i="91"/>
  <c r="E211" i="68"/>
  <c r="E223" i="68"/>
  <c r="F141" i="69"/>
  <c r="E94" i="69"/>
  <c r="E179" i="69" s="1"/>
  <c r="F123" i="69"/>
  <c r="F121" i="69"/>
  <c r="F131" i="69"/>
  <c r="E218" i="68"/>
  <c r="E226" i="68"/>
  <c r="B669" i="96"/>
  <c r="G212" i="68"/>
  <c r="E139" i="69"/>
  <c r="E112" i="69"/>
  <c r="F193" i="66"/>
  <c r="F129" i="69"/>
  <c r="F189" i="66"/>
  <c r="E815" i="96"/>
  <c r="D452" i="96"/>
  <c r="G186" i="68"/>
  <c r="F188" i="66"/>
  <c r="F108" i="69"/>
  <c r="F193" i="69" s="1"/>
  <c r="E115" i="69"/>
  <c r="F104" i="69"/>
  <c r="D256" i="70"/>
  <c r="D732" i="96"/>
  <c r="E188" i="69"/>
  <c r="G187" i="68"/>
  <c r="F211" i="68"/>
  <c r="C720" i="96"/>
  <c r="E180" i="66"/>
  <c r="F181" i="66"/>
  <c r="F191" i="66"/>
  <c r="F105" i="69"/>
  <c r="F101" i="69"/>
  <c r="F186" i="69" s="1"/>
  <c r="E138" i="69"/>
  <c r="F111" i="69"/>
  <c r="C717" i="96"/>
  <c r="C735" i="96"/>
  <c r="C203" i="70"/>
  <c r="E110" i="69"/>
  <c r="E199" i="66"/>
  <c r="F118" i="69"/>
  <c r="F187" i="66"/>
  <c r="F96" i="69"/>
  <c r="F181" i="69" s="1"/>
  <c r="F106" i="69"/>
  <c r="F197" i="66"/>
  <c r="E179" i="68"/>
  <c r="F194" i="68"/>
  <c r="E114" i="69"/>
  <c r="E199" i="69" s="1"/>
  <c r="F102" i="69"/>
  <c r="F187" i="69" s="1"/>
  <c r="E136" i="69"/>
  <c r="F112" i="69"/>
  <c r="F197" i="69" s="1"/>
  <c r="E237" i="68"/>
  <c r="F186" i="91"/>
  <c r="F192" i="91"/>
  <c r="E235" i="68"/>
  <c r="D585" i="96"/>
  <c r="D577" i="96" s="1"/>
  <c r="D729" i="96"/>
  <c r="D720" i="96" s="1"/>
  <c r="C733" i="96"/>
  <c r="C724" i="96" s="1"/>
  <c r="C732" i="96"/>
  <c r="C723" i="96" s="1"/>
  <c r="C731" i="96"/>
  <c r="E576" i="96"/>
  <c r="C946" i="96"/>
  <c r="C945" i="96" s="1"/>
  <c r="E715" i="96"/>
  <c r="E724" i="96" s="1"/>
  <c r="L37" i="87"/>
  <c r="D712" i="96"/>
  <c r="C530" i="96"/>
  <c r="G139" i="91"/>
  <c r="E35" i="123"/>
  <c r="E775" i="96"/>
  <c r="E208" i="66"/>
  <c r="B817" i="96"/>
  <c r="E763" i="96"/>
  <c r="F235" i="68"/>
  <c r="F221" i="68"/>
  <c r="E43" i="123"/>
  <c r="E42" i="123" s="1"/>
  <c r="Q49" i="123"/>
  <c r="Q48" i="123" s="1"/>
  <c r="B815" i="96"/>
  <c r="H580" i="96"/>
  <c r="Q37" i="123"/>
  <c r="Q36" i="123" s="1"/>
  <c r="D37" i="123"/>
  <c r="D31" i="123" s="1"/>
  <c r="Q43" i="123"/>
  <c r="Q42" i="123" s="1"/>
  <c r="R43" i="123"/>
  <c r="R42" i="123" s="1"/>
  <c r="E160" i="70"/>
  <c r="G123" i="68"/>
  <c r="E874" i="96"/>
  <c r="F123" i="68"/>
  <c r="D874" i="96"/>
  <c r="S49" i="123"/>
  <c r="S48" i="123" s="1"/>
  <c r="Q55" i="123"/>
  <c r="Q54" i="123" s="1"/>
  <c r="R37" i="123"/>
  <c r="S55" i="123"/>
  <c r="S54" i="123" s="1"/>
  <c r="C43" i="123"/>
  <c r="C31" i="123" s="1"/>
  <c r="S37" i="123"/>
  <c r="S36" i="123" s="1"/>
  <c r="S43" i="123"/>
  <c r="S42" i="123" s="1"/>
  <c r="E240" i="68"/>
  <c r="E816" i="96"/>
  <c r="E813" i="96"/>
  <c r="C467" i="96"/>
  <c r="D449" i="96"/>
  <c r="B818" i="96"/>
  <c r="C453" i="96"/>
  <c r="C452" i="96"/>
  <c r="C573" i="96"/>
  <c r="C585" i="96"/>
  <c r="D411" i="96"/>
  <c r="D455" i="96"/>
  <c r="K35" i="87"/>
  <c r="G236" i="66"/>
  <c r="G237" i="69"/>
  <c r="E216" i="68"/>
  <c r="D944" i="96"/>
  <c r="C538" i="96"/>
  <c r="I572" i="96"/>
  <c r="G572" i="96"/>
  <c r="D946" i="96"/>
  <c r="D945" i="96" s="1"/>
  <c r="K572" i="96"/>
  <c r="H572" i="96"/>
  <c r="D162" i="96"/>
  <c r="J572" i="96"/>
  <c r="C943" i="96"/>
  <c r="D572" i="96"/>
  <c r="D943" i="96"/>
  <c r="F184" i="68"/>
  <c r="B668" i="96"/>
  <c r="F240" i="68"/>
  <c r="F222" i="69"/>
  <c r="F240" i="69"/>
  <c r="B828" i="96"/>
  <c r="E179" i="66"/>
  <c r="E184" i="66"/>
  <c r="E235" i="66"/>
  <c r="E194" i="66"/>
  <c r="F206" i="66"/>
  <c r="F179" i="66"/>
  <c r="E206" i="66"/>
  <c r="F184" i="66"/>
  <c r="G206" i="66"/>
  <c r="F239" i="66"/>
  <c r="F239" i="69"/>
  <c r="G230" i="66"/>
  <c r="G151" i="69"/>
  <c r="G154" i="69"/>
  <c r="G179" i="68"/>
  <c r="G179" i="66"/>
  <c r="G181" i="69"/>
  <c r="B672" i="96"/>
  <c r="F229" i="66"/>
  <c r="E188" i="66"/>
  <c r="F127" i="69"/>
  <c r="G123" i="69"/>
  <c r="G129" i="69"/>
  <c r="G121" i="69"/>
  <c r="L38" i="87"/>
  <c r="F211" i="66"/>
  <c r="F222" i="68"/>
  <c r="G184" i="68"/>
  <c r="C456" i="96"/>
  <c r="C148" i="96"/>
  <c r="C151" i="96" s="1"/>
  <c r="E181" i="66"/>
  <c r="E144" i="69"/>
  <c r="F224" i="66"/>
  <c r="E211" i="66"/>
  <c r="F203" i="66"/>
  <c r="F126" i="69"/>
  <c r="F109" i="69"/>
  <c r="F194" i="69" s="1"/>
  <c r="F229" i="68"/>
  <c r="G122" i="69"/>
  <c r="F218" i="68"/>
  <c r="F223" i="68"/>
  <c r="E225" i="68"/>
  <c r="E184" i="68"/>
  <c r="L35" i="87"/>
  <c r="F179" i="69"/>
  <c r="F226" i="68"/>
  <c r="C158" i="96"/>
  <c r="F190" i="66"/>
  <c r="F214" i="68"/>
  <c r="D204" i="70"/>
  <c r="G236" i="68"/>
  <c r="F204" i="69"/>
  <c r="F212" i="68"/>
  <c r="E238" i="68"/>
  <c r="E214" i="68"/>
  <c r="F216" i="68"/>
  <c r="E187" i="68"/>
  <c r="E207" i="68"/>
  <c r="D161" i="70"/>
  <c r="F232" i="68"/>
  <c r="C371" i="96"/>
  <c r="C253" i="96"/>
  <c r="C204" i="70"/>
  <c r="E180" i="69"/>
  <c r="C162" i="70"/>
  <c r="F238" i="68"/>
  <c r="F187" i="68"/>
  <c r="F191" i="68"/>
  <c r="D160" i="70"/>
  <c r="F230" i="66"/>
  <c r="E181" i="69"/>
  <c r="F182" i="66"/>
  <c r="G141" i="69"/>
  <c r="G124" i="69"/>
  <c r="F206" i="68"/>
  <c r="F189" i="68"/>
  <c r="W250" i="96"/>
  <c r="W252" i="96" s="1"/>
  <c r="E194" i="69"/>
  <c r="G226" i="68"/>
  <c r="E230" i="68"/>
  <c r="C161" i="70"/>
  <c r="E229" i="68"/>
  <c r="G208" i="68"/>
  <c r="G222" i="68"/>
  <c r="G148" i="91"/>
  <c r="G130" i="91"/>
  <c r="E162" i="70"/>
  <c r="E184" i="69"/>
  <c r="C202" i="70"/>
  <c r="D130" i="96"/>
  <c r="D133" i="96" s="1"/>
  <c r="G125" i="91"/>
  <c r="G120" i="91"/>
  <c r="E230" i="69"/>
  <c r="F188" i="69"/>
  <c r="G214" i="68"/>
  <c r="E161" i="70"/>
  <c r="G210" i="68"/>
  <c r="G209" i="68"/>
  <c r="G207" i="68"/>
  <c r="G201" i="68"/>
  <c r="E768" i="96"/>
  <c r="F185" i="68"/>
  <c r="E121" i="68"/>
  <c r="E127" i="68"/>
  <c r="D148" i="96"/>
  <c r="L44" i="87" s="1"/>
  <c r="G150" i="68"/>
  <c r="E102" i="68"/>
  <c r="D162" i="70"/>
  <c r="D371" i="96"/>
  <c r="F180" i="69"/>
  <c r="F223" i="66"/>
  <c r="C660" i="96"/>
  <c r="G219" i="68"/>
  <c r="E204" i="66"/>
  <c r="D202" i="70"/>
  <c r="E192" i="66"/>
  <c r="G218" i="68"/>
  <c r="E202" i="70"/>
  <c r="F213" i="68"/>
  <c r="F190" i="69"/>
  <c r="C160" i="70"/>
  <c r="D467" i="96"/>
  <c r="G802" i="96"/>
  <c r="G133" i="69"/>
  <c r="D303" i="96"/>
  <c r="G94" i="69"/>
  <c r="G153" i="69"/>
  <c r="G106" i="69"/>
  <c r="G191" i="66"/>
  <c r="E127" i="69"/>
  <c r="E212" i="66"/>
  <c r="F137" i="69"/>
  <c r="F222" i="66"/>
  <c r="E116" i="69"/>
  <c r="E201" i="66"/>
  <c r="F208" i="66"/>
  <c r="E97" i="69"/>
  <c r="E182" i="66"/>
  <c r="E238" i="66"/>
  <c r="F238" i="66"/>
  <c r="G147" i="69"/>
  <c r="E101" i="69"/>
  <c r="E186" i="69" s="1"/>
  <c r="G152" i="69"/>
  <c r="G127" i="69"/>
  <c r="G212" i="66"/>
  <c r="G100" i="69"/>
  <c r="G185" i="69" s="1"/>
  <c r="F122" i="69"/>
  <c r="G140" i="69"/>
  <c r="G225" i="69" s="1"/>
  <c r="G108" i="69"/>
  <c r="G193" i="69" s="1"/>
  <c r="G193" i="66"/>
  <c r="E102" i="69"/>
  <c r="E187" i="69" s="1"/>
  <c r="E187" i="66"/>
  <c r="E120" i="69"/>
  <c r="E205" i="69" s="1"/>
  <c r="E205" i="66"/>
  <c r="E123" i="69"/>
  <c r="E222" i="66"/>
  <c r="G113" i="69"/>
  <c r="G103" i="69"/>
  <c r="G188" i="69" s="1"/>
  <c r="G188" i="66"/>
  <c r="G131" i="69"/>
  <c r="G216" i="69" s="1"/>
  <c r="G134" i="69"/>
  <c r="G130" i="69"/>
  <c r="F135" i="69"/>
  <c r="F100" i="69"/>
  <c r="F185" i="69" s="1"/>
  <c r="F128" i="69"/>
  <c r="E118" i="69"/>
  <c r="E203" i="66"/>
  <c r="F107" i="69"/>
  <c r="F192" i="66"/>
  <c r="F113" i="69"/>
  <c r="E106" i="69"/>
  <c r="E191" i="66"/>
  <c r="E197" i="66"/>
  <c r="G132" i="69"/>
  <c r="G139" i="69"/>
  <c r="G224" i="69" s="1"/>
  <c r="G224" i="66"/>
  <c r="G136" i="69"/>
  <c r="G150" i="69"/>
  <c r="G116" i="69"/>
  <c r="G102" i="69"/>
  <c r="G187" i="66"/>
  <c r="E121" i="69"/>
  <c r="F134" i="69"/>
  <c r="F136" i="69"/>
  <c r="G208" i="66"/>
  <c r="G145" i="69"/>
  <c r="E229" i="66"/>
  <c r="F130" i="69"/>
  <c r="E197" i="69"/>
  <c r="E215" i="68"/>
  <c r="C118" i="70"/>
  <c r="F208" i="69"/>
  <c r="G226" i="69"/>
  <c r="E203" i="70"/>
  <c r="D530" i="96"/>
  <c r="C378" i="96"/>
  <c r="V250" i="96"/>
  <c r="V252" i="96" s="1"/>
  <c r="V253" i="96"/>
  <c r="K38" i="87"/>
  <c r="D307" i="96"/>
  <c r="D308" i="96" s="1"/>
  <c r="D689" i="96"/>
  <c r="D690" i="96" s="1"/>
  <c r="G191" i="91"/>
  <c r="F190" i="91"/>
  <c r="F572" i="96"/>
  <c r="B825" i="96"/>
  <c r="B814" i="96"/>
  <c r="E585" i="96"/>
  <c r="D304" i="96"/>
  <c r="D574" i="96"/>
  <c r="C418" i="96"/>
  <c r="C410" i="96"/>
  <c r="C449" i="96"/>
  <c r="C454" i="96"/>
  <c r="D132" i="96"/>
  <c r="D158" i="96"/>
  <c r="L40" i="87"/>
  <c r="C569" i="96"/>
  <c r="C574" i="96"/>
  <c r="C572" i="96"/>
  <c r="F583" i="96"/>
  <c r="F575" i="96" s="1"/>
  <c r="M41" i="87"/>
  <c r="E825" i="96"/>
  <c r="E831" i="96" s="1"/>
  <c r="G192" i="91"/>
  <c r="E767" i="96"/>
  <c r="N128" i="87"/>
  <c r="E464" i="96"/>
  <c r="M106" i="87"/>
  <c r="G110" i="68"/>
  <c r="M85" i="87"/>
  <c r="E407" i="96"/>
  <c r="E213" i="96"/>
  <c r="E366" i="96"/>
  <c r="M139" i="87"/>
  <c r="E447" i="96"/>
  <c r="E456" i="96" s="1"/>
  <c r="E566" i="96"/>
  <c r="E462" i="96"/>
  <c r="E212" i="96"/>
  <c r="E332" i="96"/>
  <c r="M74" i="87"/>
  <c r="D246" i="96"/>
  <c r="W251" i="96"/>
  <c r="W253" i="96" s="1"/>
  <c r="D247" i="96"/>
  <c r="E417" i="96"/>
  <c r="C721" i="96" l="1"/>
  <c r="G236" i="69"/>
  <c r="C213" i="70"/>
  <c r="F234" i="69"/>
  <c r="D171" i="70" s="1"/>
  <c r="B681" i="96"/>
  <c r="C171" i="70"/>
  <c r="G117" i="102"/>
  <c r="K285" i="96"/>
  <c r="D540" i="96"/>
  <c r="B869" i="96"/>
  <c r="D539" i="96"/>
  <c r="D379" i="96"/>
  <c r="D726" i="96"/>
  <c r="D336" i="96"/>
  <c r="F203" i="68"/>
  <c r="B868" i="96"/>
  <c r="G185" i="68"/>
  <c r="C716" i="96"/>
  <c r="B880" i="96"/>
  <c r="B870" i="96"/>
  <c r="G114" i="68"/>
  <c r="F226" i="69"/>
  <c r="G232" i="68"/>
  <c r="F239" i="68"/>
  <c r="C211" i="70"/>
  <c r="E169" i="70"/>
  <c r="F190" i="68"/>
  <c r="E205" i="68"/>
  <c r="E217" i="68"/>
  <c r="C673" i="96"/>
  <c r="G204" i="66"/>
  <c r="F155" i="69"/>
  <c r="F185" i="91"/>
  <c r="E650" i="96"/>
  <c r="G194" i="66"/>
  <c r="G216" i="68"/>
  <c r="F204" i="68"/>
  <c r="D723" i="96"/>
  <c r="F225" i="68"/>
  <c r="E199" i="68"/>
  <c r="G239" i="68"/>
  <c r="F197" i="68"/>
  <c r="D213" i="70"/>
  <c r="G238" i="68"/>
  <c r="E224" i="68"/>
  <c r="C205" i="70"/>
  <c r="D673" i="96"/>
  <c r="D169" i="70"/>
  <c r="E190" i="68"/>
  <c r="D151" i="96"/>
  <c r="E203" i="68"/>
  <c r="E202" i="68"/>
  <c r="G240" i="68"/>
  <c r="G119" i="68"/>
  <c r="F224" i="68"/>
  <c r="D820" i="96"/>
  <c r="G217" i="68"/>
  <c r="D150" i="96"/>
  <c r="B685" i="96"/>
  <c r="G109" i="68"/>
  <c r="E213" i="68"/>
  <c r="F219" i="68"/>
  <c r="F202" i="68"/>
  <c r="F205" i="68"/>
  <c r="F188" i="68"/>
  <c r="F155" i="68"/>
  <c r="G128" i="68"/>
  <c r="J7" i="71"/>
  <c r="H568" i="96"/>
  <c r="C212" i="70"/>
  <c r="D170" i="70"/>
  <c r="E204" i="68"/>
  <c r="G137" i="68"/>
  <c r="E200" i="68"/>
  <c r="E163" i="70"/>
  <c r="D212" i="70" l="1"/>
  <c r="E171" i="70"/>
  <c r="F240" i="66"/>
  <c r="R31" i="123" l="1"/>
  <c r="E211" i="70"/>
  <c r="Q30" i="123"/>
  <c r="C726" i="96"/>
  <c r="C540" i="96"/>
  <c r="D716" i="96"/>
  <c r="D721" i="96"/>
  <c r="F576" i="96"/>
  <c r="C658" i="96"/>
  <c r="D658" i="96"/>
  <c r="E574" i="96"/>
  <c r="E711" i="96"/>
  <c r="E720" i="96" s="1"/>
  <c r="D372" i="96"/>
  <c r="B826" i="96"/>
  <c r="B688" i="96"/>
  <c r="D458" i="96"/>
  <c r="C577" i="96"/>
  <c r="S30" i="123"/>
  <c r="D211" i="70"/>
  <c r="D214" i="70" s="1"/>
  <c r="C169" i="70"/>
  <c r="D36" i="123"/>
  <c r="D30" i="123" s="1"/>
  <c r="B774" i="96"/>
  <c r="B768" i="96"/>
  <c r="B773" i="96"/>
  <c r="B767" i="96"/>
  <c r="G194" i="68"/>
  <c r="B684" i="96"/>
  <c r="S31" i="123"/>
  <c r="Q31" i="123"/>
  <c r="C458" i="96"/>
  <c r="C42" i="123"/>
  <c r="C30" i="123" s="1"/>
  <c r="R36" i="123"/>
  <c r="R30" i="123" s="1"/>
  <c r="B816" i="96"/>
  <c r="B827" i="96"/>
  <c r="B813" i="96"/>
  <c r="B824" i="96"/>
  <c r="E37" i="123"/>
  <c r="E31" i="123" s="1"/>
  <c r="C734" i="96"/>
  <c r="C725" i="96" s="1"/>
  <c r="C690" i="96"/>
  <c r="D205" i="70"/>
  <c r="B677" i="96"/>
  <c r="G240" i="69"/>
  <c r="G222" i="69"/>
  <c r="D149" i="96"/>
  <c r="E212" i="70"/>
  <c r="C214" i="70"/>
  <c r="D163" i="70"/>
  <c r="C163" i="70"/>
  <c r="G235" i="68"/>
  <c r="F5" i="91"/>
  <c r="G149" i="91"/>
  <c r="B679" i="96"/>
  <c r="B663" i="96"/>
  <c r="C170" i="70"/>
  <c r="B676" i="96"/>
  <c r="G116" i="91"/>
  <c r="B664" i="96"/>
  <c r="B680" i="96"/>
  <c r="G204" i="68"/>
  <c r="C127" i="70"/>
  <c r="D531" i="96"/>
  <c r="E204" i="70"/>
  <c r="E205" i="70" s="1"/>
  <c r="D734" i="96"/>
  <c r="B667" i="96"/>
  <c r="B683" i="96"/>
  <c r="B682" i="96"/>
  <c r="B666" i="96"/>
  <c r="G137" i="69"/>
  <c r="G222" i="66"/>
  <c r="G128" i="69"/>
  <c r="G213" i="69" s="1"/>
  <c r="G213" i="66"/>
  <c r="G119" i="69"/>
  <c r="G204" i="69" s="1"/>
  <c r="G109" i="69"/>
  <c r="G194" i="69" s="1"/>
  <c r="G114" i="69"/>
  <c r="G199" i="69" s="1"/>
  <c r="G199" i="66"/>
  <c r="G110" i="69"/>
  <c r="F196" i="66"/>
  <c r="E196" i="69"/>
  <c r="F215" i="68"/>
  <c r="D570" i="96"/>
  <c r="D172" i="70"/>
  <c r="E412" i="96"/>
  <c r="I568" i="96"/>
  <c r="G284" i="91"/>
  <c r="E528" i="96"/>
  <c r="E682" i="96"/>
  <c r="C245" i="70"/>
  <c r="G213" i="68"/>
  <c r="E820" i="96"/>
  <c r="M42" i="87"/>
  <c r="F565" i="96"/>
  <c r="E536" i="96"/>
  <c r="G115" i="68"/>
  <c r="E461" i="96"/>
  <c r="E140" i="96"/>
  <c r="E466" i="96"/>
  <c r="G120" i="68"/>
  <c r="F287" i="96"/>
  <c r="G199" i="68"/>
  <c r="D243" i="96"/>
  <c r="K101" i="87" l="1"/>
  <c r="H117" i="102"/>
  <c r="L285" i="96"/>
  <c r="E213" i="70"/>
  <c r="E214" i="70" s="1"/>
  <c r="E170" i="70"/>
  <c r="E172" i="70" s="1"/>
  <c r="G223" i="69"/>
  <c r="E215" i="69"/>
  <c r="C172" i="70"/>
  <c r="E944" i="96"/>
  <c r="E666" i="96"/>
  <c r="D725" i="96"/>
  <c r="H303" i="91"/>
  <c r="G138" i="68" l="1"/>
  <c r="G105" i="68"/>
  <c r="E36" i="123"/>
  <c r="E30" i="123" s="1"/>
  <c r="G813" i="96"/>
  <c r="G190" i="68"/>
  <c r="F573" i="96"/>
  <c r="C282" i="96"/>
  <c r="E90" i="91"/>
  <c r="G223" i="68"/>
  <c r="D118" i="70"/>
  <c r="C120" i="96"/>
  <c r="K73" i="87"/>
  <c r="E111" i="91"/>
  <c r="G215" i="69"/>
  <c r="C246" i="70"/>
  <c r="F220" i="66"/>
  <c r="E89" i="91"/>
  <c r="G105" i="69"/>
  <c r="G190" i="66"/>
  <c r="G115" i="69"/>
  <c r="G138" i="69"/>
  <c r="G223" i="66"/>
  <c r="C211" i="96"/>
  <c r="G120" i="69"/>
  <c r="F196" i="69"/>
  <c r="F215" i="69"/>
  <c r="E467" i="96"/>
  <c r="J568" i="96"/>
  <c r="G200" i="68"/>
  <c r="E452" i="96"/>
  <c r="C296" i="96" l="1"/>
  <c r="C300" i="96"/>
  <c r="C295" i="96"/>
  <c r="C298" i="96"/>
  <c r="C297" i="96"/>
  <c r="C299" i="96"/>
  <c r="C936" i="96"/>
  <c r="C130" i="96"/>
  <c r="D131" i="96" s="1"/>
  <c r="C154" i="96"/>
  <c r="C247" i="96"/>
  <c r="C234" i="96"/>
  <c r="C238" i="96"/>
  <c r="C233" i="96"/>
  <c r="C239" i="96"/>
  <c r="C241" i="96"/>
  <c r="C236" i="96"/>
  <c r="C244" i="96"/>
  <c r="C237" i="96"/>
  <c r="C235" i="96"/>
  <c r="C242" i="96"/>
  <c r="C240" i="96"/>
  <c r="D127" i="70"/>
  <c r="E185" i="91"/>
  <c r="E186" i="91"/>
  <c r="E100" i="68"/>
  <c r="E185" i="68" s="1"/>
  <c r="G215" i="68"/>
  <c r="C304" i="96"/>
  <c r="K36" i="87"/>
  <c r="K44" i="87"/>
  <c r="C307" i="96"/>
  <c r="C308" i="96" s="1"/>
  <c r="C303" i="96"/>
  <c r="E100" i="69"/>
  <c r="E185" i="69" s="1"/>
  <c r="E185" i="66"/>
  <c r="E89" i="66"/>
  <c r="C246" i="96"/>
  <c r="E195" i="66"/>
  <c r="K568" i="96"/>
  <c r="C133" i="96"/>
  <c r="E220" i="68"/>
  <c r="C119" i="70"/>
  <c r="E198" i="68"/>
  <c r="E89" i="68"/>
  <c r="C282" i="70"/>
  <c r="E259" i="66" l="1"/>
  <c r="E30" i="71"/>
  <c r="M568" i="96"/>
  <c r="N568" i="96"/>
  <c r="E259" i="68"/>
  <c r="E89" i="69"/>
  <c r="C243" i="96"/>
  <c r="C32" i="70"/>
  <c r="E29" i="71"/>
  <c r="F195" i="66"/>
  <c r="F89" i="66"/>
  <c r="E195" i="69"/>
  <c r="C128" i="70"/>
  <c r="L568" i="96"/>
  <c r="C33" i="70"/>
  <c r="F220" i="68"/>
  <c r="D119" i="70"/>
  <c r="E198" i="69"/>
  <c r="C283" i="70"/>
  <c r="E31" i="71"/>
  <c r="D282" i="70"/>
  <c r="F89" i="68"/>
  <c r="F198" i="68"/>
  <c r="E220" i="69"/>
  <c r="C120" i="70"/>
  <c r="C121" i="70" s="1"/>
  <c r="F30" i="71" l="1"/>
  <c r="E36" i="71"/>
  <c r="E33" i="71" s="1"/>
  <c r="E35" i="71"/>
  <c r="E32" i="71" s="1"/>
  <c r="E174" i="66"/>
  <c r="C41" i="70"/>
  <c r="F29" i="71"/>
  <c r="F259" i="66"/>
  <c r="F195" i="69"/>
  <c r="D32" i="70"/>
  <c r="C129" i="70"/>
  <c r="C130" i="70" s="1"/>
  <c r="D128" i="70"/>
  <c r="C42" i="70"/>
  <c r="G198" i="68"/>
  <c r="F220" i="69"/>
  <c r="D120" i="70"/>
  <c r="D121" i="70" s="1"/>
  <c r="E259" i="69"/>
  <c r="F198" i="69"/>
  <c r="D283" i="70"/>
  <c r="F89" i="69"/>
  <c r="F259" i="68"/>
  <c r="C34" i="70"/>
  <c r="C35" i="70" s="1"/>
  <c r="D33" i="70"/>
  <c r="E174" i="68"/>
  <c r="F31" i="71" l="1"/>
  <c r="F36" i="71"/>
  <c r="F33" i="71" s="1"/>
  <c r="E37" i="71"/>
  <c r="E34" i="71" s="1"/>
  <c r="F35" i="71"/>
  <c r="F32" i="71" s="1"/>
  <c r="F174" i="66"/>
  <c r="D41" i="70"/>
  <c r="D129" i="70"/>
  <c r="D130" i="70" s="1"/>
  <c r="D131" i="70" s="1"/>
  <c r="G198" i="69"/>
  <c r="E174" i="69"/>
  <c r="C43" i="70"/>
  <c r="C44" i="70" s="1"/>
  <c r="F174" i="68"/>
  <c r="F259" i="69"/>
  <c r="D42" i="70"/>
  <c r="D34" i="70"/>
  <c r="D35" i="70" s="1"/>
  <c r="D122" i="70"/>
  <c r="F174" i="69" l="1"/>
  <c r="F37" i="71"/>
  <c r="F34" i="71" s="1"/>
  <c r="D286" i="70"/>
  <c r="D290" i="70" s="1"/>
  <c r="D43" i="70"/>
  <c r="D44" i="70" s="1"/>
  <c r="D36" i="70"/>
  <c r="E457" i="96"/>
  <c r="G187" i="69"/>
  <c r="M75" i="87"/>
  <c r="E415" i="96"/>
  <c r="G112" i="68"/>
  <c r="M118" i="87"/>
  <c r="M95" i="87"/>
  <c r="M72" i="87" s="1"/>
  <c r="E210" i="96"/>
  <c r="G101" i="68"/>
  <c r="G181" i="66"/>
  <c r="M145" i="87"/>
  <c r="M119" i="87"/>
  <c r="G190" i="69"/>
  <c r="E333" i="96"/>
  <c r="C247" i="70"/>
  <c r="D247" i="70"/>
  <c r="E656" i="96" l="1"/>
  <c r="E672" i="96" s="1"/>
  <c r="G128" i="91"/>
  <c r="G129" i="91"/>
  <c r="G155" i="91"/>
  <c r="G197" i="68"/>
  <c r="E376" i="96"/>
  <c r="G101" i="69"/>
  <c r="G186" i="69" s="1"/>
  <c r="G112" i="69"/>
  <c r="G197" i="69" s="1"/>
  <c r="G197" i="66"/>
  <c r="D287" i="70"/>
  <c r="D291" i="70" s="1"/>
  <c r="D45" i="70"/>
  <c r="M98" i="87"/>
  <c r="G97" i="68"/>
  <c r="G179" i="69"/>
  <c r="G205" i="66"/>
  <c r="M108" i="87"/>
  <c r="G200" i="66"/>
  <c r="E446" i="96"/>
  <c r="E369" i="96"/>
  <c r="E529" i="96"/>
  <c r="E688" i="96"/>
  <c r="E245" i="70"/>
  <c r="E445" i="96"/>
  <c r="E368" i="96"/>
  <c r="G92" i="91"/>
  <c r="E224" i="96"/>
  <c r="E377" i="96"/>
  <c r="E122" i="96"/>
  <c r="M38" i="87" s="1"/>
  <c r="M86" i="87"/>
  <c r="G205" i="68"/>
  <c r="G195" i="68"/>
  <c r="E410" i="96"/>
  <c r="E418" i="96"/>
  <c r="G195" i="66"/>
  <c r="G195" i="69"/>
  <c r="G205" i="69"/>
  <c r="D248" i="70"/>
  <c r="M105" i="87" l="1"/>
  <c r="E288" i="96"/>
  <c r="M127" i="87"/>
  <c r="E283" i="96"/>
  <c r="M112" i="87"/>
  <c r="G229" i="69"/>
  <c r="G202" i="69"/>
  <c r="E938" i="96"/>
  <c r="E939" i="96"/>
  <c r="G188" i="91"/>
  <c r="G144" i="68"/>
  <c r="G117" i="68"/>
  <c r="G202" i="68" s="1"/>
  <c r="G118" i="68"/>
  <c r="E946" i="96"/>
  <c r="E945" i="96" s="1"/>
  <c r="G90" i="91"/>
  <c r="G229" i="68"/>
  <c r="G202" i="66"/>
  <c r="E378" i="96"/>
  <c r="E379" i="96" s="1"/>
  <c r="G115" i="91"/>
  <c r="G118" i="91"/>
  <c r="G137" i="91"/>
  <c r="G203" i="68"/>
  <c r="G122" i="91"/>
  <c r="G203" i="69"/>
  <c r="G117" i="69"/>
  <c r="G118" i="69"/>
  <c r="G192" i="69"/>
  <c r="G144" i="69"/>
  <c r="G97" i="69"/>
  <c r="G182" i="66"/>
  <c r="G203" i="66"/>
  <c r="E371" i="96"/>
  <c r="E372" i="96" s="1"/>
  <c r="G95" i="68"/>
  <c r="M96" i="87"/>
  <c r="M83" i="87" s="1"/>
  <c r="E137" i="96"/>
  <c r="E246" i="70"/>
  <c r="E247" i="70" s="1"/>
  <c r="E120" i="96"/>
  <c r="E222" i="96"/>
  <c r="E525" i="96"/>
  <c r="E215" i="96"/>
  <c r="M77" i="87"/>
  <c r="E564" i="96"/>
  <c r="E535" i="96"/>
  <c r="E454" i="96"/>
  <c r="E449" i="96"/>
  <c r="E458" i="96" s="1"/>
  <c r="G99" i="68"/>
  <c r="E138" i="96"/>
  <c r="M73" i="87"/>
  <c r="F492" i="96"/>
  <c r="M136" i="87"/>
  <c r="G91" i="91"/>
  <c r="E334" i="96"/>
  <c r="E335" i="96" s="1"/>
  <c r="E336" i="96" s="1"/>
  <c r="E223" i="96"/>
  <c r="E121" i="96"/>
  <c r="E289" i="96" l="1"/>
  <c r="E299" i="96" s="1"/>
  <c r="E250" i="96"/>
  <c r="E244" i="96"/>
  <c r="G229" i="66"/>
  <c r="E647" i="96"/>
  <c r="E657" i="96" s="1"/>
  <c r="E658" i="96" s="1"/>
  <c r="G196" i="69"/>
  <c r="G211" i="69"/>
  <c r="G196" i="68"/>
  <c r="E940" i="96"/>
  <c r="E943" i="96"/>
  <c r="G146" i="91"/>
  <c r="G186" i="91"/>
  <c r="G192" i="68"/>
  <c r="G104" i="68"/>
  <c r="G111" i="68"/>
  <c r="G107" i="68"/>
  <c r="G196" i="66"/>
  <c r="G211" i="68"/>
  <c r="G189" i="69"/>
  <c r="G126" i="68"/>
  <c r="E537" i="96"/>
  <c r="E538" i="96" s="1"/>
  <c r="G111" i="69"/>
  <c r="G95" i="69"/>
  <c r="G180" i="69" s="1"/>
  <c r="G180" i="66"/>
  <c r="G99" i="69"/>
  <c r="G184" i="69" s="1"/>
  <c r="G104" i="69"/>
  <c r="G189" i="66"/>
  <c r="G107" i="69"/>
  <c r="G192" i="66"/>
  <c r="G126" i="69"/>
  <c r="E527" i="96"/>
  <c r="E530" i="96" s="1"/>
  <c r="E226" i="96"/>
  <c r="E239" i="96" s="1"/>
  <c r="E569" i="96"/>
  <c r="E572" i="96"/>
  <c r="M36" i="87"/>
  <c r="E139" i="96"/>
  <c r="E162" i="96" s="1"/>
  <c r="G283" i="91"/>
  <c r="G89" i="91"/>
  <c r="G180" i="68"/>
  <c r="E124" i="96"/>
  <c r="E154" i="96" s="1"/>
  <c r="M35" i="87"/>
  <c r="E255" i="70"/>
  <c r="E248" i="70"/>
  <c r="G94" i="91"/>
  <c r="X250" i="96"/>
  <c r="E298" i="96" l="1"/>
  <c r="E300" i="96"/>
  <c r="E296" i="96"/>
  <c r="E295" i="96"/>
  <c r="E297" i="96"/>
  <c r="E236" i="96"/>
  <c r="E234" i="96"/>
  <c r="E233" i="96"/>
  <c r="E238" i="96"/>
  <c r="E245" i="96"/>
  <c r="E241" i="96"/>
  <c r="E237" i="96"/>
  <c r="E240" i="96"/>
  <c r="E235" i="96"/>
  <c r="E242" i="96"/>
  <c r="G189" i="68"/>
  <c r="E283" i="70"/>
  <c r="E287" i="70" s="1"/>
  <c r="E291" i="70" s="1"/>
  <c r="X251" i="96"/>
  <c r="X253" i="96" s="1"/>
  <c r="E251" i="96"/>
  <c r="E252" i="96" s="1"/>
  <c r="E253" i="96" s="1"/>
  <c r="E714" i="96"/>
  <c r="G187" i="91"/>
  <c r="E717" i="96"/>
  <c r="G89" i="68"/>
  <c r="E307" i="96"/>
  <c r="E308" i="96" s="1"/>
  <c r="E246" i="96"/>
  <c r="E303" i="96"/>
  <c r="E282" i="70"/>
  <c r="E286" i="70" s="1"/>
  <c r="E290" i="70" s="1"/>
  <c r="G89" i="66"/>
  <c r="G29" i="71" s="1"/>
  <c r="E119" i="70"/>
  <c r="E304" i="96"/>
  <c r="G220" i="66"/>
  <c r="E120" i="70"/>
  <c r="G220" i="69"/>
  <c r="G211" i="66"/>
  <c r="E118" i="70"/>
  <c r="G89" i="69"/>
  <c r="X252" i="96"/>
  <c r="G185" i="91"/>
  <c r="E247" i="96"/>
  <c r="M37" i="87"/>
  <c r="E132" i="96"/>
  <c r="E577" i="96"/>
  <c r="E570" i="96"/>
  <c r="E531" i="96"/>
  <c r="E679" i="96"/>
  <c r="E732" i="96" s="1"/>
  <c r="M88" i="87"/>
  <c r="E142" i="96"/>
  <c r="M40" i="87" s="1"/>
  <c r="E540" i="96"/>
  <c r="E539" i="96"/>
  <c r="G135" i="68"/>
  <c r="E256" i="70"/>
  <c r="E130" i="96"/>
  <c r="G31" i="71" l="1"/>
  <c r="G30" i="71"/>
  <c r="E723" i="96"/>
  <c r="E663" i="96"/>
  <c r="G190" i="91"/>
  <c r="E735" i="96"/>
  <c r="E726" i="96" s="1"/>
  <c r="E33" i="70"/>
  <c r="E716" i="96"/>
  <c r="E32" i="70"/>
  <c r="E34" i="70"/>
  <c r="E129" i="70"/>
  <c r="G220" i="68"/>
  <c r="E121" i="70"/>
  <c r="E127" i="70"/>
  <c r="G259" i="66"/>
  <c r="G259" i="69"/>
  <c r="G135" i="69"/>
  <c r="E243" i="96"/>
  <c r="E150" i="96"/>
  <c r="E131" i="96"/>
  <c r="E133" i="96"/>
  <c r="E689" i="96"/>
  <c r="E673" i="96" s="1"/>
  <c r="E158" i="96"/>
  <c r="E148" i="96"/>
  <c r="G35" i="71" l="1"/>
  <c r="G32" i="71" s="1"/>
  <c r="E734" i="96"/>
  <c r="E725" i="96" s="1"/>
  <c r="E690" i="96"/>
  <c r="E35" i="70"/>
  <c r="G174" i="66"/>
  <c r="E41" i="70"/>
  <c r="G174" i="69"/>
  <c r="G37" i="71"/>
  <c r="G34" i="71" s="1"/>
  <c r="G259" i="68"/>
  <c r="E128" i="70"/>
  <c r="E130" i="70" s="1"/>
  <c r="E122" i="70"/>
  <c r="E43" i="70"/>
  <c r="M44" i="87"/>
  <c r="E151" i="96"/>
  <c r="E149" i="96"/>
  <c r="E36" i="70" l="1"/>
  <c r="E131" i="70"/>
  <c r="G36" i="71"/>
  <c r="G33" i="71" s="1"/>
  <c r="G174" i="68"/>
  <c r="E42" i="70"/>
  <c r="E44" i="70" s="1"/>
  <c r="E45" i="70" l="1"/>
  <c r="T35" i="123" l="1"/>
  <c r="F803" i="96"/>
  <c r="F291" i="96" l="1"/>
  <c r="N134" i="87"/>
  <c r="T41" i="123"/>
  <c r="T43" i="123" s="1"/>
  <c r="T42" i="123" s="1"/>
  <c r="T53" i="123"/>
  <c r="T55" i="123" s="1"/>
  <c r="T54" i="123" s="1"/>
  <c r="F41" i="123"/>
  <c r="T37" i="123"/>
  <c r="T36" i="123" s="1"/>
  <c r="F804" i="96"/>
  <c r="F806" i="96"/>
  <c r="F807" i="96"/>
  <c r="F645" i="96"/>
  <c r="F43" i="123" l="1"/>
  <c r="F42" i="123" s="1"/>
  <c r="U35" i="123"/>
  <c r="G803" i="96"/>
  <c r="U37" i="123" l="1"/>
  <c r="H803" i="96"/>
  <c r="I803" i="96" l="1"/>
  <c r="U36" i="123"/>
  <c r="J803" i="96" l="1"/>
  <c r="K803" i="96" l="1"/>
  <c r="M285" i="96" l="1"/>
  <c r="L803" i="96"/>
  <c r="M803" i="96"/>
  <c r="N285" i="96" l="1"/>
  <c r="N803" i="96"/>
  <c r="F817" i="96" l="1"/>
  <c r="F818" i="96"/>
  <c r="F332" i="96" l="1"/>
  <c r="F333" i="96" l="1"/>
  <c r="F334" i="96" l="1"/>
  <c r="F335" i="96" s="1"/>
  <c r="F336" i="96" s="1"/>
  <c r="N145" i="87" l="1"/>
  <c r="N117" i="87"/>
  <c r="F245" i="70"/>
  <c r="F535" i="96"/>
  <c r="F649" i="96"/>
  <c r="F762" i="96"/>
  <c r="G146" i="102"/>
  <c r="F117" i="102" l="1"/>
  <c r="F283" i="96"/>
  <c r="F282" i="96"/>
  <c r="F936" i="96" s="1"/>
  <c r="G148" i="102"/>
  <c r="F648" i="96"/>
  <c r="F35" i="123"/>
  <c r="F37" i="123" s="1"/>
  <c r="F36" i="123" s="1"/>
  <c r="F805" i="96"/>
  <c r="F809" i="96" s="1"/>
  <c r="G147" i="102"/>
  <c r="F47" i="123"/>
  <c r="F763" i="96"/>
  <c r="F53" i="123"/>
  <c r="F55" i="123" s="1"/>
  <c r="F54" i="123" s="1"/>
  <c r="T47" i="123"/>
  <c r="F289" i="96"/>
  <c r="F651" i="96"/>
  <c r="F653" i="96"/>
  <c r="F526" i="96"/>
  <c r="F644" i="96"/>
  <c r="F536" i="96"/>
  <c r="F529" i="96"/>
  <c r="F656" i="96"/>
  <c r="F672" i="96" s="1"/>
  <c r="F528" i="96"/>
  <c r="F650" i="96"/>
  <c r="F367" i="96"/>
  <c r="F443" i="96"/>
  <c r="F370" i="96"/>
  <c r="F448" i="96"/>
  <c r="F366" i="96"/>
  <c r="F407" i="96"/>
  <c r="F447" i="96"/>
  <c r="F369" i="96"/>
  <c r="F405" i="96"/>
  <c r="F377" i="96"/>
  <c r="F365" i="96"/>
  <c r="F406" i="96"/>
  <c r="F368" i="96"/>
  <c r="F376" i="96"/>
  <c r="F566" i="96"/>
  <c r="F525" i="96"/>
  <c r="F445" i="96"/>
  <c r="N136" i="87" l="1"/>
  <c r="F202" i="70"/>
  <c r="F715" i="96"/>
  <c r="F713" i="96"/>
  <c r="F712" i="96"/>
  <c r="F160" i="70"/>
  <c r="F946" i="96"/>
  <c r="F945" i="96" s="1"/>
  <c r="F943" i="96"/>
  <c r="F711" i="96"/>
  <c r="T49" i="123"/>
  <c r="T31" i="123" s="1"/>
  <c r="F49" i="123"/>
  <c r="F48" i="123" s="1"/>
  <c r="F944" i="96"/>
  <c r="F527" i="96"/>
  <c r="F530" i="96" s="1"/>
  <c r="F531" i="96" s="1"/>
  <c r="F647" i="96"/>
  <c r="F657" i="96" s="1"/>
  <c r="F537" i="96"/>
  <c r="F538" i="96" s="1"/>
  <c r="H116" i="68"/>
  <c r="F569" i="96"/>
  <c r="F371" i="96"/>
  <c r="F372" i="96" s="1"/>
  <c r="Y250" i="96"/>
  <c r="F378" i="96"/>
  <c r="F379" i="96" s="1"/>
  <c r="F679" i="96"/>
  <c r="F732" i="96" s="1"/>
  <c r="F449" i="96"/>
  <c r="F119" i="70" l="1"/>
  <c r="F939" i="96"/>
  <c r="F714" i="96"/>
  <c r="F723" i="96" s="1"/>
  <c r="F663" i="96"/>
  <c r="F118" i="70"/>
  <c r="T48" i="123"/>
  <c r="T30" i="123" s="1"/>
  <c r="F717" i="96"/>
  <c r="F30" i="123"/>
  <c r="F31" i="123"/>
  <c r="F120" i="70"/>
  <c r="F540" i="96"/>
  <c r="F539" i="96"/>
  <c r="F570" i="96"/>
  <c r="F716" i="96" l="1"/>
  <c r="F121" i="70"/>
  <c r="F122" i="70" s="1"/>
  <c r="F658" i="96"/>
  <c r="E38" i="71" l="1"/>
  <c r="E41" i="71"/>
  <c r="E44" i="71" s="1"/>
  <c r="F38" i="71" l="1"/>
  <c r="F41" i="71"/>
  <c r="G38" i="71" l="1"/>
  <c r="G41" i="71"/>
  <c r="G44" i="71" s="1"/>
  <c r="F44" i="71"/>
  <c r="N139" i="87" l="1"/>
  <c r="F682" i="96" l="1"/>
  <c r="F666" i="96" s="1"/>
  <c r="N138" i="87"/>
  <c r="N140" i="87"/>
  <c r="N137" i="87"/>
  <c r="F681" i="96" l="1"/>
  <c r="F665" i="96" s="1"/>
  <c r="F683" i="96"/>
  <c r="F667" i="96" s="1"/>
  <c r="F680" i="96"/>
  <c r="F664" i="96" s="1"/>
  <c r="F733" i="96" l="1"/>
  <c r="F724" i="96" s="1"/>
  <c r="F815" i="96" l="1"/>
  <c r="N98" i="87" l="1"/>
  <c r="N110" i="87"/>
  <c r="N103" i="87"/>
  <c r="N111" i="87"/>
  <c r="N97" i="87"/>
  <c r="N101" i="87"/>
  <c r="N102" i="87"/>
  <c r="N105" i="87"/>
  <c r="N107" i="87"/>
  <c r="N104" i="87"/>
  <c r="F774" i="96"/>
  <c r="N100" i="87" l="1"/>
  <c r="N42" i="87"/>
  <c r="F775" i="96"/>
  <c r="F769" i="96" s="1"/>
  <c r="F768" i="96"/>
  <c r="N41" i="87"/>
  <c r="H97" i="68"/>
  <c r="H96" i="68"/>
  <c r="N121" i="87"/>
  <c r="N114" i="87"/>
  <c r="F464" i="96"/>
  <c r="N120" i="87"/>
  <c r="N115" i="87"/>
  <c r="N95" i="87"/>
  <c r="N113" i="87"/>
  <c r="N96" i="87"/>
  <c r="N118" i="87"/>
  <c r="N116" i="87"/>
  <c r="N133" i="87"/>
  <c r="F677" i="96"/>
  <c r="F661" i="96" s="1"/>
  <c r="N129" i="87" l="1"/>
  <c r="F820" i="96"/>
  <c r="F731" i="96"/>
  <c r="F722" i="96" s="1"/>
  <c r="F816" i="96"/>
  <c r="H102" i="68"/>
  <c r="H100" i="68"/>
  <c r="H94" i="68"/>
  <c r="H106" i="68"/>
  <c r="H109" i="68"/>
  <c r="H103" i="68"/>
  <c r="H99" i="68"/>
  <c r="H95" i="68"/>
  <c r="H104" i="68"/>
  <c r="H110" i="68"/>
  <c r="H101" i="68"/>
  <c r="N35" i="87"/>
  <c r="F416" i="96"/>
  <c r="F411" i="96" s="1"/>
  <c r="F463" i="96"/>
  <c r="N38" i="87"/>
  <c r="F415" i="96"/>
  <c r="F417" i="96"/>
  <c r="F412" i="96" s="1"/>
  <c r="F465" i="96"/>
  <c r="F456" i="96" s="1"/>
  <c r="F461" i="96"/>
  <c r="F466" i="96"/>
  <c r="F457" i="96" s="1"/>
  <c r="F582" i="96"/>
  <c r="F676" i="96"/>
  <c r="F660" i="96" s="1"/>
  <c r="N106" i="87" l="1"/>
  <c r="F169" i="70"/>
  <c r="F729" i="96"/>
  <c r="F730" i="96"/>
  <c r="F721" i="96" s="1"/>
  <c r="H114" i="68"/>
  <c r="H115" i="68"/>
  <c r="H112" i="68"/>
  <c r="H113" i="68"/>
  <c r="F211" i="70"/>
  <c r="F452" i="96"/>
  <c r="F467" i="96"/>
  <c r="F458" i="96" s="1"/>
  <c r="F454" i="96"/>
  <c r="F585" i="96"/>
  <c r="F577" i="96" s="1"/>
  <c r="F574" i="96"/>
  <c r="F418" i="96"/>
  <c r="F410" i="96"/>
  <c r="F720" i="96" l="1"/>
  <c r="H105" i="68"/>
  <c r="N112" i="87" l="1"/>
  <c r="H111" i="68" l="1"/>
  <c r="N37" i="87"/>
  <c r="G43" i="71" l="1"/>
  <c r="G42" i="71" s="1"/>
  <c r="F43" i="71"/>
  <c r="F42" i="71" s="1"/>
  <c r="G39" i="71" l="1"/>
  <c r="G40" i="71"/>
  <c r="F39" i="71"/>
  <c r="F40" i="71"/>
  <c r="N142" i="87" l="1"/>
  <c r="F685" i="96"/>
  <c r="F669" i="96" s="1"/>
  <c r="F129" i="70" l="1"/>
  <c r="F128" i="70"/>
  <c r="E43" i="71" l="1"/>
  <c r="E42" i="71" s="1"/>
  <c r="E39" i="71" l="1"/>
  <c r="E40" i="71"/>
  <c r="F495" i="96" l="1"/>
  <c r="N125" i="87"/>
  <c r="F494" i="96"/>
  <c r="F874" i="96" l="1"/>
  <c r="Y251" i="96"/>
  <c r="Y253" i="96" s="1"/>
  <c r="Y252" i="96"/>
  <c r="F497" i="96"/>
  <c r="G495" i="96"/>
  <c r="O125" i="87"/>
  <c r="N39" i="87"/>
  <c r="F162" i="96" l="1"/>
  <c r="P125" i="87"/>
  <c r="H495" i="96"/>
  <c r="Q125" i="87" l="1"/>
  <c r="I495" i="96"/>
  <c r="F246" i="70"/>
  <c r="F247" i="70" s="1"/>
  <c r="I496" i="96"/>
  <c r="Q126" i="87"/>
  <c r="J496" i="96" l="1"/>
  <c r="R126" i="87"/>
  <c r="F248" i="70"/>
  <c r="J495" i="96"/>
  <c r="R125" i="87"/>
  <c r="N108" i="87" l="1"/>
  <c r="F288" i="96"/>
  <c r="F938" i="96"/>
  <c r="F940" i="96" s="1"/>
  <c r="F303" i="96"/>
  <c r="S125" i="87"/>
  <c r="K495" i="96"/>
  <c r="K496" i="96"/>
  <c r="S126" i="87"/>
  <c r="F296" i="96" l="1"/>
  <c r="F299" i="96"/>
  <c r="F297" i="96"/>
  <c r="F300" i="96"/>
  <c r="F298" i="96"/>
  <c r="F295" i="96"/>
  <c r="N36" i="87"/>
  <c r="F154" i="96"/>
  <c r="U126" i="87"/>
  <c r="V126" i="87"/>
  <c r="H107" i="68"/>
  <c r="F304" i="96"/>
  <c r="F307" i="96"/>
  <c r="F308" i="96" s="1"/>
  <c r="L496" i="96"/>
  <c r="T126" i="87"/>
  <c r="H29" i="71" l="1"/>
  <c r="F32" i="70"/>
  <c r="L495" i="96"/>
  <c r="T125" i="87" l="1"/>
  <c r="U125" i="87" l="1"/>
  <c r="V125" i="87" l="1"/>
  <c r="G584" i="96" l="1"/>
  <c r="G646" i="96" l="1"/>
  <c r="H646" i="96" l="1"/>
  <c r="I646" i="96" l="1"/>
  <c r="J646" i="96" l="1"/>
  <c r="K646" i="96" l="1"/>
  <c r="L646" i="96" l="1"/>
  <c r="M646" i="96"/>
  <c r="N646" i="96" l="1"/>
  <c r="E769" i="96" l="1"/>
  <c r="F162" i="70" l="1"/>
  <c r="F204" i="70"/>
  <c r="F283" i="70"/>
  <c r="F287" i="70" s="1"/>
  <c r="H31" i="71" l="1"/>
  <c r="F171" i="70"/>
  <c r="F161" i="70"/>
  <c r="F163" i="70" s="1"/>
  <c r="F164" i="70" s="1"/>
  <c r="F203" i="70"/>
  <c r="F205" i="70" s="1"/>
  <c r="F34" i="70"/>
  <c r="F291" i="70"/>
  <c r="F213" i="70"/>
  <c r="H37" i="71"/>
  <c r="F282" i="70"/>
  <c r="F286" i="70" s="1"/>
  <c r="H89" i="68"/>
  <c r="H30" i="71" s="1"/>
  <c r="H34" i="71" l="1"/>
  <c r="F170" i="70"/>
  <c r="F172" i="70" s="1"/>
  <c r="H38" i="71"/>
  <c r="H41" i="71"/>
  <c r="H44" i="71" s="1"/>
  <c r="F206" i="70"/>
  <c r="F33" i="70"/>
  <c r="F290" i="70"/>
  <c r="F43" i="70"/>
  <c r="F212" i="70"/>
  <c r="F214" i="70" s="1"/>
  <c r="H36" i="71" l="1"/>
  <c r="F173" i="70"/>
  <c r="F42" i="70"/>
  <c r="F215" i="70"/>
  <c r="F35" i="70"/>
  <c r="H33" i="71" l="1"/>
  <c r="F36" i="70"/>
  <c r="O117" i="87" l="1"/>
  <c r="O112" i="87"/>
  <c r="O139" i="87"/>
  <c r="O119" i="87"/>
  <c r="O145" i="87"/>
  <c r="G682" i="96"/>
  <c r="O101" i="87"/>
  <c r="O152" i="87"/>
  <c r="O142" i="87"/>
  <c r="O107" i="87"/>
  <c r="G688" i="96"/>
  <c r="O131" i="87" l="1"/>
  <c r="O144" i="87"/>
  <c r="O140" i="87"/>
  <c r="O143" i="87"/>
  <c r="G283" i="96"/>
  <c r="O115" i="87"/>
  <c r="G282" i="96"/>
  <c r="O153" i="87"/>
  <c r="G291" i="96"/>
  <c r="O134" i="87"/>
  <c r="O104" i="87"/>
  <c r="O120" i="87"/>
  <c r="O155" i="87"/>
  <c r="O103" i="87"/>
  <c r="O105" i="87"/>
  <c r="O102" i="87"/>
  <c r="O111" i="87"/>
  <c r="G284" i="96"/>
  <c r="O122" i="87"/>
  <c r="O148" i="87"/>
  <c r="O116" i="87"/>
  <c r="O138" i="87"/>
  <c r="O137" i="87"/>
  <c r="G654" i="96"/>
  <c r="G687" i="96"/>
  <c r="G686" i="96"/>
  <c r="G655" i="96"/>
  <c r="G246" i="70"/>
  <c r="G937" i="96"/>
  <c r="G287" i="96"/>
  <c r="O113" i="87"/>
  <c r="O124" i="87"/>
  <c r="G494" i="96"/>
  <c r="G652" i="96"/>
  <c r="G566" i="96"/>
  <c r="G525" i="96"/>
  <c r="G35" i="123"/>
  <c r="G37" i="123" s="1"/>
  <c r="G406" i="96"/>
  <c r="H147" i="102"/>
  <c r="U47" i="123"/>
  <c r="G805" i="96"/>
  <c r="G465" i="96"/>
  <c r="G462" i="96"/>
  <c r="G41" i="123"/>
  <c r="G43" i="123" s="1"/>
  <c r="G42" i="123" s="1"/>
  <c r="G645" i="96"/>
  <c r="G650" i="96"/>
  <c r="G666" i="96" s="1"/>
  <c r="G536" i="96"/>
  <c r="G683" i="96"/>
  <c r="G733" i="96" s="1"/>
  <c r="G774" i="96"/>
  <c r="G332" i="96"/>
  <c r="G377" i="96"/>
  <c r="G365" i="96"/>
  <c r="G405" i="96"/>
  <c r="G804" i="96"/>
  <c r="U41" i="123"/>
  <c r="U43" i="123" s="1"/>
  <c r="U42" i="123" s="1"/>
  <c r="G526" i="96"/>
  <c r="G644" i="96"/>
  <c r="G47" i="123"/>
  <c r="G648" i="96"/>
  <c r="G446" i="96"/>
  <c r="G369" i="96"/>
  <c r="G334" i="96"/>
  <c r="G368" i="96"/>
  <c r="G376" i="96"/>
  <c r="O110" i="87"/>
  <c r="O118" i="87"/>
  <c r="G370" i="96"/>
  <c r="G448" i="96"/>
  <c r="G417" i="96"/>
  <c r="G761" i="96"/>
  <c r="H146" i="102"/>
  <c r="G680" i="96"/>
  <c r="G653" i="96"/>
  <c r="O98" i="87"/>
  <c r="G567" i="96"/>
  <c r="O96" i="87"/>
  <c r="O121" i="87"/>
  <c r="G53" i="123"/>
  <c r="G55" i="123" s="1"/>
  <c r="G54" i="123" s="1"/>
  <c r="G651" i="96"/>
  <c r="G407" i="96"/>
  <c r="G366" i="96"/>
  <c r="G464" i="96"/>
  <c r="G493" i="96"/>
  <c r="O106" i="87"/>
  <c r="G583" i="96"/>
  <c r="G806" i="96"/>
  <c r="G677" i="96"/>
  <c r="G445" i="96"/>
  <c r="G649" i="96"/>
  <c r="G528" i="96"/>
  <c r="G535" i="96"/>
  <c r="G367" i="96"/>
  <c r="G443" i="96"/>
  <c r="G492" i="96"/>
  <c r="G656" i="96"/>
  <c r="G672" i="96" s="1"/>
  <c r="G529" i="96"/>
  <c r="O97" i="87"/>
  <c r="G333" i="96"/>
  <c r="G762" i="96"/>
  <c r="G281" i="96"/>
  <c r="G245" i="70"/>
  <c r="G447" i="96"/>
  <c r="O133" i="87"/>
  <c r="G461" i="96" l="1"/>
  <c r="G681" i="96"/>
  <c r="O108" i="87"/>
  <c r="G155" i="96"/>
  <c r="O156" i="87"/>
  <c r="G290" i="96"/>
  <c r="O100" i="87"/>
  <c r="O154" i="87"/>
  <c r="G288" i="96"/>
  <c r="O141" i="87"/>
  <c r="G289" i="96"/>
  <c r="O129" i="87"/>
  <c r="G684" i="96"/>
  <c r="G668" i="96" s="1"/>
  <c r="G731" i="96"/>
  <c r="G456" i="96"/>
  <c r="G670" i="96"/>
  <c r="G671" i="96"/>
  <c r="G667" i="96"/>
  <c r="G247" i="70"/>
  <c r="G665" i="96"/>
  <c r="G768" i="96"/>
  <c r="G938" i="96"/>
  <c r="G939" i="96"/>
  <c r="G664" i="96"/>
  <c r="G661" i="96"/>
  <c r="G497" i="96"/>
  <c r="O114" i="87"/>
  <c r="G717" i="96"/>
  <c r="G817" i="96"/>
  <c r="G412" i="96"/>
  <c r="G452" i="96"/>
  <c r="G449" i="96"/>
  <c r="G944" i="96"/>
  <c r="I95" i="68"/>
  <c r="G161" i="70"/>
  <c r="G582" i="96"/>
  <c r="G574" i="96" s="1"/>
  <c r="H41" i="123"/>
  <c r="H43" i="123" s="1"/>
  <c r="H42" i="123" s="1"/>
  <c r="H645" i="96"/>
  <c r="G415" i="96"/>
  <c r="G410" i="96" s="1"/>
  <c r="I99" i="68"/>
  <c r="I101" i="68"/>
  <c r="I100" i="68"/>
  <c r="G946" i="96"/>
  <c r="G945" i="96" s="1"/>
  <c r="I115" i="68"/>
  <c r="G715" i="96"/>
  <c r="G724" i="96" s="1"/>
  <c r="G815" i="96"/>
  <c r="G575" i="96"/>
  <c r="G576" i="96" s="1"/>
  <c r="I97" i="68"/>
  <c r="I111" i="68"/>
  <c r="G49" i="123"/>
  <c r="G48" i="123" s="1"/>
  <c r="G712" i="96"/>
  <c r="Z250" i="96"/>
  <c r="G936" i="96"/>
  <c r="U49" i="123"/>
  <c r="U48" i="123" s="1"/>
  <c r="I103" i="68"/>
  <c r="G160" i="70"/>
  <c r="I116" i="68"/>
  <c r="G816" i="96"/>
  <c r="G371" i="96"/>
  <c r="G372" i="96" s="1"/>
  <c r="G713" i="96"/>
  <c r="G722" i="96" s="1"/>
  <c r="G685" i="96"/>
  <c r="G669" i="96" s="1"/>
  <c r="I106" i="68"/>
  <c r="G36" i="123"/>
  <c r="G943" i="96"/>
  <c r="G569" i="96"/>
  <c r="G711" i="96"/>
  <c r="O95" i="87"/>
  <c r="I96" i="68"/>
  <c r="I110" i="68"/>
  <c r="I102" i="68"/>
  <c r="I114" i="68"/>
  <c r="U53" i="123"/>
  <c r="G807" i="96"/>
  <c r="G818" i="96" s="1"/>
  <c r="G162" i="70"/>
  <c r="G763" i="96"/>
  <c r="G378" i="96"/>
  <c r="G379" i="96" s="1"/>
  <c r="F303" i="91"/>
  <c r="G527" i="96"/>
  <c r="G530" i="96" s="1"/>
  <c r="G531" i="96" s="1"/>
  <c r="G647" i="96"/>
  <c r="G657" i="96" s="1"/>
  <c r="I104" i="68"/>
  <c r="H653" i="96"/>
  <c r="H148" i="102"/>
  <c r="G335" i="96"/>
  <c r="G336" i="96" s="1"/>
  <c r="H656" i="96"/>
  <c r="H529" i="96"/>
  <c r="G537" i="96"/>
  <c r="G538" i="96" s="1"/>
  <c r="P145" i="87" l="1"/>
  <c r="G248" i="70"/>
  <c r="G297" i="96"/>
  <c r="G298" i="96"/>
  <c r="G300" i="96"/>
  <c r="G295" i="96"/>
  <c r="Q145" i="87"/>
  <c r="G296" i="96"/>
  <c r="G299" i="96"/>
  <c r="G154" i="96"/>
  <c r="G31" i="123"/>
  <c r="G809" i="96"/>
  <c r="I656" i="96"/>
  <c r="I653" i="96"/>
  <c r="I688" i="96"/>
  <c r="G119" i="70"/>
  <c r="G30" i="123"/>
  <c r="O42" i="87"/>
  <c r="I645" i="96"/>
  <c r="G940" i="96"/>
  <c r="H946" i="96"/>
  <c r="H945" i="96" s="1"/>
  <c r="O36" i="87"/>
  <c r="G120" i="70"/>
  <c r="O38" i="87"/>
  <c r="Z252" i="96"/>
  <c r="G540" i="96"/>
  <c r="G539" i="96"/>
  <c r="G714" i="96"/>
  <c r="G716" i="96" s="1"/>
  <c r="G764" i="96"/>
  <c r="I94" i="68"/>
  <c r="H688" i="96"/>
  <c r="H672" i="96" s="1"/>
  <c r="G169" i="70"/>
  <c r="G304" i="96"/>
  <c r="I529" i="96"/>
  <c r="I107" i="68"/>
  <c r="G463" i="96"/>
  <c r="I105" i="68"/>
  <c r="I112" i="68"/>
  <c r="G203" i="70"/>
  <c r="G282" i="70"/>
  <c r="G286" i="70" s="1"/>
  <c r="G290" i="70" s="1"/>
  <c r="I89" i="68"/>
  <c r="G307" i="96"/>
  <c r="G308" i="96" s="1"/>
  <c r="G585" i="96"/>
  <c r="G577" i="96" s="1"/>
  <c r="G729" i="96"/>
  <c r="G466" i="96"/>
  <c r="G457" i="96" s="1"/>
  <c r="U55" i="123"/>
  <c r="U54" i="123" s="1"/>
  <c r="U30" i="123" s="1"/>
  <c r="I149" i="102"/>
  <c r="G204" i="70"/>
  <c r="G874" i="96"/>
  <c r="H149" i="102"/>
  <c r="G676" i="96"/>
  <c r="G660" i="96" s="1"/>
  <c r="G416" i="96"/>
  <c r="G411" i="96" s="1"/>
  <c r="O35" i="87"/>
  <c r="G303" i="96"/>
  <c r="G283" i="70"/>
  <c r="G287" i="70" s="1"/>
  <c r="G291" i="70" s="1"/>
  <c r="G570" i="96"/>
  <c r="G118" i="70"/>
  <c r="I41" i="123"/>
  <c r="I43" i="123" s="1"/>
  <c r="I42" i="123" s="1"/>
  <c r="G163" i="70"/>
  <c r="Z251" i="96"/>
  <c r="Z253" i="96" s="1"/>
  <c r="G202" i="70"/>
  <c r="Q134" i="87" l="1"/>
  <c r="G720" i="96"/>
  <c r="I29" i="71"/>
  <c r="I30" i="71"/>
  <c r="I31" i="71"/>
  <c r="R145" i="87"/>
  <c r="P134" i="87"/>
  <c r="I672" i="96"/>
  <c r="G121" i="70"/>
  <c r="G122" i="70" s="1"/>
  <c r="J688" i="96"/>
  <c r="I677" i="96"/>
  <c r="I661" i="96" s="1"/>
  <c r="J653" i="96"/>
  <c r="J645" i="96"/>
  <c r="J656" i="96"/>
  <c r="J529" i="96"/>
  <c r="G205" i="70"/>
  <c r="G820" i="96"/>
  <c r="I109" i="68"/>
  <c r="G658" i="96"/>
  <c r="G164" i="70"/>
  <c r="G730" i="96"/>
  <c r="G721" i="96" s="1"/>
  <c r="G454" i="96"/>
  <c r="G467" i="96"/>
  <c r="G458" i="96" s="1"/>
  <c r="G206" i="70"/>
  <c r="G34" i="70"/>
  <c r="G33" i="70"/>
  <c r="I946" i="96"/>
  <c r="I945" i="96" s="1"/>
  <c r="I113" i="68"/>
  <c r="J41" i="123"/>
  <c r="J43" i="123" s="1"/>
  <c r="J42" i="123" s="1"/>
  <c r="I334" i="96"/>
  <c r="U31" i="123"/>
  <c r="O37" i="87"/>
  <c r="H677" i="96"/>
  <c r="H661" i="96" s="1"/>
  <c r="G418" i="96"/>
  <c r="R134" i="87"/>
  <c r="G32" i="70"/>
  <c r="I41" i="71" l="1"/>
  <c r="I44" i="71" s="1"/>
  <c r="I38" i="71"/>
  <c r="S145" i="87"/>
  <c r="J672" i="96"/>
  <c r="G171" i="70"/>
  <c r="G127" i="70"/>
  <c r="K688" i="96"/>
  <c r="K653" i="96"/>
  <c r="J677" i="96"/>
  <c r="J661" i="96" s="1"/>
  <c r="G212" i="70"/>
  <c r="G211" i="70"/>
  <c r="K656" i="96"/>
  <c r="K529" i="96"/>
  <c r="K645" i="96"/>
  <c r="G129" i="70"/>
  <c r="J946" i="96"/>
  <c r="J945" i="96" s="1"/>
  <c r="J149" i="102"/>
  <c r="S134" i="87"/>
  <c r="G35" i="70"/>
  <c r="G213" i="70"/>
  <c r="K41" i="123"/>
  <c r="K43" i="123" s="1"/>
  <c r="K42" i="123" s="1"/>
  <c r="G214" i="70" l="1"/>
  <c r="G215" i="70" s="1"/>
  <c r="K672" i="96"/>
  <c r="K677" i="96"/>
  <c r="K661" i="96" s="1"/>
  <c r="L653" i="96"/>
  <c r="I35" i="71"/>
  <c r="I32" i="71" s="1"/>
  <c r="I39" i="71" s="1"/>
  <c r="L645" i="96"/>
  <c r="L656" i="96"/>
  <c r="L529" i="96"/>
  <c r="T134" i="87"/>
  <c r="K149" i="102"/>
  <c r="L41" i="123"/>
  <c r="L43" i="123" s="1"/>
  <c r="L42" i="123" s="1"/>
  <c r="K946" i="96"/>
  <c r="K945" i="96" s="1"/>
  <c r="T145" i="87"/>
  <c r="G36" i="70"/>
  <c r="U145" i="87" l="1"/>
  <c r="G41" i="70"/>
  <c r="M653" i="96"/>
  <c r="M688" i="96"/>
  <c r="M645" i="96"/>
  <c r="L688" i="96"/>
  <c r="L672" i="96" s="1"/>
  <c r="L677" i="96"/>
  <c r="L661" i="96" s="1"/>
  <c r="M656" i="96"/>
  <c r="M529" i="96"/>
  <c r="L946" i="96"/>
  <c r="L945" i="96" s="1"/>
  <c r="N645" i="96"/>
  <c r="M41" i="123"/>
  <c r="M43" i="123" s="1"/>
  <c r="M42" i="123" s="1"/>
  <c r="U134" i="87"/>
  <c r="N653" i="96"/>
  <c r="L149" i="102"/>
  <c r="N688" i="96"/>
  <c r="N656" i="96" l="1"/>
  <c r="N946" i="96" s="1"/>
  <c r="N945" i="96" s="1"/>
  <c r="N529" i="96"/>
  <c r="V145" i="87"/>
  <c r="M672" i="96"/>
  <c r="M946" i="96"/>
  <c r="M945" i="96" s="1"/>
  <c r="M677" i="96"/>
  <c r="M661" i="96" s="1"/>
  <c r="N41" i="123"/>
  <c r="N43" i="123" s="1"/>
  <c r="N42" i="123" s="1"/>
  <c r="M149" i="102"/>
  <c r="N672" i="96" l="1"/>
  <c r="V134" i="87"/>
  <c r="N677" i="96"/>
  <c r="N661" i="96" s="1"/>
  <c r="O39" i="87" l="1"/>
  <c r="G162" i="96"/>
  <c r="I37" i="71" l="1"/>
  <c r="I34" i="71" s="1"/>
  <c r="G43" i="70"/>
  <c r="F254" i="70" l="1"/>
  <c r="F255" i="70" s="1"/>
  <c r="F256" i="70" l="1"/>
  <c r="F127" i="70"/>
  <c r="F130" i="70" s="1"/>
  <c r="H35" i="71" l="1"/>
  <c r="F41" i="70"/>
  <c r="F44" i="70" s="1"/>
  <c r="F688" i="96"/>
  <c r="F689" i="96" s="1"/>
  <c r="F673" i="96" s="1"/>
  <c r="F158" i="96"/>
  <c r="F131" i="70"/>
  <c r="H32" i="71" l="1"/>
  <c r="H43" i="71"/>
  <c r="H42" i="71" s="1"/>
  <c r="F45" i="70"/>
  <c r="N40" i="87"/>
  <c r="N44" i="87"/>
  <c r="F735" i="96"/>
  <c r="F726" i="96" s="1"/>
  <c r="F690" i="96"/>
  <c r="H39" i="71" l="1"/>
  <c r="H40" i="71"/>
  <c r="F151" i="96"/>
  <c r="F734" i="96"/>
  <c r="F725" i="96" l="1"/>
  <c r="J761" i="96" l="1"/>
  <c r="I761" i="96"/>
  <c r="K761" i="96" l="1"/>
  <c r="L761" i="96" l="1"/>
  <c r="M761" i="96" l="1"/>
  <c r="N761" i="96" l="1"/>
  <c r="Q132" i="87" l="1"/>
  <c r="P132" i="87"/>
  <c r="I584" i="96"/>
  <c r="H584" i="96"/>
  <c r="R132" i="87" l="1"/>
  <c r="S132" i="87"/>
  <c r="J584" i="96"/>
  <c r="K584" i="96" l="1"/>
  <c r="T132" i="87"/>
  <c r="U132" i="87" l="1"/>
  <c r="L584" i="96"/>
  <c r="M584" i="96" l="1"/>
  <c r="V132" i="87" l="1"/>
  <c r="N584" i="96"/>
  <c r="O146" i="87" l="1"/>
  <c r="G159" i="96" l="1"/>
  <c r="G773" i="96"/>
  <c r="G253" i="70"/>
  <c r="G767" i="96" l="1"/>
  <c r="G775" i="96"/>
  <c r="O41" i="87"/>
  <c r="G776" i="96" l="1"/>
  <c r="G769" i="96"/>
  <c r="G170" i="70" l="1"/>
  <c r="G172" i="70" s="1"/>
  <c r="G173" i="70" l="1"/>
  <c r="O135" i="87"/>
  <c r="G678" i="96" l="1"/>
  <c r="R135" i="87" l="1"/>
  <c r="G662" i="96"/>
  <c r="Q135" i="87" l="1"/>
  <c r="P135" i="87"/>
  <c r="I678" i="96"/>
  <c r="J678" i="96"/>
  <c r="S135" i="87"/>
  <c r="H678" i="96"/>
  <c r="T135" i="87" l="1"/>
  <c r="H662" i="96"/>
  <c r="K678" i="96"/>
  <c r="I662" i="96"/>
  <c r="J662" i="96"/>
  <c r="U135" i="87" l="1"/>
  <c r="L678" i="96"/>
  <c r="K662" i="96"/>
  <c r="L662" i="96" l="1"/>
  <c r="M678" i="96"/>
  <c r="N678" i="96"/>
  <c r="N662" i="96" s="1"/>
  <c r="V135" i="87" l="1"/>
  <c r="M662" i="96"/>
  <c r="G254" i="70" l="1"/>
  <c r="G255" i="70" s="1"/>
  <c r="G679" i="96" l="1"/>
  <c r="G256" i="70"/>
  <c r="O136" i="87" l="1"/>
  <c r="O40" i="87"/>
  <c r="G663" i="96"/>
  <c r="G732" i="96"/>
  <c r="G689" i="96"/>
  <c r="G735" i="96" l="1"/>
  <c r="G734" i="96" s="1"/>
  <c r="G725" i="96" s="1"/>
  <c r="G158" i="96"/>
  <c r="G673" i="96"/>
  <c r="G690" i="96"/>
  <c r="G151" i="96"/>
  <c r="O44" i="87"/>
  <c r="G723" i="96"/>
  <c r="G726" i="96" l="1"/>
  <c r="G128" i="70"/>
  <c r="G130" i="70" s="1"/>
  <c r="I36" i="71" l="1"/>
  <c r="G131" i="70"/>
  <c r="G42" i="70"/>
  <c r="I33" i="71" l="1"/>
  <c r="I40" i="71" s="1"/>
  <c r="I43" i="71"/>
  <c r="I42" i="71" s="1"/>
  <c r="G44" i="70"/>
  <c r="G45" i="70" l="1"/>
  <c r="Q130" i="87" l="1"/>
  <c r="P130" i="87"/>
  <c r="R130" i="87" l="1"/>
  <c r="S130" i="87"/>
  <c r="T130" i="87" l="1"/>
  <c r="U130" i="87" l="1"/>
  <c r="V130" i="87" l="1"/>
  <c r="H443" i="96" l="1"/>
  <c r="H367" i="96"/>
  <c r="I443" i="96" l="1"/>
  <c r="I367" i="96"/>
  <c r="J443" i="96" l="1"/>
  <c r="J367" i="96"/>
  <c r="K367" i="96" l="1"/>
  <c r="K443" i="96"/>
  <c r="L443" i="96" l="1"/>
  <c r="L367" i="96"/>
  <c r="M367" i="96" l="1"/>
  <c r="M443" i="96"/>
  <c r="N443" i="96" l="1"/>
  <c r="N367" i="96"/>
  <c r="H806" i="96" l="1"/>
  <c r="I806" i="96" l="1"/>
  <c r="J806" i="96" l="1"/>
  <c r="K806" i="96" l="1"/>
  <c r="H281" i="96"/>
  <c r="L806" i="96" l="1"/>
  <c r="I281" i="96"/>
  <c r="M806" i="96" l="1"/>
  <c r="J281" i="96"/>
  <c r="K281" i="96" l="1"/>
  <c r="N806" i="96"/>
  <c r="H644" i="96"/>
  <c r="H526" i="96"/>
  <c r="P133" i="87"/>
  <c r="H805" i="96"/>
  <c r="V47" i="123"/>
  <c r="V49" i="123" s="1"/>
  <c r="V48" i="123" s="1"/>
  <c r="H761" i="96"/>
  <c r="I146" i="102"/>
  <c r="H567" i="96"/>
  <c r="P131" i="87"/>
  <c r="V41" i="123"/>
  <c r="H804" i="96"/>
  <c r="H291" i="96"/>
  <c r="I148" i="102"/>
  <c r="V53" i="123"/>
  <c r="H807" i="96"/>
  <c r="H802" i="96"/>
  <c r="V35" i="123"/>
  <c r="I147" i="102"/>
  <c r="H155" i="96"/>
  <c r="H762" i="96"/>
  <c r="H648" i="96"/>
  <c r="H713" i="96" s="1"/>
  <c r="H47" i="123"/>
  <c r="P137" i="87"/>
  <c r="H650" i="96"/>
  <c r="H536" i="96"/>
  <c r="H535" i="96"/>
  <c r="H649" i="96"/>
  <c r="H583" i="96"/>
  <c r="H566" i="96"/>
  <c r="H35" i="123"/>
  <c r="H525" i="96"/>
  <c r="P129" i="87" l="1"/>
  <c r="H528" i="96"/>
  <c r="H676" i="96"/>
  <c r="H730" i="96" s="1"/>
  <c r="L281" i="96"/>
  <c r="H712" i="96"/>
  <c r="I526" i="96"/>
  <c r="I644" i="96"/>
  <c r="H687" i="96"/>
  <c r="V37" i="123"/>
  <c r="V36" i="123" s="1"/>
  <c r="I567" i="96"/>
  <c r="Q131" i="87"/>
  <c r="H686" i="96"/>
  <c r="V55" i="123"/>
  <c r="V54" i="123" s="1"/>
  <c r="H575" i="96"/>
  <c r="H576" i="96" s="1"/>
  <c r="H162" i="70"/>
  <c r="H763" i="96"/>
  <c r="H37" i="123"/>
  <c r="H36" i="123" s="1"/>
  <c r="H684" i="96"/>
  <c r="H334" i="96"/>
  <c r="P112" i="87"/>
  <c r="H49" i="123"/>
  <c r="H48" i="123" s="1"/>
  <c r="H203" i="70"/>
  <c r="H202" i="70"/>
  <c r="H652" i="96"/>
  <c r="P141" i="87"/>
  <c r="H160" i="70"/>
  <c r="P144" i="87"/>
  <c r="H655" i="96"/>
  <c r="H671" i="96" s="1"/>
  <c r="W47" i="123"/>
  <c r="W49" i="123" s="1"/>
  <c r="W48" i="123" s="1"/>
  <c r="I805" i="96"/>
  <c r="H683" i="96"/>
  <c r="H733" i="96" s="1"/>
  <c r="H654" i="96"/>
  <c r="P143" i="87"/>
  <c r="I650" i="96"/>
  <c r="I536" i="96"/>
  <c r="I525" i="96"/>
  <c r="I566" i="96"/>
  <c r="I35" i="123"/>
  <c r="H809" i="96"/>
  <c r="H680" i="96"/>
  <c r="H204" i="70"/>
  <c r="H711" i="96"/>
  <c r="H569" i="96"/>
  <c r="H570" i="96" s="1"/>
  <c r="H943" i="96"/>
  <c r="H582" i="96"/>
  <c r="H574" i="96" s="1"/>
  <c r="I649" i="96"/>
  <c r="I535" i="96"/>
  <c r="I583" i="96"/>
  <c r="I648" i="96"/>
  <c r="I713" i="96" s="1"/>
  <c r="I47" i="123"/>
  <c r="I49" i="123" s="1"/>
  <c r="I48" i="123" s="1"/>
  <c r="Q137" i="87"/>
  <c r="I762" i="96"/>
  <c r="J146" i="102"/>
  <c r="I802" i="96"/>
  <c r="W35" i="123"/>
  <c r="J147" i="102"/>
  <c r="V43" i="123"/>
  <c r="V42" i="123" s="1"/>
  <c r="H245" i="70"/>
  <c r="H161" i="70"/>
  <c r="W53" i="123"/>
  <c r="W55" i="123" s="1"/>
  <c r="W54" i="123" s="1"/>
  <c r="I807" i="96"/>
  <c r="H651" i="96"/>
  <c r="H944" i="96" s="1"/>
  <c r="H53" i="123"/>
  <c r="H55" i="123" s="1"/>
  <c r="H54" i="123" s="1"/>
  <c r="P140" i="87"/>
  <c r="W41" i="123"/>
  <c r="W43" i="123" s="1"/>
  <c r="W42" i="123" s="1"/>
  <c r="I804" i="96"/>
  <c r="I291" i="96"/>
  <c r="J148" i="102"/>
  <c r="I680" i="96" l="1"/>
  <c r="I528" i="96"/>
  <c r="Q129" i="87"/>
  <c r="H660" i="96"/>
  <c r="H30" i="123"/>
  <c r="I712" i="96"/>
  <c r="H721" i="96"/>
  <c r="M281" i="96"/>
  <c r="J644" i="96"/>
  <c r="J526" i="96"/>
  <c r="Q140" i="87"/>
  <c r="I683" i="96"/>
  <c r="I733" i="96" s="1"/>
  <c r="I202" i="70"/>
  <c r="H283" i="96"/>
  <c r="H332" i="96"/>
  <c r="H376" i="96"/>
  <c r="P117" i="87"/>
  <c r="H368" i="96"/>
  <c r="W37" i="123"/>
  <c r="W31" i="123" s="1"/>
  <c r="I763" i="96"/>
  <c r="I161" i="70"/>
  <c r="I245" i="70"/>
  <c r="J535" i="96"/>
  <c r="J649" i="96"/>
  <c r="Q141" i="87"/>
  <c r="I684" i="96"/>
  <c r="J111" i="68"/>
  <c r="H370" i="96"/>
  <c r="H448" i="96"/>
  <c r="H287" i="96"/>
  <c r="I652" i="96"/>
  <c r="H670" i="96"/>
  <c r="I575" i="96"/>
  <c r="I576" i="96" s="1"/>
  <c r="X47" i="123"/>
  <c r="X49" i="123" s="1"/>
  <c r="X48" i="123" s="1"/>
  <c r="J805" i="96"/>
  <c r="I160" i="70"/>
  <c r="I569" i="96"/>
  <c r="I570" i="96" s="1"/>
  <c r="I943" i="96"/>
  <c r="I711" i="96"/>
  <c r="I203" i="70"/>
  <c r="I204" i="70"/>
  <c r="H447" i="96"/>
  <c r="H282" i="96"/>
  <c r="I155" i="96"/>
  <c r="I664" i="96"/>
  <c r="I731" i="96"/>
  <c r="I722" i="96" s="1"/>
  <c r="H729" i="96"/>
  <c r="H720" i="96" s="1"/>
  <c r="H585" i="96"/>
  <c r="H577" i="96" s="1"/>
  <c r="X41" i="123"/>
  <c r="J804" i="96"/>
  <c r="J291" i="96"/>
  <c r="G303" i="91"/>
  <c r="K148" i="102"/>
  <c r="J648" i="96"/>
  <c r="J713" i="96" s="1"/>
  <c r="J47" i="123"/>
  <c r="J49" i="123" s="1"/>
  <c r="J48" i="123" s="1"/>
  <c r="J536" i="96"/>
  <c r="J650" i="96"/>
  <c r="I654" i="96"/>
  <c r="J684" i="96"/>
  <c r="V30" i="123"/>
  <c r="H445" i="96"/>
  <c r="I809" i="96"/>
  <c r="H369" i="96"/>
  <c r="P119" i="87"/>
  <c r="H446" i="96"/>
  <c r="H333" i="96"/>
  <c r="H289" i="96"/>
  <c r="I162" i="70"/>
  <c r="H527" i="96"/>
  <c r="H530" i="96" s="1"/>
  <c r="H531" i="96" s="1"/>
  <c r="H647" i="96"/>
  <c r="H537" i="96"/>
  <c r="H538" i="96" s="1"/>
  <c r="I655" i="96"/>
  <c r="J802" i="96"/>
  <c r="X35" i="123"/>
  <c r="K147" i="102"/>
  <c r="H664" i="96"/>
  <c r="H731" i="96"/>
  <c r="H722" i="96" s="1"/>
  <c r="I582" i="96"/>
  <c r="I574" i="96" s="1"/>
  <c r="H406" i="96"/>
  <c r="H163" i="70"/>
  <c r="H205" i="70"/>
  <c r="R131" i="87"/>
  <c r="J583" i="96"/>
  <c r="H377" i="96"/>
  <c r="H405" i="96"/>
  <c r="H365" i="96"/>
  <c r="H668" i="96"/>
  <c r="H31" i="123"/>
  <c r="H764" i="96"/>
  <c r="V31" i="123"/>
  <c r="H715" i="96"/>
  <c r="H724" i="96" s="1"/>
  <c r="H667" i="96"/>
  <c r="I37" i="123"/>
  <c r="I651" i="96"/>
  <c r="I53" i="123"/>
  <c r="I55" i="123" s="1"/>
  <c r="I54" i="123" s="1"/>
  <c r="H366" i="96"/>
  <c r="H407" i="96"/>
  <c r="J762" i="96"/>
  <c r="K146" i="102"/>
  <c r="J567" i="96"/>
  <c r="H937" i="96"/>
  <c r="X53" i="123"/>
  <c r="X55" i="123" s="1"/>
  <c r="X54" i="123" s="1"/>
  <c r="J807" i="96"/>
  <c r="J525" i="96"/>
  <c r="J35" i="123"/>
  <c r="J566" i="96"/>
  <c r="Q144" i="87" l="1"/>
  <c r="P136" i="87"/>
  <c r="H335" i="96"/>
  <c r="H336" i="96" s="1"/>
  <c r="I944" i="96"/>
  <c r="J528" i="96"/>
  <c r="H288" i="96"/>
  <c r="W36" i="123"/>
  <c r="W30" i="123" s="1"/>
  <c r="I31" i="123"/>
  <c r="J712" i="96"/>
  <c r="N281" i="96"/>
  <c r="I205" i="70"/>
  <c r="I676" i="96"/>
  <c r="Q133" i="87"/>
  <c r="K644" i="96"/>
  <c r="K526" i="96"/>
  <c r="J809" i="96"/>
  <c r="K525" i="96"/>
  <c r="K35" i="123"/>
  <c r="K566" i="96"/>
  <c r="H679" i="96"/>
  <c r="I377" i="96"/>
  <c r="I405" i="96"/>
  <c r="I365" i="96"/>
  <c r="S131" i="87"/>
  <c r="K583" i="96"/>
  <c r="I764" i="96"/>
  <c r="J37" i="123"/>
  <c r="J36" i="123" s="1"/>
  <c r="I287" i="96"/>
  <c r="J763" i="96"/>
  <c r="R137" i="87"/>
  <c r="J680" i="96"/>
  <c r="H120" i="70"/>
  <c r="I447" i="96"/>
  <c r="J655" i="96"/>
  <c r="J202" i="70"/>
  <c r="K648" i="96"/>
  <c r="K713" i="96" s="1"/>
  <c r="K47" i="123"/>
  <c r="K567" i="96"/>
  <c r="K575" i="96" s="1"/>
  <c r="K576" i="96" s="1"/>
  <c r="I406" i="96"/>
  <c r="I527" i="96"/>
  <c r="I530" i="96" s="1"/>
  <c r="I531" i="96" s="1"/>
  <c r="I647" i="96"/>
  <c r="I537" i="96"/>
  <c r="I538" i="96" s="1"/>
  <c r="Y41" i="123"/>
  <c r="Y43" i="123" s="1"/>
  <c r="Y42" i="123" s="1"/>
  <c r="K804" i="96"/>
  <c r="K291" i="96"/>
  <c r="L148" i="102"/>
  <c r="Q107" i="87"/>
  <c r="J943" i="96"/>
  <c r="J711" i="96"/>
  <c r="J569" i="96"/>
  <c r="J570" i="96" s="1"/>
  <c r="J161" i="70"/>
  <c r="I36" i="123"/>
  <c r="I30" i="123" s="1"/>
  <c r="I937" i="96"/>
  <c r="H371" i="96"/>
  <c r="H372" i="96" s="1"/>
  <c r="J651" i="96"/>
  <c r="J53" i="123"/>
  <c r="J55" i="123" s="1"/>
  <c r="J54" i="123" s="1"/>
  <c r="X37" i="123"/>
  <c r="X36" i="123" s="1"/>
  <c r="H717" i="96"/>
  <c r="K807" i="96"/>
  <c r="Y53" i="123"/>
  <c r="H938" i="96"/>
  <c r="K802" i="96"/>
  <c r="Y35" i="123"/>
  <c r="L147" i="102"/>
  <c r="J203" i="70"/>
  <c r="X43" i="123"/>
  <c r="X42" i="123" s="1"/>
  <c r="H936" i="96"/>
  <c r="I366" i="96"/>
  <c r="I407" i="96"/>
  <c r="I668" i="96"/>
  <c r="I282" i="96"/>
  <c r="I445" i="96"/>
  <c r="R140" i="87"/>
  <c r="J683" i="96"/>
  <c r="J733" i="96" s="1"/>
  <c r="J155" i="96"/>
  <c r="I687" i="96"/>
  <c r="I671" i="96" s="1"/>
  <c r="H206" i="70"/>
  <c r="I729" i="96"/>
  <c r="I720" i="96" s="1"/>
  <c r="I585" i="96"/>
  <c r="I577" i="96" s="1"/>
  <c r="J204" i="70"/>
  <c r="H246" i="70"/>
  <c r="H247" i="70" s="1"/>
  <c r="J160" i="70"/>
  <c r="Q143" i="87"/>
  <c r="I686" i="96"/>
  <c r="I670" i="96" s="1"/>
  <c r="H119" i="70"/>
  <c r="Q119" i="87"/>
  <c r="I369" i="96"/>
  <c r="I446" i="96"/>
  <c r="K650" i="96"/>
  <c r="K536" i="96"/>
  <c r="K528" i="96"/>
  <c r="H657" i="96"/>
  <c r="H714" i="96"/>
  <c r="H716" i="96" s="1"/>
  <c r="J654" i="96"/>
  <c r="Q117" i="87"/>
  <c r="I376" i="96"/>
  <c r="I368" i="96"/>
  <c r="J116" i="68"/>
  <c r="P123" i="87"/>
  <c r="AA251" i="96"/>
  <c r="H493" i="96"/>
  <c r="H290" i="96"/>
  <c r="R129" i="87"/>
  <c r="J582" i="96"/>
  <c r="J575" i="96"/>
  <c r="J576" i="96" s="1"/>
  <c r="J162" i="70"/>
  <c r="I715" i="96"/>
  <c r="I724" i="96" s="1"/>
  <c r="I667" i="96"/>
  <c r="K805" i="96"/>
  <c r="Y47" i="123"/>
  <c r="I370" i="96"/>
  <c r="I448" i="96"/>
  <c r="H164" i="70"/>
  <c r="H539" i="96"/>
  <c r="H540" i="96"/>
  <c r="H118" i="70"/>
  <c r="H449" i="96"/>
  <c r="J652" i="96"/>
  <c r="J944" i="96" s="1"/>
  <c r="R141" i="87"/>
  <c r="K762" i="96"/>
  <c r="L146" i="102"/>
  <c r="H939" i="96"/>
  <c r="K649" i="96"/>
  <c r="K535" i="96"/>
  <c r="I333" i="96"/>
  <c r="I289" i="96"/>
  <c r="I163" i="70"/>
  <c r="H492" i="96"/>
  <c r="H284" i="96"/>
  <c r="P122" i="87"/>
  <c r="H685" i="96"/>
  <c r="H669" i="96" s="1"/>
  <c r="P142" i="87"/>
  <c r="I283" i="96"/>
  <c r="I332" i="96"/>
  <c r="H378" i="96"/>
  <c r="H379" i="96" s="1"/>
  <c r="J245" i="70"/>
  <c r="I378" i="96" l="1"/>
  <c r="I379" i="96" s="1"/>
  <c r="I206" i="70"/>
  <c r="H298" i="96"/>
  <c r="H121" i="70"/>
  <c r="I335" i="96"/>
  <c r="I336" i="96" s="1"/>
  <c r="H154" i="96"/>
  <c r="AA253" i="96"/>
  <c r="J676" i="96"/>
  <c r="R133" i="87"/>
  <c r="K712" i="96"/>
  <c r="I730" i="96"/>
  <c r="I721" i="96" s="1"/>
  <c r="I660" i="96"/>
  <c r="H304" i="96"/>
  <c r="L644" i="96"/>
  <c r="L526" i="96"/>
  <c r="L567" i="96"/>
  <c r="J405" i="96"/>
  <c r="J365" i="96"/>
  <c r="J377" i="96"/>
  <c r="R117" i="87"/>
  <c r="J376" i="96"/>
  <c r="J368" i="96"/>
  <c r="S137" i="87"/>
  <c r="K680" i="96"/>
  <c r="K162" i="70"/>
  <c r="H122" i="70"/>
  <c r="J445" i="96"/>
  <c r="J729" i="96"/>
  <c r="J585" i="96"/>
  <c r="J577" i="96" s="1"/>
  <c r="H658" i="96"/>
  <c r="Z47" i="123"/>
  <c r="Z49" i="123" s="1"/>
  <c r="Z48" i="123" s="1"/>
  <c r="L805" i="96"/>
  <c r="I936" i="96"/>
  <c r="J333" i="96"/>
  <c r="J289" i="96"/>
  <c r="H307" i="96"/>
  <c r="H308" i="96" s="1"/>
  <c r="Y37" i="123"/>
  <c r="Y36" i="123" s="1"/>
  <c r="S141" i="87"/>
  <c r="K684" i="96"/>
  <c r="I288" i="96"/>
  <c r="K203" i="70"/>
  <c r="I119" i="70"/>
  <c r="K49" i="123"/>
  <c r="K48" i="123" s="1"/>
  <c r="P124" i="87"/>
  <c r="J89" i="68"/>
  <c r="H494" i="96"/>
  <c r="H497" i="96" s="1"/>
  <c r="J668" i="96"/>
  <c r="J764" i="96"/>
  <c r="J31" i="123"/>
  <c r="Z41" i="123"/>
  <c r="L804" i="96"/>
  <c r="L291" i="96"/>
  <c r="M148" i="102"/>
  <c r="Q136" i="87"/>
  <c r="I679" i="96"/>
  <c r="L648" i="96"/>
  <c r="L713" i="96" s="1"/>
  <c r="L47" i="123"/>
  <c r="L49" i="123" s="1"/>
  <c r="L48" i="123" s="1"/>
  <c r="J527" i="96"/>
  <c r="J530" i="96" s="1"/>
  <c r="J531" i="96" s="1"/>
  <c r="J647" i="96"/>
  <c r="J537" i="96"/>
  <c r="J538" i="96" s="1"/>
  <c r="R144" i="87"/>
  <c r="J687" i="96"/>
  <c r="J671" i="96" s="1"/>
  <c r="K763" i="96"/>
  <c r="L650" i="96"/>
  <c r="L536" i="96"/>
  <c r="S129" i="87"/>
  <c r="K582" i="96"/>
  <c r="K574" i="96" s="1"/>
  <c r="J287" i="96"/>
  <c r="K116" i="68"/>
  <c r="K687" i="96"/>
  <c r="I685" i="96"/>
  <c r="I669" i="96" s="1"/>
  <c r="Q142" i="87"/>
  <c r="P39" i="87"/>
  <c r="H299" i="96"/>
  <c r="H296" i="96"/>
  <c r="H940" i="96"/>
  <c r="K652" i="96"/>
  <c r="X30" i="123"/>
  <c r="J715" i="96"/>
  <c r="J724" i="96" s="1"/>
  <c r="J667" i="96"/>
  <c r="J574" i="96"/>
  <c r="K106" i="68"/>
  <c r="K204" i="70"/>
  <c r="I657" i="96"/>
  <c r="I658" i="96" s="1"/>
  <c r="I714" i="96"/>
  <c r="R119" i="87"/>
  <c r="J369" i="96"/>
  <c r="J446" i="96"/>
  <c r="L649" i="96"/>
  <c r="L535" i="96"/>
  <c r="L762" i="96"/>
  <c r="M146" i="102"/>
  <c r="H297" i="96"/>
  <c r="J283" i="96"/>
  <c r="J332" i="96"/>
  <c r="R107" i="87"/>
  <c r="H295" i="96"/>
  <c r="K943" i="96"/>
  <c r="K569" i="96"/>
  <c r="K570" i="96" s="1"/>
  <c r="K711" i="96"/>
  <c r="J282" i="96"/>
  <c r="J407" i="96"/>
  <c r="J366" i="96"/>
  <c r="I164" i="70"/>
  <c r="L802" i="96"/>
  <c r="Z35" i="123"/>
  <c r="Z37" i="123" s="1"/>
  <c r="Z36" i="123" s="1"/>
  <c r="M147" i="102"/>
  <c r="K161" i="70"/>
  <c r="AA250" i="96"/>
  <c r="AA252" i="96" s="1"/>
  <c r="J163" i="70"/>
  <c r="I449" i="96"/>
  <c r="H300" i="96"/>
  <c r="Y55" i="123"/>
  <c r="Y54" i="123" s="1"/>
  <c r="L528" i="96"/>
  <c r="X31" i="123"/>
  <c r="K202" i="70"/>
  <c r="I118" i="70"/>
  <c r="I939" i="96"/>
  <c r="J205" i="70"/>
  <c r="J664" i="96"/>
  <c r="J731" i="96"/>
  <c r="J722" i="96" s="1"/>
  <c r="Q123" i="87"/>
  <c r="I493" i="96"/>
  <c r="R143" i="87"/>
  <c r="J686" i="96"/>
  <c r="J670" i="96" s="1"/>
  <c r="I371" i="96"/>
  <c r="I372" i="96" s="1"/>
  <c r="H663" i="96"/>
  <c r="H732" i="96"/>
  <c r="H723" i="96" s="1"/>
  <c r="L807" i="96"/>
  <c r="Z53" i="123"/>
  <c r="K37" i="123"/>
  <c r="K36" i="123" s="1"/>
  <c r="K155" i="96"/>
  <c r="K160" i="70"/>
  <c r="J937" i="96"/>
  <c r="L525" i="96"/>
  <c r="L566" i="96"/>
  <c r="L35" i="123"/>
  <c r="Y49" i="123"/>
  <c r="Y48" i="123" s="1"/>
  <c r="I492" i="96"/>
  <c r="I284" i="96"/>
  <c r="K651" i="96"/>
  <c r="K53" i="123"/>
  <c r="K55" i="123" s="1"/>
  <c r="K54" i="123" s="1"/>
  <c r="K655" i="96"/>
  <c r="H248" i="70"/>
  <c r="J447" i="96"/>
  <c r="J370" i="96"/>
  <c r="J448" i="96"/>
  <c r="J406" i="96"/>
  <c r="K654" i="96"/>
  <c r="S143" i="87"/>
  <c r="H303" i="96"/>
  <c r="K809" i="96"/>
  <c r="I717" i="96"/>
  <c r="I539" i="96"/>
  <c r="I540" i="96"/>
  <c r="I120" i="70"/>
  <c r="I938" i="96"/>
  <c r="J334" i="96"/>
  <c r="J30" i="123"/>
  <c r="I246" i="70"/>
  <c r="I247" i="70" s="1"/>
  <c r="AB250" i="96" l="1"/>
  <c r="I940" i="96"/>
  <c r="M583" i="96"/>
  <c r="S144" i="87"/>
  <c r="L809" i="96"/>
  <c r="K944" i="96"/>
  <c r="J335" i="96"/>
  <c r="J336" i="96" s="1"/>
  <c r="K163" i="70"/>
  <c r="K205" i="70"/>
  <c r="J378" i="96"/>
  <c r="J379" i="96" s="1"/>
  <c r="AB251" i="96"/>
  <c r="AB253" i="96" s="1"/>
  <c r="I154" i="96"/>
  <c r="K676" i="96"/>
  <c r="S133" i="87"/>
  <c r="Q124" i="87"/>
  <c r="M644" i="96"/>
  <c r="M526" i="96"/>
  <c r="I290" i="96"/>
  <c r="I298" i="96" s="1"/>
  <c r="L712" i="96"/>
  <c r="J730" i="96"/>
  <c r="J721" i="96" s="1"/>
  <c r="J660" i="96"/>
  <c r="R136" i="87"/>
  <c r="J679" i="96"/>
  <c r="M648" i="96"/>
  <c r="M713" i="96" s="1"/>
  <c r="M47" i="123"/>
  <c r="M49" i="123" s="1"/>
  <c r="M48" i="123" s="1"/>
  <c r="K334" i="96"/>
  <c r="K31" i="123"/>
  <c r="Z55" i="123"/>
  <c r="Z54" i="123" s="1"/>
  <c r="J938" i="96"/>
  <c r="I121" i="70"/>
  <c r="K333" i="96"/>
  <c r="K289" i="96"/>
  <c r="K406" i="96"/>
  <c r="J164" i="70"/>
  <c r="M566" i="96"/>
  <c r="M525" i="96"/>
  <c r="M35" i="123"/>
  <c r="L162" i="70"/>
  <c r="K686" i="96"/>
  <c r="K670" i="96" s="1"/>
  <c r="K729" i="96"/>
  <c r="K720" i="96" s="1"/>
  <c r="K585" i="96"/>
  <c r="K577" i="96" s="1"/>
  <c r="K937" i="96"/>
  <c r="J120" i="70"/>
  <c r="L202" i="70"/>
  <c r="K283" i="96"/>
  <c r="K332" i="96"/>
  <c r="H283" i="70"/>
  <c r="H287" i="70" s="1"/>
  <c r="H291" i="70" s="1"/>
  <c r="L651" i="96"/>
  <c r="L53" i="123"/>
  <c r="L55" i="123" s="1"/>
  <c r="L54" i="123" s="1"/>
  <c r="M650" i="96"/>
  <c r="M536" i="96"/>
  <c r="M802" i="96"/>
  <c r="AA35" i="123"/>
  <c r="N147" i="102"/>
  <c r="L37" i="123"/>
  <c r="J288" i="96"/>
  <c r="J939" i="96"/>
  <c r="I494" i="96"/>
  <c r="K89" i="68"/>
  <c r="M535" i="96"/>
  <c r="M649" i="96"/>
  <c r="S119" i="87"/>
  <c r="K446" i="96"/>
  <c r="K369" i="96"/>
  <c r="K206" i="70"/>
  <c r="L686" i="96"/>
  <c r="L655" i="96"/>
  <c r="J29" i="71"/>
  <c r="H32" i="70"/>
  <c r="AC250" i="96"/>
  <c r="J492" i="96"/>
  <c r="J284" i="96"/>
  <c r="L245" i="70"/>
  <c r="L763" i="96"/>
  <c r="T129" i="87"/>
  <c r="L582" i="96"/>
  <c r="L574" i="96" s="1"/>
  <c r="K764" i="96"/>
  <c r="J539" i="96"/>
  <c r="J540" i="96"/>
  <c r="J657" i="96"/>
  <c r="J658" i="96" s="1"/>
  <c r="J714" i="96"/>
  <c r="J118" i="70"/>
  <c r="I663" i="96"/>
  <c r="I732" i="96"/>
  <c r="I723" i="96" s="1"/>
  <c r="L203" i="70"/>
  <c r="Z43" i="123"/>
  <c r="Z42" i="123" s="1"/>
  <c r="Y30" i="123"/>
  <c r="J720" i="96"/>
  <c r="J449" i="96"/>
  <c r="K664" i="96"/>
  <c r="K731" i="96"/>
  <c r="K722" i="96" s="1"/>
  <c r="K366" i="96"/>
  <c r="K407" i="96"/>
  <c r="S117" i="87"/>
  <c r="K376" i="96"/>
  <c r="K368" i="96"/>
  <c r="J246" i="70"/>
  <c r="J247" i="70" s="1"/>
  <c r="I248" i="70"/>
  <c r="AA41" i="123"/>
  <c r="AA43" i="123" s="1"/>
  <c r="AA42" i="123" s="1"/>
  <c r="M804" i="96"/>
  <c r="M291" i="96"/>
  <c r="N148" i="102"/>
  <c r="H34" i="70"/>
  <c r="K715" i="96"/>
  <c r="I497" i="96"/>
  <c r="Q122" i="87"/>
  <c r="Q39" i="87"/>
  <c r="K287" i="96"/>
  <c r="L711" i="96"/>
  <c r="L569" i="96"/>
  <c r="L570" i="96" s="1"/>
  <c r="L943" i="96"/>
  <c r="M762" i="96"/>
  <c r="M763" i="96" s="1"/>
  <c r="N146" i="102"/>
  <c r="J206" i="70"/>
  <c r="L652" i="96"/>
  <c r="T141" i="87"/>
  <c r="L654" i="96"/>
  <c r="T143" i="87"/>
  <c r="K365" i="96"/>
  <c r="K405" i="96"/>
  <c r="K377" i="96"/>
  <c r="K245" i="70"/>
  <c r="K282" i="96"/>
  <c r="J936" i="96"/>
  <c r="K938" i="96"/>
  <c r="L106" i="68"/>
  <c r="L161" i="70"/>
  <c r="K671" i="96"/>
  <c r="R142" i="87"/>
  <c r="J685" i="96"/>
  <c r="J669" i="96" s="1"/>
  <c r="M807" i="96"/>
  <c r="AA53" i="123"/>
  <c r="AA55" i="123" s="1"/>
  <c r="AA54" i="123" s="1"/>
  <c r="J717" i="96"/>
  <c r="L204" i="70"/>
  <c r="S107" i="87"/>
  <c r="K668" i="96"/>
  <c r="Y31" i="123"/>
  <c r="K370" i="96"/>
  <c r="K448" i="96"/>
  <c r="T131" i="87"/>
  <c r="L583" i="96"/>
  <c r="L575" i="96" s="1"/>
  <c r="L576" i="96" s="1"/>
  <c r="K647" i="96"/>
  <c r="K527" i="96"/>
  <c r="K530" i="96" s="1"/>
  <c r="K531" i="96" s="1"/>
  <c r="S136" i="87"/>
  <c r="K537" i="96"/>
  <c r="K538" i="96" s="1"/>
  <c r="I716" i="96"/>
  <c r="AA47" i="123"/>
  <c r="M805" i="96"/>
  <c r="K30" i="123"/>
  <c r="S140" i="87"/>
  <c r="K683" i="96"/>
  <c r="K733" i="96" s="1"/>
  <c r="K445" i="96"/>
  <c r="H129" i="70"/>
  <c r="AC251" i="96"/>
  <c r="R123" i="87"/>
  <c r="J493" i="96"/>
  <c r="J290" i="96"/>
  <c r="J303" i="96" s="1"/>
  <c r="L155" i="96"/>
  <c r="L160" i="70"/>
  <c r="K447" i="96"/>
  <c r="J30" i="71"/>
  <c r="H33" i="70"/>
  <c r="M567" i="96"/>
  <c r="M575" i="96" s="1"/>
  <c r="M576" i="96" s="1"/>
  <c r="U131" i="87"/>
  <c r="J119" i="70"/>
  <c r="T137" i="87"/>
  <c r="L680" i="96"/>
  <c r="M528" i="96"/>
  <c r="H282" i="70"/>
  <c r="H286" i="70" s="1"/>
  <c r="H290" i="70" s="1"/>
  <c r="L116" i="68"/>
  <c r="J371" i="96"/>
  <c r="J372" i="96" s="1"/>
  <c r="I129" i="70" l="1"/>
  <c r="I283" i="70"/>
  <c r="I287" i="70" s="1"/>
  <c r="K29" i="71"/>
  <c r="AC253" i="96"/>
  <c r="L944" i="96"/>
  <c r="J31" i="71"/>
  <c r="J38" i="71" s="1"/>
  <c r="I300" i="96"/>
  <c r="I297" i="96"/>
  <c r="I299" i="96"/>
  <c r="K939" i="96"/>
  <c r="K940" i="96" s="1"/>
  <c r="I303" i="96"/>
  <c r="I307" i="96"/>
  <c r="I308" i="96" s="1"/>
  <c r="K164" i="70"/>
  <c r="L31" i="123"/>
  <c r="K288" i="96"/>
  <c r="AB252" i="96"/>
  <c r="L163" i="70"/>
  <c r="J297" i="96"/>
  <c r="Z30" i="123"/>
  <c r="M712" i="96"/>
  <c r="K730" i="96"/>
  <c r="K721" i="96" s="1"/>
  <c r="K660" i="96"/>
  <c r="J304" i="96"/>
  <c r="J295" i="96"/>
  <c r="I296" i="96"/>
  <c r="J296" i="96"/>
  <c r="N526" i="96"/>
  <c r="N644" i="96"/>
  <c r="I295" i="96"/>
  <c r="I304" i="96"/>
  <c r="U140" i="87"/>
  <c r="M683" i="96"/>
  <c r="M733" i="96" s="1"/>
  <c r="K119" i="70"/>
  <c r="K118" i="70"/>
  <c r="M160" i="70"/>
  <c r="M203" i="70"/>
  <c r="AC252" i="96"/>
  <c r="V129" i="87"/>
  <c r="R122" i="87"/>
  <c r="N680" i="96"/>
  <c r="N731" i="96" s="1"/>
  <c r="T117" i="87"/>
  <c r="L368" i="96"/>
  <c r="L376" i="96"/>
  <c r="AA37" i="123"/>
  <c r="AA36" i="123" s="1"/>
  <c r="J154" i="96"/>
  <c r="S123" i="87"/>
  <c r="I122" i="70"/>
  <c r="N535" i="96"/>
  <c r="N649" i="96"/>
  <c r="J663" i="96"/>
  <c r="J732" i="96"/>
  <c r="J723" i="96" s="1"/>
  <c r="K717" i="96"/>
  <c r="M809" i="96"/>
  <c r="N583" i="96"/>
  <c r="T140" i="87"/>
  <c r="L683" i="96"/>
  <c r="L733" i="96" s="1"/>
  <c r="K449" i="96"/>
  <c r="K30" i="71"/>
  <c r="I33" i="70"/>
  <c r="AA49" i="123"/>
  <c r="AA48" i="123" s="1"/>
  <c r="K657" i="96"/>
  <c r="K714" i="96"/>
  <c r="N802" i="96"/>
  <c r="AB35" i="123"/>
  <c r="O147" i="102"/>
  <c r="M106" i="68"/>
  <c r="N567" i="96"/>
  <c r="N575" i="96" s="1"/>
  <c r="N576" i="96" s="1"/>
  <c r="V131" i="87"/>
  <c r="J299" i="96"/>
  <c r="J307" i="96"/>
  <c r="J308" i="96" s="1"/>
  <c r="M764" i="96"/>
  <c r="M202" i="70"/>
  <c r="M116" i="68"/>
  <c r="K378" i="96"/>
  <c r="K379" i="96" s="1"/>
  <c r="J121" i="70"/>
  <c r="J298" i="96"/>
  <c r="M655" i="96"/>
  <c r="L333" i="96"/>
  <c r="L289" i="96"/>
  <c r="L684" i="96"/>
  <c r="L668" i="96" s="1"/>
  <c r="N805" i="96"/>
  <c r="AB47" i="123"/>
  <c r="K679" i="96"/>
  <c r="N804" i="96"/>
  <c r="AB41" i="123"/>
  <c r="AB43" i="123" s="1"/>
  <c r="AB42" i="123" s="1"/>
  <c r="N291" i="96"/>
  <c r="O148" i="102"/>
  <c r="U137" i="87"/>
  <c r="M680" i="96"/>
  <c r="L205" i="70"/>
  <c r="M37" i="123"/>
  <c r="M36" i="123" s="1"/>
  <c r="M943" i="96"/>
  <c r="M569" i="96"/>
  <c r="M570" i="96" s="1"/>
  <c r="M711" i="96"/>
  <c r="M245" i="70"/>
  <c r="U141" i="87"/>
  <c r="M684" i="96"/>
  <c r="J494" i="96"/>
  <c r="J497" i="96" s="1"/>
  <c r="L937" i="96"/>
  <c r="N536" i="96"/>
  <c r="N650" i="96"/>
  <c r="L283" i="96"/>
  <c r="L332" i="96"/>
  <c r="T107" i="87"/>
  <c r="M654" i="96"/>
  <c r="L334" i="96"/>
  <c r="L647" i="96"/>
  <c r="L527" i="96"/>
  <c r="L530" i="96" s="1"/>
  <c r="L531" i="96" s="1"/>
  <c r="T136" i="87"/>
  <c r="L537" i="96"/>
  <c r="L538" i="96" s="1"/>
  <c r="I291" i="70"/>
  <c r="U129" i="87"/>
  <c r="M582" i="96"/>
  <c r="M574" i="96" s="1"/>
  <c r="T119" i="87"/>
  <c r="L446" i="96"/>
  <c r="L369" i="96"/>
  <c r="M155" i="96"/>
  <c r="M162" i="70"/>
  <c r="M204" i="70"/>
  <c r="J248" i="70"/>
  <c r="N566" i="96"/>
  <c r="N525" i="96"/>
  <c r="N35" i="123"/>
  <c r="H35" i="70"/>
  <c r="L670" i="96"/>
  <c r="L287" i="96"/>
  <c r="N648" i="96"/>
  <c r="N47" i="123"/>
  <c r="N49" i="123" s="1"/>
  <c r="N48" i="123" s="1"/>
  <c r="V137" i="87"/>
  <c r="L407" i="96"/>
  <c r="L366" i="96"/>
  <c r="L715" i="96"/>
  <c r="K493" i="96"/>
  <c r="K492" i="96"/>
  <c r="K284" i="96"/>
  <c r="M652" i="96"/>
  <c r="K246" i="70"/>
  <c r="K247" i="70" s="1"/>
  <c r="Z31" i="123"/>
  <c r="K540" i="96"/>
  <c r="K539" i="96"/>
  <c r="J716" i="96"/>
  <c r="M651" i="96"/>
  <c r="M53" i="123"/>
  <c r="M55" i="123" s="1"/>
  <c r="M54" i="123" s="1"/>
  <c r="L664" i="96"/>
  <c r="L731" i="96"/>
  <c r="L722" i="96" s="1"/>
  <c r="K724" i="96"/>
  <c r="K120" i="70"/>
  <c r="J300" i="96"/>
  <c r="K936" i="96"/>
  <c r="K371" i="96"/>
  <c r="K372" i="96" s="1"/>
  <c r="L406" i="96"/>
  <c r="M161" i="70"/>
  <c r="K667" i="96"/>
  <c r="L448" i="96"/>
  <c r="L370" i="96"/>
  <c r="L729" i="96"/>
  <c r="L585" i="96"/>
  <c r="L577" i="96" s="1"/>
  <c r="L764" i="96"/>
  <c r="L282" i="96"/>
  <c r="L445" i="96"/>
  <c r="U144" i="87"/>
  <c r="N762" i="96"/>
  <c r="N763" i="96" s="1"/>
  <c r="O146" i="102"/>
  <c r="I282" i="70"/>
  <c r="I286" i="70" s="1"/>
  <c r="L36" i="123"/>
  <c r="S142" i="87"/>
  <c r="K685" i="96"/>
  <c r="K669" i="96" s="1"/>
  <c r="N807" i="96"/>
  <c r="AB53" i="123"/>
  <c r="AB55" i="123" s="1"/>
  <c r="AB54" i="123" s="1"/>
  <c r="L447" i="96"/>
  <c r="L365" i="96"/>
  <c r="L377" i="96"/>
  <c r="L405" i="96"/>
  <c r="T144" i="87"/>
  <c r="L687" i="96"/>
  <c r="L671" i="96" s="1"/>
  <c r="N684" i="96"/>
  <c r="J940" i="96"/>
  <c r="L288" i="96"/>
  <c r="K335" i="96"/>
  <c r="K336" i="96" s="1"/>
  <c r="H128" i="70"/>
  <c r="I32" i="70" l="1"/>
  <c r="J41" i="71"/>
  <c r="J44" i="71" s="1"/>
  <c r="L164" i="70"/>
  <c r="M944" i="96"/>
  <c r="L335" i="96"/>
  <c r="L371" i="96"/>
  <c r="L372" i="96" s="1"/>
  <c r="L667" i="96"/>
  <c r="AA30" i="123"/>
  <c r="L724" i="96"/>
  <c r="M30" i="123"/>
  <c r="N712" i="96"/>
  <c r="L676" i="96"/>
  <c r="T133" i="87"/>
  <c r="M676" i="96"/>
  <c r="U133" i="87"/>
  <c r="R39" i="87"/>
  <c r="K248" i="70"/>
  <c r="N160" i="70"/>
  <c r="L30" i="123"/>
  <c r="N161" i="70"/>
  <c r="M937" i="96"/>
  <c r="M288" i="96"/>
  <c r="L657" i="96"/>
  <c r="L714" i="96"/>
  <c r="N53" i="123"/>
  <c r="N55" i="123" s="1"/>
  <c r="N54" i="123" s="1"/>
  <c r="N651" i="96"/>
  <c r="N654" i="96"/>
  <c r="N203" i="70"/>
  <c r="N202" i="70"/>
  <c r="N809" i="96"/>
  <c r="K658" i="96"/>
  <c r="U143" i="87"/>
  <c r="M686" i="96"/>
  <c r="M670" i="96" s="1"/>
  <c r="AA31" i="123"/>
  <c r="M287" i="96"/>
  <c r="J282" i="70"/>
  <c r="J286" i="70" s="1"/>
  <c r="J290" i="70" s="1"/>
  <c r="N764" i="96"/>
  <c r="L936" i="96"/>
  <c r="M446" i="96"/>
  <c r="U119" i="87"/>
  <c r="M369" i="96"/>
  <c r="U107" i="87"/>
  <c r="S124" i="87"/>
  <c r="S122" i="87"/>
  <c r="K290" i="96"/>
  <c r="K298" i="96" s="1"/>
  <c r="H36" i="70"/>
  <c r="N711" i="96"/>
  <c r="N943" i="96"/>
  <c r="N569" i="96"/>
  <c r="L717" i="96"/>
  <c r="L120" i="70"/>
  <c r="L336" i="96"/>
  <c r="N106" i="68"/>
  <c r="N245" i="70"/>
  <c r="M31" i="123"/>
  <c r="M377" i="96"/>
  <c r="M405" i="96"/>
  <c r="M365" i="96"/>
  <c r="M664" i="96"/>
  <c r="M731" i="96"/>
  <c r="M722" i="96" s="1"/>
  <c r="N204" i="70"/>
  <c r="AB49" i="123"/>
  <c r="AB48" i="123" s="1"/>
  <c r="L89" i="68"/>
  <c r="M205" i="70"/>
  <c r="AD250" i="96"/>
  <c r="M647" i="96"/>
  <c r="M527" i="96"/>
  <c r="M530" i="96" s="1"/>
  <c r="M531" i="96" s="1"/>
  <c r="M537" i="96"/>
  <c r="M538" i="96" s="1"/>
  <c r="L378" i="96"/>
  <c r="L379" i="96" s="1"/>
  <c r="N655" i="96"/>
  <c r="K121" i="70"/>
  <c r="N155" i="96"/>
  <c r="L938" i="96"/>
  <c r="N652" i="96"/>
  <c r="N668" i="96" s="1"/>
  <c r="V141" i="87"/>
  <c r="K129" i="70"/>
  <c r="M366" i="96"/>
  <c r="M407" i="96"/>
  <c r="I290" i="70"/>
  <c r="N162" i="70"/>
  <c r="M687" i="96"/>
  <c r="M671" i="96" s="1"/>
  <c r="L939" i="96"/>
  <c r="M332" i="96"/>
  <c r="M283" i="96"/>
  <c r="M715" i="96"/>
  <c r="M724" i="96" s="1"/>
  <c r="M667" i="96"/>
  <c r="M246" i="70"/>
  <c r="M247" i="70" s="1"/>
  <c r="L246" i="70"/>
  <c r="L247" i="70" s="1"/>
  <c r="N713" i="96"/>
  <c r="N722" i="96" s="1"/>
  <c r="N664" i="96"/>
  <c r="M334" i="96"/>
  <c r="M333" i="96"/>
  <c r="M289" i="96"/>
  <c r="M729" i="96"/>
  <c r="M720" i="96" s="1"/>
  <c r="M585" i="96"/>
  <c r="M577" i="96" s="1"/>
  <c r="L540" i="96"/>
  <c r="L539" i="96"/>
  <c r="L119" i="70"/>
  <c r="N683" i="96"/>
  <c r="N733" i="96" s="1"/>
  <c r="M668" i="96"/>
  <c r="L206" i="70"/>
  <c r="M376" i="96"/>
  <c r="M378" i="96" s="1"/>
  <c r="M379" i="96" s="1"/>
  <c r="U117" i="87"/>
  <c r="M368" i="96"/>
  <c r="M938" i="96"/>
  <c r="M939" i="96"/>
  <c r="J122" i="70"/>
  <c r="M370" i="96"/>
  <c r="M448" i="96"/>
  <c r="L679" i="96"/>
  <c r="AB37" i="123"/>
  <c r="R124" i="87"/>
  <c r="N528" i="96"/>
  <c r="N582" i="96"/>
  <c r="M163" i="70"/>
  <c r="L493" i="96"/>
  <c r="L449" i="96"/>
  <c r="K282" i="70"/>
  <c r="K494" i="96"/>
  <c r="K497" i="96" s="1"/>
  <c r="M445" i="96"/>
  <c r="N37" i="123"/>
  <c r="M406" i="96"/>
  <c r="L118" i="70"/>
  <c r="L121" i="70" s="1"/>
  <c r="L492" i="96"/>
  <c r="L284" i="96"/>
  <c r="M447" i="96"/>
  <c r="K663" i="96"/>
  <c r="K732" i="96"/>
  <c r="K723" i="96" s="1"/>
  <c r="L720" i="96"/>
  <c r="J283" i="70"/>
  <c r="J287" i="70" s="1"/>
  <c r="J291" i="70" s="1"/>
  <c r="K716" i="96"/>
  <c r="I34" i="70"/>
  <c r="I35" i="70" s="1"/>
  <c r="K31" i="71"/>
  <c r="N116" i="68"/>
  <c r="M282" i="96"/>
  <c r="I128" i="70"/>
  <c r="J129" i="70"/>
  <c r="N31" i="123" l="1"/>
  <c r="N944" i="96"/>
  <c r="AB31" i="123"/>
  <c r="N36" i="123"/>
  <c r="N30" i="123" s="1"/>
  <c r="AE251" i="96"/>
  <c r="AE253" i="96" s="1"/>
  <c r="L154" i="96"/>
  <c r="K286" i="70"/>
  <c r="K290" i="70" s="1"/>
  <c r="L290" i="96"/>
  <c r="L300" i="96" s="1"/>
  <c r="M89" i="68"/>
  <c r="AB36" i="123"/>
  <c r="AB30" i="123" s="1"/>
  <c r="L730" i="96"/>
  <c r="L721" i="96" s="1"/>
  <c r="L660" i="96"/>
  <c r="L940" i="96"/>
  <c r="M730" i="96"/>
  <c r="M721" i="96" s="1"/>
  <c r="M660" i="96"/>
  <c r="N676" i="96"/>
  <c r="V133" i="87"/>
  <c r="M248" i="70"/>
  <c r="L29" i="71"/>
  <c r="J32" i="70"/>
  <c r="M936" i="96"/>
  <c r="N287" i="96"/>
  <c r="I36" i="70"/>
  <c r="N334" i="96"/>
  <c r="U142" i="87"/>
  <c r="M685" i="96"/>
  <c r="M669" i="96" s="1"/>
  <c r="N647" i="96"/>
  <c r="N527" i="96"/>
  <c r="N530" i="96" s="1"/>
  <c r="N537" i="96"/>
  <c r="N538" i="96" s="1"/>
  <c r="N937" i="96"/>
  <c r="N729" i="96"/>
  <c r="N720" i="96" s="1"/>
  <c r="N585" i="96"/>
  <c r="L663" i="96"/>
  <c r="L732" i="96"/>
  <c r="L723" i="96" s="1"/>
  <c r="T122" i="87"/>
  <c r="L248" i="70"/>
  <c r="M717" i="96"/>
  <c r="M657" i="96"/>
  <c r="M714" i="96"/>
  <c r="M206" i="70"/>
  <c r="L30" i="71"/>
  <c r="J33" i="70"/>
  <c r="AF250" i="96"/>
  <c r="M492" i="96"/>
  <c r="M284" i="96"/>
  <c r="V143" i="87"/>
  <c r="N686" i="96"/>
  <c r="N670" i="96" s="1"/>
  <c r="L716" i="96"/>
  <c r="L685" i="96"/>
  <c r="L669" i="96" s="1"/>
  <c r="T142" i="87"/>
  <c r="N283" i="96"/>
  <c r="N332" i="96"/>
  <c r="K41" i="71"/>
  <c r="K44" i="71" s="1"/>
  <c r="N715" i="96"/>
  <c r="N724" i="96" s="1"/>
  <c r="N667" i="96"/>
  <c r="L658" i="96"/>
  <c r="K33" i="70"/>
  <c r="N376" i="96"/>
  <c r="V117" i="87"/>
  <c r="N368" i="96"/>
  <c r="J34" i="70"/>
  <c r="L31" i="71"/>
  <c r="M940" i="96"/>
  <c r="O116" i="68"/>
  <c r="M335" i="96"/>
  <c r="M336" i="96" s="1"/>
  <c r="L494" i="96"/>
  <c r="L497" i="96" s="1"/>
  <c r="L282" i="70"/>
  <c r="V107" i="87"/>
  <c r="M118" i="70"/>
  <c r="M120" i="70"/>
  <c r="N282" i="96"/>
  <c r="U136" i="87"/>
  <c r="M679" i="96"/>
  <c r="J128" i="70"/>
  <c r="K38" i="71"/>
  <c r="V140" i="87"/>
  <c r="N445" i="96"/>
  <c r="N163" i="70"/>
  <c r="N448" i="96"/>
  <c r="N370" i="96"/>
  <c r="L122" i="70"/>
  <c r="AD251" i="96"/>
  <c r="AD253" i="96" s="1"/>
  <c r="N366" i="96"/>
  <c r="N407" i="96"/>
  <c r="M164" i="70"/>
  <c r="N447" i="96"/>
  <c r="N406" i="96"/>
  <c r="K128" i="70"/>
  <c r="K122" i="70"/>
  <c r="M371" i="96"/>
  <c r="M372" i="96" s="1"/>
  <c r="N574" i="96"/>
  <c r="K295" i="96"/>
  <c r="K297" i="96"/>
  <c r="K300" i="96"/>
  <c r="K296" i="96"/>
  <c r="K307" i="96"/>
  <c r="K308" i="96" s="1"/>
  <c r="K303" i="96"/>
  <c r="K304" i="96"/>
  <c r="K299" i="96"/>
  <c r="O106" i="68"/>
  <c r="M493" i="96"/>
  <c r="U123" i="87"/>
  <c r="T123" i="87"/>
  <c r="M449" i="96"/>
  <c r="N333" i="96"/>
  <c r="N289" i="96"/>
  <c r="K283" i="70"/>
  <c r="K287" i="70" s="1"/>
  <c r="K291" i="70" s="1"/>
  <c r="N687" i="96"/>
  <c r="N671" i="96" s="1"/>
  <c r="N446" i="96"/>
  <c r="V119" i="87"/>
  <c r="N369" i="96"/>
  <c r="V144" i="87"/>
  <c r="M539" i="96"/>
  <c r="M540" i="96"/>
  <c r="M119" i="70"/>
  <c r="AD252" i="96"/>
  <c r="N570" i="96"/>
  <c r="N205" i="70"/>
  <c r="N377" i="96"/>
  <c r="N365" i="96"/>
  <c r="N405" i="96"/>
  <c r="K154" i="96"/>
  <c r="AE250" i="96"/>
  <c r="U122" i="87" l="1"/>
  <c r="M290" i="96"/>
  <c r="M304" i="96" s="1"/>
  <c r="AE252" i="96"/>
  <c r="N577" i="96"/>
  <c r="L307" i="96"/>
  <c r="L308" i="96" s="1"/>
  <c r="L297" i="96"/>
  <c r="N89" i="68"/>
  <c r="L33" i="70" s="1"/>
  <c r="L286" i="70"/>
  <c r="L290" i="70" s="1"/>
  <c r="L296" i="96"/>
  <c r="N371" i="96"/>
  <c r="L299" i="96"/>
  <c r="L295" i="96"/>
  <c r="L303" i="96"/>
  <c r="L298" i="96"/>
  <c r="L304" i="96"/>
  <c r="M30" i="71"/>
  <c r="M307" i="96"/>
  <c r="M308" i="96" s="1"/>
  <c r="N730" i="96"/>
  <c r="N721" i="96" s="1"/>
  <c r="N660" i="96"/>
  <c r="M295" i="96"/>
  <c r="M154" i="96"/>
  <c r="V122" i="87"/>
  <c r="N938" i="96"/>
  <c r="N679" i="96"/>
  <c r="N663" i="96" s="1"/>
  <c r="N29" i="71"/>
  <c r="L32" i="70"/>
  <c r="N449" i="96"/>
  <c r="M31" i="71"/>
  <c r="K34" i="70"/>
  <c r="N531" i="96"/>
  <c r="N119" i="70"/>
  <c r="M29" i="71"/>
  <c r="K32" i="70"/>
  <c r="M303" i="96"/>
  <c r="J35" i="70"/>
  <c r="AF251" i="96"/>
  <c r="AF253" i="96" s="1"/>
  <c r="N164" i="70"/>
  <c r="M663" i="96"/>
  <c r="M732" i="96"/>
  <c r="M121" i="70"/>
  <c r="V123" i="87"/>
  <c r="N335" i="96"/>
  <c r="N288" i="96"/>
  <c r="V136" i="87"/>
  <c r="N657" i="96"/>
  <c r="N714" i="96"/>
  <c r="M129" i="70"/>
  <c r="M299" i="96"/>
  <c r="L41" i="71"/>
  <c r="L44" i="71" s="1"/>
  <c r="L38" i="71"/>
  <c r="N206" i="70"/>
  <c r="V142" i="87"/>
  <c r="N685" i="96"/>
  <c r="N669" i="96" s="1"/>
  <c r="N936" i="96"/>
  <c r="P106" i="68"/>
  <c r="P116" i="68"/>
  <c r="M298" i="96"/>
  <c r="M723" i="96"/>
  <c r="M716" i="96"/>
  <c r="M297" i="96"/>
  <c r="U493" i="96"/>
  <c r="N246" i="70"/>
  <c r="N247" i="70" s="1"/>
  <c r="N717" i="96"/>
  <c r="N120" i="70"/>
  <c r="N118" i="70"/>
  <c r="M296" i="96"/>
  <c r="M300" i="96"/>
  <c r="N492" i="96"/>
  <c r="N284" i="96"/>
  <c r="N939" i="96"/>
  <c r="T124" i="87"/>
  <c r="N378" i="96"/>
  <c r="N493" i="96"/>
  <c r="AF252" i="96"/>
  <c r="M658" i="96"/>
  <c r="M494" i="96"/>
  <c r="M497" i="96" s="1"/>
  <c r="N540" i="96"/>
  <c r="N539" i="96"/>
  <c r="L283" i="70"/>
  <c r="L287" i="70" s="1"/>
  <c r="L291" i="70" s="1"/>
  <c r="N372" i="96" l="1"/>
  <c r="N30" i="71"/>
  <c r="U124" i="87"/>
  <c r="K35" i="70"/>
  <c r="N290" i="96"/>
  <c r="N300" i="96" s="1"/>
  <c r="L129" i="70"/>
  <c r="M283" i="70"/>
  <c r="M287" i="70" s="1"/>
  <c r="M291" i="70" s="1"/>
  <c r="O89" i="68"/>
  <c r="N716" i="96"/>
  <c r="N494" i="96"/>
  <c r="N497" i="96" s="1"/>
  <c r="U492" i="96" s="1"/>
  <c r="U494" i="96" s="1"/>
  <c r="V124" i="87"/>
  <c r="P89" i="68"/>
  <c r="N297" i="96"/>
  <c r="N121" i="70"/>
  <c r="N129" i="70"/>
  <c r="N658" i="96"/>
  <c r="L34" i="70"/>
  <c r="L35" i="70" s="1"/>
  <c r="N31" i="71"/>
  <c r="N732" i="96"/>
  <c r="N723" i="96" s="1"/>
  <c r="N940" i="96"/>
  <c r="N379" i="96"/>
  <c r="N248" i="70"/>
  <c r="N303" i="96"/>
  <c r="N336" i="96"/>
  <c r="M38" i="71"/>
  <c r="M41" i="71"/>
  <c r="M44" i="71" s="1"/>
  <c r="M282" i="70"/>
  <c r="M286" i="70" s="1"/>
  <c r="M290" i="70" s="1"/>
  <c r="M122" i="70"/>
  <c r="J36" i="70"/>
  <c r="N296" i="96" l="1"/>
  <c r="N307" i="96"/>
  <c r="N308" i="96" s="1"/>
  <c r="N299" i="96"/>
  <c r="N298" i="96"/>
  <c r="N41" i="71"/>
  <c r="N44" i="71" s="1"/>
  <c r="K36" i="70"/>
  <c r="N38" i="71"/>
  <c r="N295" i="96"/>
  <c r="N304" i="96"/>
  <c r="N154" i="96"/>
  <c r="L36" i="70"/>
  <c r="L128" i="70"/>
  <c r="O29" i="71"/>
  <c r="M32" i="70"/>
  <c r="M128" i="70"/>
  <c r="N122" i="70"/>
  <c r="M33" i="70"/>
  <c r="O30" i="71"/>
  <c r="P30" i="71"/>
  <c r="N33" i="70"/>
  <c r="N282" i="70"/>
  <c r="N286" i="70" s="1"/>
  <c r="N290" i="70" s="1"/>
  <c r="N283" i="70"/>
  <c r="N287" i="70" s="1"/>
  <c r="N291" i="70" s="1"/>
  <c r="O31" i="71"/>
  <c r="M34" i="70"/>
  <c r="N34" i="70" l="1"/>
  <c r="P31" i="71"/>
  <c r="O33" i="70"/>
  <c r="P29" i="71"/>
  <c r="N32" i="70"/>
  <c r="O41" i="71"/>
  <c r="O44" i="71" s="1"/>
  <c r="O38" i="71"/>
  <c r="N128" i="70"/>
  <c r="O34" i="70"/>
  <c r="M35" i="70"/>
  <c r="Q29" i="71" l="1"/>
  <c r="R31" i="71"/>
  <c r="Q31" i="71"/>
  <c r="M36" i="70"/>
  <c r="R30" i="71"/>
  <c r="R29" i="71"/>
  <c r="O32" i="70"/>
  <c r="N35" i="70"/>
  <c r="Q30" i="71"/>
  <c r="P38" i="71"/>
  <c r="P41" i="71"/>
  <c r="P44" i="71" s="1"/>
  <c r="Q41" i="71" l="1"/>
  <c r="Q44" i="71" s="1"/>
  <c r="Q38" i="71"/>
  <c r="N36" i="70"/>
  <c r="R38" i="71"/>
  <c r="R41" i="71"/>
  <c r="S29" i="71"/>
  <c r="S31" i="71"/>
  <c r="S30" i="71" l="1"/>
  <c r="S41" i="71" s="1"/>
  <c r="S44" i="71" s="1"/>
  <c r="R44" i="71"/>
  <c r="S38" i="71" l="1"/>
  <c r="H462" i="96" l="1"/>
  <c r="H464" i="96"/>
  <c r="H681" i="96"/>
  <c r="P138" i="87"/>
  <c r="H682" i="96"/>
  <c r="H666" i="96" s="1"/>
  <c r="P139" i="87"/>
  <c r="H774" i="96"/>
  <c r="H768" i="96" s="1"/>
  <c r="P148" i="87"/>
  <c r="H461" i="96" l="1"/>
  <c r="P116" i="87"/>
  <c r="H416" i="96"/>
  <c r="H411" i="96" s="1"/>
  <c r="P114" i="87"/>
  <c r="P37" i="87"/>
  <c r="P110" i="87"/>
  <c r="H417" i="96"/>
  <c r="H412" i="96" s="1"/>
  <c r="P115" i="87"/>
  <c r="H415" i="96"/>
  <c r="P38" i="87"/>
  <c r="P113" i="87"/>
  <c r="P111" i="87"/>
  <c r="P103" i="87"/>
  <c r="P107" i="87"/>
  <c r="P102" i="87"/>
  <c r="P105" i="87"/>
  <c r="P98" i="87"/>
  <c r="P100" i="87"/>
  <c r="P104" i="87"/>
  <c r="P101" i="87"/>
  <c r="H465" i="96"/>
  <c r="H456" i="96" s="1"/>
  <c r="P120" i="87"/>
  <c r="P96" i="87"/>
  <c r="P95" i="87"/>
  <c r="H463" i="96"/>
  <c r="H454" i="96" s="1"/>
  <c r="P118" i="87"/>
  <c r="P97" i="87"/>
  <c r="H466" i="96"/>
  <c r="H457" i="96" s="1"/>
  <c r="P121" i="87"/>
  <c r="P151" i="87"/>
  <c r="P40" i="87"/>
  <c r="Q139" i="87"/>
  <c r="I682" i="96"/>
  <c r="I666" i="96" s="1"/>
  <c r="P155" i="87"/>
  <c r="H817" i="96"/>
  <c r="H816" i="96"/>
  <c r="P154" i="87"/>
  <c r="H735" i="96"/>
  <c r="H815" i="96"/>
  <c r="P153" i="87"/>
  <c r="H665" i="96"/>
  <c r="H689" i="96"/>
  <c r="J103" i="68" l="1"/>
  <c r="Q95" i="87"/>
  <c r="I465" i="96"/>
  <c r="I456" i="96" s="1"/>
  <c r="Q120" i="87"/>
  <c r="J104" i="68"/>
  <c r="J112" i="68"/>
  <c r="J114" i="68"/>
  <c r="Q103" i="87"/>
  <c r="Q111" i="87"/>
  <c r="Q115" i="87"/>
  <c r="I417" i="96"/>
  <c r="I412" i="96" s="1"/>
  <c r="H467" i="96"/>
  <c r="H458" i="96" s="1"/>
  <c r="H452" i="96"/>
  <c r="J96" i="68"/>
  <c r="Q97" i="87"/>
  <c r="J106" i="68"/>
  <c r="Q98" i="87"/>
  <c r="H418" i="96"/>
  <c r="H410" i="96"/>
  <c r="P108" i="87"/>
  <c r="J113" i="68"/>
  <c r="I416" i="96"/>
  <c r="I411" i="96" s="1"/>
  <c r="Q114" i="87"/>
  <c r="J94" i="68"/>
  <c r="P35" i="87"/>
  <c r="J95" i="68"/>
  <c r="J100" i="68"/>
  <c r="Q96" i="87"/>
  <c r="Q104" i="87"/>
  <c r="J102" i="68"/>
  <c r="J110" i="68"/>
  <c r="J109" i="68"/>
  <c r="Q105" i="87"/>
  <c r="Q102" i="87"/>
  <c r="J99" i="68"/>
  <c r="Q121" i="87"/>
  <c r="I466" i="96"/>
  <c r="I457" i="96" s="1"/>
  <c r="J97" i="68"/>
  <c r="J101" i="68"/>
  <c r="J115" i="68"/>
  <c r="Q138" i="87"/>
  <c r="I681" i="96"/>
  <c r="H813" i="96"/>
  <c r="H734" i="96"/>
  <c r="H725" i="96" s="1"/>
  <c r="H726" i="96"/>
  <c r="H673" i="96"/>
  <c r="H690" i="96"/>
  <c r="J682" i="96"/>
  <c r="J666" i="96" s="1"/>
  <c r="R139" i="87"/>
  <c r="R102" i="87" l="1"/>
  <c r="R105" i="87"/>
  <c r="R104" i="87"/>
  <c r="R96" i="87"/>
  <c r="Q110" i="87"/>
  <c r="K104" i="68"/>
  <c r="I415" i="96"/>
  <c r="Q38" i="87"/>
  <c r="Q113" i="87"/>
  <c r="R120" i="87"/>
  <c r="J465" i="96"/>
  <c r="J456" i="96" s="1"/>
  <c r="Q116" i="87"/>
  <c r="I461" i="96"/>
  <c r="K103" i="68"/>
  <c r="Q101" i="87"/>
  <c r="R97" i="87"/>
  <c r="R115" i="87"/>
  <c r="J417" i="96"/>
  <c r="J412" i="96" s="1"/>
  <c r="R103" i="87"/>
  <c r="K96" i="68"/>
  <c r="K114" i="68"/>
  <c r="K110" i="68"/>
  <c r="Q108" i="87"/>
  <c r="K94" i="68"/>
  <c r="K101" i="68"/>
  <c r="K95" i="68"/>
  <c r="K113" i="68"/>
  <c r="R95" i="87"/>
  <c r="I463" i="96"/>
  <c r="I454" i="96" s="1"/>
  <c r="Q118" i="87"/>
  <c r="J466" i="96"/>
  <c r="J457" i="96" s="1"/>
  <c r="R121" i="87"/>
  <c r="P106" i="87"/>
  <c r="J416" i="96"/>
  <c r="J411" i="96" s="1"/>
  <c r="R114" i="87"/>
  <c r="R98" i="87"/>
  <c r="R111" i="87"/>
  <c r="J107" i="68"/>
  <c r="K97" i="68"/>
  <c r="K102" i="68"/>
  <c r="Q35" i="87"/>
  <c r="J681" i="96"/>
  <c r="R138" i="87"/>
  <c r="H127" i="70"/>
  <c r="H130" i="70" s="1"/>
  <c r="P159" i="87"/>
  <c r="H869" i="96"/>
  <c r="Q40" i="87"/>
  <c r="I665" i="96"/>
  <c r="I689" i="96"/>
  <c r="K682" i="96"/>
  <c r="K666" i="96" s="1"/>
  <c r="S139" i="87"/>
  <c r="Q154" i="87"/>
  <c r="I816" i="96"/>
  <c r="I735" i="96"/>
  <c r="S95" i="87" l="1"/>
  <c r="P36" i="87"/>
  <c r="H158" i="96"/>
  <c r="H162" i="96"/>
  <c r="R116" i="87"/>
  <c r="J461" i="96"/>
  <c r="J452" i="96" s="1"/>
  <c r="S97" i="87"/>
  <c r="R101" i="87"/>
  <c r="L102" i="68"/>
  <c r="K100" i="68"/>
  <c r="L103" i="68"/>
  <c r="R108" i="87"/>
  <c r="R35" i="87"/>
  <c r="S103" i="87"/>
  <c r="S120" i="87"/>
  <c r="K465" i="96"/>
  <c r="K456" i="96" s="1"/>
  <c r="L96" i="68"/>
  <c r="S96" i="87"/>
  <c r="S105" i="87"/>
  <c r="K115" i="68"/>
  <c r="I410" i="96"/>
  <c r="I418" i="96"/>
  <c r="S121" i="87"/>
  <c r="K466" i="96"/>
  <c r="K457" i="96" s="1"/>
  <c r="J105" i="68"/>
  <c r="L94" i="68"/>
  <c r="R113" i="87"/>
  <c r="R38" i="87"/>
  <c r="J415" i="96"/>
  <c r="R110" i="87"/>
  <c r="I452" i="96"/>
  <c r="I467" i="96"/>
  <c r="I458" i="96" s="1"/>
  <c r="K112" i="68"/>
  <c r="S114" i="87"/>
  <c r="K416" i="96"/>
  <c r="K411" i="96" s="1"/>
  <c r="L95" i="68"/>
  <c r="L104" i="68"/>
  <c r="L110" i="68"/>
  <c r="L97" i="68"/>
  <c r="L113" i="68"/>
  <c r="S115" i="87"/>
  <c r="K417" i="96"/>
  <c r="K412" i="96" s="1"/>
  <c r="K107" i="68"/>
  <c r="L114" i="68"/>
  <c r="S104" i="87"/>
  <c r="S102" i="87"/>
  <c r="R118" i="87"/>
  <c r="J463" i="96"/>
  <c r="S111" i="87"/>
  <c r="S98" i="87"/>
  <c r="K109" i="68"/>
  <c r="L101" i="68"/>
  <c r="Q160" i="87"/>
  <c r="I870" i="96"/>
  <c r="H870" i="96"/>
  <c r="P160" i="87"/>
  <c r="R154" i="87"/>
  <c r="J816" i="96"/>
  <c r="J735" i="96"/>
  <c r="J665" i="96"/>
  <c r="J689" i="96"/>
  <c r="Q155" i="87"/>
  <c r="I817" i="96"/>
  <c r="I734" i="96"/>
  <c r="I725" i="96" s="1"/>
  <c r="I726" i="96"/>
  <c r="K919" i="96"/>
  <c r="S166" i="87"/>
  <c r="K918" i="96"/>
  <c r="S165" i="87"/>
  <c r="I673" i="96"/>
  <c r="I690" i="96"/>
  <c r="H131" i="70"/>
  <c r="Q159" i="87"/>
  <c r="I869" i="96"/>
  <c r="R40" i="87"/>
  <c r="S138" i="87"/>
  <c r="K681" i="96"/>
  <c r="H773" i="96"/>
  <c r="P146" i="87"/>
  <c r="Q151" i="87"/>
  <c r="Q153" i="87"/>
  <c r="I815" i="96"/>
  <c r="J467" i="96" l="1"/>
  <c r="J458" i="96" s="1"/>
  <c r="J454" i="96"/>
  <c r="M103" i="68"/>
  <c r="S110" i="87"/>
  <c r="Q106" i="87"/>
  <c r="J418" i="96"/>
  <c r="J410" i="96"/>
  <c r="M95" i="68"/>
  <c r="L107" i="68"/>
  <c r="L115" i="68"/>
  <c r="L112" i="68"/>
  <c r="S108" i="87"/>
  <c r="L100" i="68"/>
  <c r="S35" i="87"/>
  <c r="M110" i="68"/>
  <c r="M101" i="68"/>
  <c r="S116" i="87"/>
  <c r="K461" i="96"/>
  <c r="M104" i="68"/>
  <c r="M102" i="68"/>
  <c r="S101" i="87"/>
  <c r="Q112" i="87"/>
  <c r="Q37" i="87"/>
  <c r="M96" i="68"/>
  <c r="M97" i="68"/>
  <c r="M114" i="68"/>
  <c r="M113" i="68"/>
  <c r="L109" i="68"/>
  <c r="S113" i="87"/>
  <c r="K415" i="96"/>
  <c r="S118" i="87"/>
  <c r="K463" i="96"/>
  <c r="M94" i="68"/>
  <c r="J127" i="70"/>
  <c r="J130" i="70" s="1"/>
  <c r="K735" i="96"/>
  <c r="K665" i="96"/>
  <c r="K689" i="96"/>
  <c r="I773" i="96"/>
  <c r="Q146" i="87"/>
  <c r="P41" i="87"/>
  <c r="Q148" i="87"/>
  <c r="I774" i="96"/>
  <c r="I768" i="96" s="1"/>
  <c r="R153" i="87"/>
  <c r="J815" i="96"/>
  <c r="R155" i="87"/>
  <c r="J817" i="96"/>
  <c r="R151" i="87"/>
  <c r="I127" i="70"/>
  <c r="I130" i="70" s="1"/>
  <c r="K816" i="96"/>
  <c r="S154" i="87"/>
  <c r="J734" i="96"/>
  <c r="J725" i="96" s="1"/>
  <c r="J726" i="96"/>
  <c r="H253" i="70"/>
  <c r="H775" i="96"/>
  <c r="H767" i="96"/>
  <c r="L918" i="96"/>
  <c r="T165" i="87"/>
  <c r="U139" i="87"/>
  <c r="M682" i="96"/>
  <c r="M666" i="96" s="1"/>
  <c r="R160" i="87"/>
  <c r="J870" i="96"/>
  <c r="J673" i="96"/>
  <c r="J690" i="96"/>
  <c r="T139" i="87"/>
  <c r="L682" i="96"/>
  <c r="L666" i="96" s="1"/>
  <c r="I813" i="96"/>
  <c r="T138" i="87"/>
  <c r="L681" i="96"/>
  <c r="P152" i="87"/>
  <c r="R159" i="87"/>
  <c r="J869" i="96"/>
  <c r="L919" i="96"/>
  <c r="T166" i="87"/>
  <c r="T97" i="87" l="1"/>
  <c r="T101" i="87"/>
  <c r="K452" i="96"/>
  <c r="U97" i="87"/>
  <c r="R106" i="87"/>
  <c r="Q36" i="87"/>
  <c r="I162" i="96"/>
  <c r="I158" i="96"/>
  <c r="M109" i="68"/>
  <c r="T115" i="87"/>
  <c r="L417" i="96"/>
  <c r="L412" i="96" s="1"/>
  <c r="T110" i="87"/>
  <c r="U98" i="87"/>
  <c r="U120" i="87"/>
  <c r="M465" i="96"/>
  <c r="M456" i="96" s="1"/>
  <c r="T113" i="87"/>
  <c r="L415" i="96"/>
  <c r="U104" i="87"/>
  <c r="T95" i="87"/>
  <c r="M466" i="96"/>
  <c r="M457" i="96" s="1"/>
  <c r="U121" i="87"/>
  <c r="U96" i="87"/>
  <c r="T121" i="87"/>
  <c r="L466" i="96"/>
  <c r="L457" i="96" s="1"/>
  <c r="M112" i="68"/>
  <c r="U115" i="87"/>
  <c r="M417" i="96"/>
  <c r="M412" i="96" s="1"/>
  <c r="M107" i="68"/>
  <c r="U103" i="87"/>
  <c r="T120" i="87"/>
  <c r="L465" i="96"/>
  <c r="L456" i="96" s="1"/>
  <c r="M416" i="96"/>
  <c r="M411" i="96" s="1"/>
  <c r="U114" i="87"/>
  <c r="T104" i="87"/>
  <c r="U102" i="87"/>
  <c r="K467" i="96"/>
  <c r="K458" i="96" s="1"/>
  <c r="K454" i="96"/>
  <c r="K410" i="96"/>
  <c r="K418" i="96"/>
  <c r="T103" i="87"/>
  <c r="T96" i="87"/>
  <c r="T114" i="87"/>
  <c r="L416" i="96"/>
  <c r="L411" i="96" s="1"/>
  <c r="K111" i="68"/>
  <c r="U111" i="87"/>
  <c r="U95" i="87"/>
  <c r="M100" i="68"/>
  <c r="M115" i="68"/>
  <c r="R112" i="87"/>
  <c r="R37" i="87"/>
  <c r="T102" i="87"/>
  <c r="T98" i="87"/>
  <c r="U105" i="87"/>
  <c r="T111" i="87"/>
  <c r="K105" i="68"/>
  <c r="T105" i="87"/>
  <c r="U138" i="87"/>
  <c r="M681" i="96"/>
  <c r="R146" i="87"/>
  <c r="J773" i="96"/>
  <c r="R148" i="87"/>
  <c r="J774" i="96"/>
  <c r="J768" i="96" s="1"/>
  <c r="Q41" i="87"/>
  <c r="K734" i="96"/>
  <c r="K725" i="96" s="1"/>
  <c r="K726" i="96"/>
  <c r="L665" i="96"/>
  <c r="L689" i="96"/>
  <c r="U166" i="87"/>
  <c r="M919" i="96"/>
  <c r="K869" i="96"/>
  <c r="S159" i="87"/>
  <c r="I131" i="70"/>
  <c r="J813" i="96"/>
  <c r="N682" i="96"/>
  <c r="N666" i="96" s="1"/>
  <c r="V139" i="87"/>
  <c r="H814" i="96"/>
  <c r="L735" i="96"/>
  <c r="Q152" i="87"/>
  <c r="S153" i="87"/>
  <c r="K815" i="96"/>
  <c r="K127" i="70"/>
  <c r="K130" i="70" s="1"/>
  <c r="P158" i="87"/>
  <c r="P43" i="87"/>
  <c r="S151" i="87"/>
  <c r="S155" i="87"/>
  <c r="K817" i="96"/>
  <c r="I775" i="96"/>
  <c r="I767" i="96"/>
  <c r="J131" i="70"/>
  <c r="K870" i="96"/>
  <c r="S160" i="87"/>
  <c r="H776" i="96"/>
  <c r="H769" i="96"/>
  <c r="M918" i="96"/>
  <c r="U165" i="87"/>
  <c r="K690" i="96"/>
  <c r="K673" i="96"/>
  <c r="N110" i="68" l="1"/>
  <c r="O104" i="68"/>
  <c r="N97" i="68"/>
  <c r="N113" i="68"/>
  <c r="M415" i="96"/>
  <c r="U113" i="87"/>
  <c r="N95" i="68"/>
  <c r="N102" i="68"/>
  <c r="O101" i="68"/>
  <c r="T116" i="87"/>
  <c r="L461" i="96"/>
  <c r="R36" i="87"/>
  <c r="J158" i="96"/>
  <c r="J162" i="96"/>
  <c r="V111" i="87"/>
  <c r="N416" i="96"/>
  <c r="N411" i="96" s="1"/>
  <c r="V114" i="87"/>
  <c r="V103" i="87"/>
  <c r="N101" i="68"/>
  <c r="U35" i="87"/>
  <c r="O110" i="68"/>
  <c r="U116" i="87"/>
  <c r="M461" i="96"/>
  <c r="O113" i="68"/>
  <c r="T108" i="87"/>
  <c r="V98" i="87"/>
  <c r="N94" i="68"/>
  <c r="N112" i="68"/>
  <c r="L105" i="68"/>
  <c r="V105" i="87"/>
  <c r="U108" i="87"/>
  <c r="S106" i="87"/>
  <c r="N100" i="68"/>
  <c r="N417" i="96"/>
  <c r="N412" i="96" s="1"/>
  <c r="V115" i="87"/>
  <c r="O94" i="68"/>
  <c r="N466" i="96"/>
  <c r="N457" i="96" s="1"/>
  <c r="V121" i="87"/>
  <c r="N465" i="96"/>
  <c r="N456" i="96" s="1"/>
  <c r="V120" i="87"/>
  <c r="S112" i="87"/>
  <c r="S37" i="87"/>
  <c r="T118" i="87"/>
  <c r="L463" i="96"/>
  <c r="L454" i="96" s="1"/>
  <c r="O103" i="68"/>
  <c r="L410" i="96"/>
  <c r="L418" i="96"/>
  <c r="O97" i="68"/>
  <c r="N109" i="68"/>
  <c r="V95" i="87"/>
  <c r="N96" i="68"/>
  <c r="U110" i="87"/>
  <c r="N104" i="68"/>
  <c r="L111" i="68"/>
  <c r="V96" i="87"/>
  <c r="U101" i="87"/>
  <c r="N103" i="68"/>
  <c r="O102" i="68"/>
  <c r="U118" i="87"/>
  <c r="M463" i="96"/>
  <c r="M454" i="96" s="1"/>
  <c r="V104" i="87"/>
  <c r="O114" i="68"/>
  <c r="O95" i="68"/>
  <c r="V97" i="87"/>
  <c r="T35" i="87"/>
  <c r="N114" i="68"/>
  <c r="O96" i="68"/>
  <c r="V102" i="87"/>
  <c r="N681" i="96"/>
  <c r="V138" i="87"/>
  <c r="K813" i="96"/>
  <c r="H868" i="96"/>
  <c r="H874" i="96"/>
  <c r="K131" i="70"/>
  <c r="I814" i="96"/>
  <c r="J169" i="70"/>
  <c r="T155" i="87"/>
  <c r="L817" i="96"/>
  <c r="L673" i="96"/>
  <c r="L690" i="96"/>
  <c r="L869" i="96"/>
  <c r="T159" i="87"/>
  <c r="T153" i="87"/>
  <c r="L815" i="96"/>
  <c r="J253" i="70"/>
  <c r="U154" i="87"/>
  <c r="S164" i="87"/>
  <c r="V165" i="87"/>
  <c r="N918" i="96"/>
  <c r="K773" i="96"/>
  <c r="S146" i="87"/>
  <c r="L813" i="96"/>
  <c r="T151" i="87"/>
  <c r="H170" i="70"/>
  <c r="R41" i="87"/>
  <c r="U40" i="87"/>
  <c r="S148" i="87"/>
  <c r="K774" i="96"/>
  <c r="K768" i="96" s="1"/>
  <c r="L734" i="96"/>
  <c r="L725" i="96" s="1"/>
  <c r="L726" i="96"/>
  <c r="L127" i="70"/>
  <c r="L130" i="70" s="1"/>
  <c r="Q158" i="87"/>
  <c r="M735" i="96"/>
  <c r="I776" i="96"/>
  <c r="I769" i="96"/>
  <c r="J775" i="96"/>
  <c r="J767" i="96"/>
  <c r="V166" i="87"/>
  <c r="N919" i="96"/>
  <c r="T154" i="87"/>
  <c r="R152" i="87"/>
  <c r="M665" i="96"/>
  <c r="M689" i="96"/>
  <c r="P95" i="68" l="1"/>
  <c r="O109" i="68"/>
  <c r="V35" i="87"/>
  <c r="N107" i="68"/>
  <c r="V118" i="87"/>
  <c r="N463" i="96"/>
  <c r="N454" i="96" s="1"/>
  <c r="M452" i="96"/>
  <c r="M467" i="96"/>
  <c r="M458" i="96" s="1"/>
  <c r="V113" i="87"/>
  <c r="N415" i="96"/>
  <c r="P94" i="68"/>
  <c r="M111" i="68"/>
  <c r="O107" i="68"/>
  <c r="T106" i="87"/>
  <c r="P101" i="68"/>
  <c r="P96" i="68"/>
  <c r="S36" i="87"/>
  <c r="K162" i="96"/>
  <c r="K158" i="96"/>
  <c r="P113" i="68"/>
  <c r="N115" i="68"/>
  <c r="O112" i="68"/>
  <c r="M410" i="96"/>
  <c r="M418" i="96"/>
  <c r="P103" i="68"/>
  <c r="O100" i="68"/>
  <c r="N461" i="96"/>
  <c r="V116" i="87"/>
  <c r="V108" i="87"/>
  <c r="P114" i="68"/>
  <c r="M105" i="68"/>
  <c r="P104" i="68"/>
  <c r="P97" i="68"/>
  <c r="O115" i="68"/>
  <c r="P102" i="68"/>
  <c r="V101" i="87"/>
  <c r="P110" i="68"/>
  <c r="V110" i="87"/>
  <c r="L452" i="96"/>
  <c r="L467" i="96"/>
  <c r="L458" i="96" s="1"/>
  <c r="L131" i="70"/>
  <c r="M673" i="96"/>
  <c r="M690" i="96"/>
  <c r="J171" i="70"/>
  <c r="J776" i="96"/>
  <c r="J769" i="96"/>
  <c r="K253" i="70"/>
  <c r="I171" i="70"/>
  <c r="K775" i="96"/>
  <c r="K767" i="96"/>
  <c r="S152" i="87"/>
  <c r="T160" i="87"/>
  <c r="L870" i="96"/>
  <c r="U153" i="87"/>
  <c r="M815" i="96"/>
  <c r="N816" i="96"/>
  <c r="V154" i="87"/>
  <c r="J814" i="96"/>
  <c r="L816" i="96"/>
  <c r="I868" i="96"/>
  <c r="U159" i="87"/>
  <c r="M869" i="96"/>
  <c r="U160" i="87"/>
  <c r="M870" i="96"/>
  <c r="S41" i="87"/>
  <c r="M813" i="96"/>
  <c r="U151" i="87"/>
  <c r="K920" i="96"/>
  <c r="K917" i="96"/>
  <c r="L774" i="96"/>
  <c r="L768" i="96" s="1"/>
  <c r="T148" i="87"/>
  <c r="I170" i="70"/>
  <c r="V40" i="87"/>
  <c r="I169" i="70"/>
  <c r="M127" i="70"/>
  <c r="M130" i="70" s="1"/>
  <c r="M734" i="96"/>
  <c r="M725" i="96" s="1"/>
  <c r="M726" i="96"/>
  <c r="L253" i="70"/>
  <c r="T164" i="87"/>
  <c r="U155" i="87"/>
  <c r="M817" i="96"/>
  <c r="H169" i="70"/>
  <c r="M816" i="96"/>
  <c r="N735" i="96"/>
  <c r="T146" i="87"/>
  <c r="L773" i="96"/>
  <c r="H213" i="70"/>
  <c r="H171" i="70"/>
  <c r="R158" i="87"/>
  <c r="N665" i="96"/>
  <c r="N689" i="96"/>
  <c r="P100" i="68" l="1"/>
  <c r="N105" i="68"/>
  <c r="N410" i="96"/>
  <c r="N418" i="96"/>
  <c r="H172" i="70"/>
  <c r="H173" i="70" s="1"/>
  <c r="P109" i="68"/>
  <c r="T112" i="87"/>
  <c r="T37" i="87"/>
  <c r="P115" i="68"/>
  <c r="U112" i="87"/>
  <c r="U37" i="87"/>
  <c r="P107" i="68"/>
  <c r="N452" i="96"/>
  <c r="N467" i="96"/>
  <c r="N458" i="96" s="1"/>
  <c r="U106" i="87"/>
  <c r="T36" i="87"/>
  <c r="L162" i="96"/>
  <c r="P112" i="68"/>
  <c r="T41" i="87"/>
  <c r="N734" i="96"/>
  <c r="N725" i="96" s="1"/>
  <c r="N726" i="96"/>
  <c r="V160" i="87"/>
  <c r="N870" i="96"/>
  <c r="N815" i="96"/>
  <c r="V153" i="87"/>
  <c r="U164" i="87"/>
  <c r="V151" i="87"/>
  <c r="I172" i="70"/>
  <c r="H43" i="70"/>
  <c r="J37" i="71"/>
  <c r="J34" i="71" s="1"/>
  <c r="L775" i="96"/>
  <c r="L767" i="96"/>
  <c r="M131" i="70"/>
  <c r="T152" i="87"/>
  <c r="K814" i="96"/>
  <c r="S158" i="87"/>
  <c r="N673" i="96"/>
  <c r="N690" i="96"/>
  <c r="J868" i="96"/>
  <c r="M773" i="96"/>
  <c r="U146" i="87"/>
  <c r="N817" i="96"/>
  <c r="V155" i="87"/>
  <c r="N127" i="70"/>
  <c r="N130" i="70" s="1"/>
  <c r="L917" i="96"/>
  <c r="L920" i="96"/>
  <c r="V159" i="87"/>
  <c r="N869" i="96"/>
  <c r="J170" i="70"/>
  <c r="J172" i="70" s="1"/>
  <c r="K776" i="96"/>
  <c r="K769" i="96"/>
  <c r="U148" i="87"/>
  <c r="M774" i="96"/>
  <c r="M768" i="96" s="1"/>
  <c r="L158" i="96" l="1"/>
  <c r="O111" i="68"/>
  <c r="O105" i="68"/>
  <c r="V106" i="87"/>
  <c r="U36" i="87"/>
  <c r="M162" i="96"/>
  <c r="M158" i="96"/>
  <c r="N111" i="68"/>
  <c r="V112" i="87"/>
  <c r="V37" i="87"/>
  <c r="U152" i="87"/>
  <c r="U41" i="87"/>
  <c r="L814" i="96"/>
  <c r="V164" i="87"/>
  <c r="K171" i="70"/>
  <c r="I173" i="70"/>
  <c r="N813" i="96"/>
  <c r="M917" i="96"/>
  <c r="N773" i="96"/>
  <c r="V146" i="87"/>
  <c r="N131" i="70"/>
  <c r="M767" i="96"/>
  <c r="M775" i="96"/>
  <c r="T158" i="87"/>
  <c r="K170" i="70"/>
  <c r="M253" i="70"/>
  <c r="J173" i="70"/>
  <c r="K868" i="96"/>
  <c r="L776" i="96"/>
  <c r="L769" i="96"/>
  <c r="L169" i="70"/>
  <c r="M169" i="70"/>
  <c r="N774" i="96"/>
  <c r="N768" i="96" s="1"/>
  <c r="V148" i="87"/>
  <c r="V36" i="87" l="1"/>
  <c r="N162" i="96"/>
  <c r="N158" i="96"/>
  <c r="P111" i="68"/>
  <c r="P105" i="68"/>
  <c r="M776" i="96"/>
  <c r="M769" i="96"/>
  <c r="M920" i="96"/>
  <c r="N917" i="96"/>
  <c r="N920" i="96"/>
  <c r="N169" i="70"/>
  <c r="L170" i="70"/>
  <c r="K169" i="70"/>
  <c r="K172" i="70" s="1"/>
  <c r="L868" i="96"/>
  <c r="V41" i="87"/>
  <c r="V152" i="87"/>
  <c r="M814" i="96"/>
  <c r="U158" i="87"/>
  <c r="N253" i="70"/>
  <c r="L171" i="70"/>
  <c r="M171" i="70"/>
  <c r="N775" i="96"/>
  <c r="N767" i="96"/>
  <c r="N776" i="96" l="1"/>
  <c r="N769" i="96"/>
  <c r="V158" i="87"/>
  <c r="N171" i="70"/>
  <c r="N814" i="96"/>
  <c r="K173" i="70"/>
  <c r="M868" i="96"/>
  <c r="L172" i="70"/>
  <c r="M170" i="70"/>
  <c r="M172" i="70" s="1"/>
  <c r="M173" i="70" l="1"/>
  <c r="N170" i="70"/>
  <c r="N172" i="70" s="1"/>
  <c r="N868" i="96"/>
  <c r="L173" i="70"/>
  <c r="N173" i="70" l="1"/>
  <c r="H254" i="70" l="1"/>
  <c r="H255" i="70" s="1"/>
  <c r="P156" i="87" l="1"/>
  <c r="H256" i="70"/>
  <c r="P42" i="87" l="1"/>
  <c r="H159" i="96"/>
  <c r="I254" i="70"/>
  <c r="H818" i="96"/>
  <c r="H820" i="96" l="1"/>
  <c r="Q156" i="87"/>
  <c r="H151" i="96"/>
  <c r="P44" i="87"/>
  <c r="I253" i="70"/>
  <c r="I255" i="70" s="1"/>
  <c r="J254" i="70"/>
  <c r="J255" i="70" s="1"/>
  <c r="I256" i="70" l="1"/>
  <c r="I818" i="96"/>
  <c r="Q42" i="87"/>
  <c r="R156" i="87"/>
  <c r="Q161" i="87"/>
  <c r="H211" i="70"/>
  <c r="R162" i="87"/>
  <c r="J872" i="96"/>
  <c r="J256" i="70"/>
  <c r="H212" i="70"/>
  <c r="K254" i="70" l="1"/>
  <c r="K255" i="70" s="1"/>
  <c r="K256" i="70" s="1"/>
  <c r="H214" i="70"/>
  <c r="H42" i="70"/>
  <c r="J36" i="71"/>
  <c r="J33" i="71" s="1"/>
  <c r="J35" i="71"/>
  <c r="H41" i="70"/>
  <c r="Q43" i="87"/>
  <c r="I871" i="96"/>
  <c r="I874" i="96"/>
  <c r="S156" i="87"/>
  <c r="I820" i="96"/>
  <c r="I213" i="70"/>
  <c r="J818" i="96"/>
  <c r="R161" i="87"/>
  <c r="R43" i="87"/>
  <c r="R42" i="87"/>
  <c r="S162" i="87"/>
  <c r="K872" i="96"/>
  <c r="I159" i="96"/>
  <c r="H215" i="70" l="1"/>
  <c r="I43" i="70"/>
  <c r="K37" i="71"/>
  <c r="K34" i="71" s="1"/>
  <c r="J211" i="70"/>
  <c r="J159" i="96"/>
  <c r="I212" i="70"/>
  <c r="S161" i="87"/>
  <c r="S43" i="87"/>
  <c r="J871" i="96"/>
  <c r="J874" i="96"/>
  <c r="T162" i="87"/>
  <c r="L872" i="96"/>
  <c r="M254" i="70"/>
  <c r="M255" i="70" s="1"/>
  <c r="J213" i="70"/>
  <c r="U162" i="87"/>
  <c r="M872" i="96"/>
  <c r="J820" i="96"/>
  <c r="T156" i="87"/>
  <c r="S42" i="87"/>
  <c r="Q44" i="87"/>
  <c r="I151" i="96"/>
  <c r="H44" i="70"/>
  <c r="L254" i="70"/>
  <c r="L255" i="70" s="1"/>
  <c r="K818" i="96"/>
  <c r="I211" i="70"/>
  <c r="J43" i="71"/>
  <c r="J42" i="71" s="1"/>
  <c r="J32" i="71"/>
  <c r="J39" i="71" s="1"/>
  <c r="K159" i="96" l="1"/>
  <c r="J40" i="71"/>
  <c r="L37" i="71"/>
  <c r="L34" i="71" s="1"/>
  <c r="J43" i="70"/>
  <c r="L35" i="71"/>
  <c r="J41" i="70"/>
  <c r="T161" i="87"/>
  <c r="T43" i="87"/>
  <c r="M256" i="70"/>
  <c r="K211" i="70"/>
  <c r="K35" i="71"/>
  <c r="I41" i="70"/>
  <c r="K213" i="70"/>
  <c r="T42" i="87"/>
  <c r="K820" i="96"/>
  <c r="L256" i="70"/>
  <c r="H45" i="70"/>
  <c r="J151" i="96"/>
  <c r="R44" i="87"/>
  <c r="U156" i="87"/>
  <c r="K871" i="96"/>
  <c r="K874" i="96"/>
  <c r="I214" i="70"/>
  <c r="L211" i="70"/>
  <c r="L818" i="96"/>
  <c r="N254" i="70"/>
  <c r="N255" i="70" s="1"/>
  <c r="J212" i="70"/>
  <c r="J214" i="70" s="1"/>
  <c r="K151" i="96" l="1"/>
  <c r="L159" i="96"/>
  <c r="S44" i="87"/>
  <c r="L151" i="96"/>
  <c r="M35" i="71"/>
  <c r="K41" i="70"/>
  <c r="L820" i="96"/>
  <c r="K212" i="70"/>
  <c r="K214" i="70" s="1"/>
  <c r="U42" i="87"/>
  <c r="J215" i="70"/>
  <c r="K36" i="71"/>
  <c r="K33" i="71" s="1"/>
  <c r="I42" i="70"/>
  <c r="I44" i="70" s="1"/>
  <c r="M818" i="96"/>
  <c r="V156" i="87"/>
  <c r="L871" i="96"/>
  <c r="L36" i="71"/>
  <c r="L33" i="71" s="1"/>
  <c r="J42" i="70"/>
  <c r="J44" i="70" s="1"/>
  <c r="I215" i="70"/>
  <c r="K32" i="71"/>
  <c r="L32" i="71"/>
  <c r="L39" i="71" s="1"/>
  <c r="V162" i="87"/>
  <c r="N872" i="96"/>
  <c r="N256" i="70"/>
  <c r="U161" i="87"/>
  <c r="U43" i="87"/>
  <c r="T44" i="87" l="1"/>
  <c r="K43" i="71"/>
  <c r="K42" i="71" s="1"/>
  <c r="L43" i="71"/>
  <c r="L42" i="71" s="1"/>
  <c r="K39" i="71"/>
  <c r="K40" i="71"/>
  <c r="M871" i="96"/>
  <c r="M213" i="70"/>
  <c r="M32" i="71"/>
  <c r="M39" i="71" s="1"/>
  <c r="L40" i="71"/>
  <c r="I45" i="70"/>
  <c r="V42" i="87"/>
  <c r="M820" i="96"/>
  <c r="L213" i="70"/>
  <c r="V161" i="87"/>
  <c r="M159" i="96"/>
  <c r="K215" i="70"/>
  <c r="L212" i="70"/>
  <c r="J45" i="70"/>
  <c r="L928" i="96"/>
  <c r="L874" i="96"/>
  <c r="K43" i="70"/>
  <c r="M37" i="71"/>
  <c r="M34" i="71" s="1"/>
  <c r="N818" i="96"/>
  <c r="M211" i="70"/>
  <c r="L214" i="70" l="1"/>
  <c r="L42" i="70"/>
  <c r="N36" i="71"/>
  <c r="N33" i="71" s="1"/>
  <c r="M212" i="70"/>
  <c r="M214" i="70" s="1"/>
  <c r="M36" i="71"/>
  <c r="K42" i="70"/>
  <c r="K44" i="70" s="1"/>
  <c r="N211" i="70"/>
  <c r="M928" i="96"/>
  <c r="M874" i="96"/>
  <c r="U44" i="87"/>
  <c r="O148" i="96"/>
  <c r="M151" i="96"/>
  <c r="N820" i="96"/>
  <c r="L215" i="70"/>
  <c r="V43" i="87"/>
  <c r="L43" i="70"/>
  <c r="N37" i="71"/>
  <c r="N34" i="71" s="1"/>
  <c r="O37" i="71"/>
  <c r="O34" i="71" s="1"/>
  <c r="M43" i="70"/>
  <c r="O35" i="71"/>
  <c r="M41" i="70"/>
  <c r="N871" i="96"/>
  <c r="N159" i="96"/>
  <c r="N213" i="70"/>
  <c r="O36" i="71" l="1"/>
  <c r="O33" i="71" s="1"/>
  <c r="M42" i="70"/>
  <c r="M44" i="70" s="1"/>
  <c r="K45" i="70"/>
  <c r="M33" i="71"/>
  <c r="M40" i="71" s="1"/>
  <c r="M43" i="71"/>
  <c r="M42" i="71" s="1"/>
  <c r="M215" i="70"/>
  <c r="N43" i="70"/>
  <c r="P37" i="71"/>
  <c r="O32" i="71"/>
  <c r="O39" i="71" s="1"/>
  <c r="N151" i="96"/>
  <c r="V44" i="87"/>
  <c r="P35" i="71"/>
  <c r="P32" i="71" s="1"/>
  <c r="P39" i="71" s="1"/>
  <c r="N41" i="70"/>
  <c r="N928" i="96"/>
  <c r="N874" i="96"/>
  <c r="N212" i="70"/>
  <c r="N214" i="70" s="1"/>
  <c r="N35" i="71"/>
  <c r="L41" i="70"/>
  <c r="L44" i="70" s="1"/>
  <c r="O43" i="71" l="1"/>
  <c r="O42" i="71" s="1"/>
  <c r="Q37" i="71"/>
  <c r="Q34" i="71" s="1"/>
  <c r="N42" i="70"/>
  <c r="O42" i="70" s="1"/>
  <c r="P36" i="71"/>
  <c r="P33" i="71" s="1"/>
  <c r="P40" i="71" s="1"/>
  <c r="P34" i="71"/>
  <c r="O41" i="70"/>
  <c r="L45" i="70"/>
  <c r="N215" i="70"/>
  <c r="M45" i="70"/>
  <c r="N43" i="71"/>
  <c r="N42" i="71" s="1"/>
  <c r="N32" i="71"/>
  <c r="Q35" i="71"/>
  <c r="O40" i="71"/>
  <c r="O43" i="70"/>
  <c r="N44" i="70" l="1"/>
  <c r="R35" i="71"/>
  <c r="N39" i="71"/>
  <c r="N40" i="71"/>
  <c r="P43" i="71"/>
  <c r="P42" i="71" s="1"/>
  <c r="Q32" i="71"/>
  <c r="Q39" i="71" s="1"/>
  <c r="Q36" i="71"/>
  <c r="Q33" i="71" s="1"/>
  <c r="N45" i="70" l="1"/>
  <c r="O44" i="70"/>
  <c r="Q40" i="71"/>
  <c r="Q43" i="71"/>
  <c r="Q42" i="71" s="1"/>
  <c r="S37" i="71"/>
  <c r="S34" i="71" s="1"/>
  <c r="R37" i="71"/>
  <c r="R34" i="71" s="1"/>
  <c r="R32" i="71"/>
  <c r="R39" i="71" s="1"/>
  <c r="R36" i="71" l="1"/>
  <c r="S35" i="71"/>
  <c r="S36" i="71" l="1"/>
  <c r="S33" i="71" s="1"/>
  <c r="S32" i="71"/>
  <c r="S39" i="71" s="1"/>
  <c r="R33" i="71"/>
  <c r="R40" i="71" s="1"/>
  <c r="R43" i="71"/>
  <c r="R42" i="71" s="1"/>
  <c r="S43" i="71" l="1"/>
  <c r="S42" i="71" s="1"/>
  <c r="S40"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J54" authorId="0" shapeId="0" xr:uid="{00000000-0006-0000-0200-000001000000}">
      <text>
        <r>
          <rPr>
            <sz val="12"/>
            <color indexed="81"/>
            <rFont val="Tahoma"/>
            <family val="2"/>
          </rPr>
          <t>Four 10G optical channels are transmitted on four separate fibers, so can be broken out easily. 12-fiber riboon with 4 upsrteam and 4 downstream fibers used, requires MPO connector.  This product was used in breakout mode extensively for the first several years of its life.</t>
        </r>
      </text>
    </comment>
    <comment ref="J57" authorId="0" shapeId="0" xr:uid="{00000000-0006-0000-0200-000002000000}">
      <text>
        <r>
          <rPr>
            <sz val="12"/>
            <color indexed="81"/>
            <rFont val="Tahoma"/>
            <family val="2"/>
          </rPr>
          <t>Four 10G optical channels are transmitted on four separate fibers, so can be broken out easily. 12-fiber riboon with 4 upsrteam and 4 downstream fibers used, requires MPO connector.</t>
        </r>
      </text>
    </comment>
    <comment ref="J68" authorId="0" shapeId="0" xr:uid="{00000000-0006-0000-0200-000003000000}">
      <text>
        <r>
          <rPr>
            <b/>
            <sz val="12"/>
            <color indexed="81"/>
            <rFont val="Tahoma"/>
            <family val="2"/>
          </rPr>
          <t>John Lively:</t>
        </r>
        <r>
          <rPr>
            <sz val="12"/>
            <color indexed="81"/>
            <rFont val="Tahoma"/>
            <family val="2"/>
          </rPr>
          <t xml:space="preserve">
Operates on MPO interface/cable with four parallel multimode optical fiber pairs (MTP12), each optical path running at 25.78 Gbps and using 850nm lasers. 10x10G optical lanes are possible but unsure if any are presented sold in this config. </t>
        </r>
      </text>
    </comment>
    <comment ref="J69" authorId="0" shapeId="0" xr:uid="{00000000-0006-0000-0200-000004000000}">
      <text>
        <r>
          <rPr>
            <b/>
            <sz val="12"/>
            <color indexed="81"/>
            <rFont val="Tahoma"/>
            <family val="2"/>
          </rPr>
          <t>John Lively:</t>
        </r>
        <r>
          <rPr>
            <sz val="12"/>
            <color indexed="81"/>
            <rFont val="Tahoma"/>
            <family val="2"/>
          </rPr>
          <t xml:space="preserve">
Finisar product uses 10 parallel multimode fibers to transmit, and 10 to receive, requiring a MTO24 connector. Each fiber carries 10G signals. </t>
        </r>
      </text>
    </comment>
    <comment ref="J70" authorId="0" shapeId="0" xr:uid="{00000000-0006-0000-0200-000005000000}">
      <text>
        <r>
          <rPr>
            <sz val="12"/>
            <color indexed="81"/>
            <rFont val="Tahoma"/>
            <family val="2"/>
          </rPr>
          <t>PSM4 version: Four 25G optical channels are transmitted on four separate fibers, so can be broken out easily. Uses a 12-fiber ribbon with four fibers upstream and four downstream used. MPO connector required.
SWDM4 version: dual LC connectors, can't be broken out</t>
        </r>
      </text>
    </comment>
    <comment ref="B71" authorId="0" shapeId="0" xr:uid="{00000000-0006-0000-0200-000006000000}">
      <text>
        <r>
          <rPr>
            <sz val="12"/>
            <color indexed="81"/>
            <rFont val="Tahoma"/>
            <family val="2"/>
          </rPr>
          <t xml:space="preserve">This is a standard but no commercial traction. </t>
        </r>
      </text>
    </comment>
    <comment ref="J71" authorId="0" shapeId="0" xr:uid="{00000000-0006-0000-0200-000007000000}">
      <text>
        <r>
          <rPr>
            <sz val="12"/>
            <color indexed="81"/>
            <rFont val="Tahoma"/>
            <family val="2"/>
          </rPr>
          <t xml:space="preserve">This is 2x50G optics with dual LC interface, using two fiber pairs. </t>
        </r>
      </text>
    </comment>
    <comment ref="B72" authorId="0" shapeId="0" xr:uid="{00000000-0006-0000-0200-000008000000}">
      <text>
        <r>
          <rPr>
            <b/>
            <sz val="12"/>
            <color indexed="81"/>
            <rFont val="Tahoma"/>
            <family val="2"/>
          </rPr>
          <t>John Lively:</t>
        </r>
        <r>
          <rPr>
            <sz val="12"/>
            <color indexed="81"/>
            <rFont val="Tahoma"/>
            <family val="2"/>
          </rPr>
          <t xml:space="preserve">
Also known as SWDM4</t>
        </r>
      </text>
    </comment>
    <comment ref="J72" authorId="0" shapeId="0" xr:uid="{00000000-0006-0000-0200-000009000000}">
      <text>
        <r>
          <rPr>
            <b/>
            <sz val="12"/>
            <color indexed="81"/>
            <rFont val="Tahoma"/>
            <family val="2"/>
          </rPr>
          <t>John Lively:</t>
        </r>
        <r>
          <rPr>
            <sz val="12"/>
            <color indexed="81"/>
            <rFont val="Tahoma"/>
            <family val="2"/>
          </rPr>
          <t xml:space="preserve">
Four 25G optical signals are multiplexed inside the transceiver and transmitted in WDM form on a single multimode fiber. Second fiber is receive fiber. Dual LC connector. Cannot be broken out. </t>
        </r>
      </text>
    </comment>
    <comment ref="J73" authorId="0" shapeId="0" xr:uid="{00000000-0006-0000-0200-00000A000000}">
      <text>
        <r>
          <rPr>
            <b/>
            <sz val="12"/>
            <color indexed="81"/>
            <rFont val="Tahoma"/>
            <family val="2"/>
          </rPr>
          <t>John Lively:</t>
        </r>
        <r>
          <rPr>
            <sz val="12"/>
            <color indexed="81"/>
            <rFont val="Tahoma"/>
            <family val="2"/>
          </rPr>
          <t xml:space="preserve">
Uses four multi-mode fibre pairs (12-fibre ribbon interface, MPO connector). The maximum reach is 300m (OM4) or 200m (OM3). Four 850nm VCSELs generate four optical 25Gbps output signals, and four PIN receivers detect 4x 25Gbps optical signals.</t>
        </r>
      </text>
    </comment>
    <comment ref="J74" authorId="0" shapeId="0" xr:uid="{00000000-0006-0000-0200-00000B000000}">
      <text>
        <r>
          <rPr>
            <sz val="12"/>
            <color indexed="81"/>
            <rFont val="Tahoma"/>
            <family val="2"/>
          </rPr>
          <t>Four 25G optical channels are transmitted on four separate fibers, so can be broken out easily. Uses a 12-fiber ribbon with four fibers upstream and four downstream used. MPO connector required.  LinkedIn known to be using in 2x(2x25G) breakout mode.</t>
        </r>
      </text>
    </comment>
    <comment ref="J75" authorId="0" shapeId="0" xr:uid="{00000000-0006-0000-0200-00000C000000}">
      <text>
        <r>
          <rPr>
            <b/>
            <sz val="12"/>
            <color indexed="81"/>
            <rFont val="Tahoma"/>
            <family val="2"/>
          </rPr>
          <t>John Lively:</t>
        </r>
        <r>
          <rPr>
            <sz val="12"/>
            <color indexed="81"/>
            <rFont val="Tahoma"/>
            <family val="2"/>
          </rPr>
          <t xml:space="preserve">
4x25G electrical signals multiplexed onto single wavelength 100G optical signal via PAM4 modulation. One transmit and one receive fiber, dual LC connector. Cannot be broken out. </t>
        </r>
      </text>
    </comment>
    <comment ref="J76" authorId="0" shapeId="0" xr:uid="{00000000-0006-0000-0200-00000D000000}">
      <text>
        <r>
          <rPr>
            <sz val="12"/>
            <color indexed="81"/>
            <rFont val="Tahoma"/>
            <family val="2"/>
          </rPr>
          <t xml:space="preserve">Four optical channels are muxed/demuxed onto single fiber, so can't be broken out. </t>
        </r>
      </text>
    </comment>
    <comment ref="J77" authorId="0" shapeId="0" xr:uid="{00000000-0006-0000-0200-00000E000000}">
      <text>
        <r>
          <rPr>
            <sz val="12"/>
            <color indexed="81"/>
            <rFont val="Tahoma"/>
            <family val="2"/>
          </rPr>
          <t xml:space="preserve">Four optical channels are muxed/demuxed onto single fiber, so can't be broken out. </t>
        </r>
      </text>
    </comment>
    <comment ref="J78" authorId="0" shapeId="0" xr:uid="{00000000-0006-0000-0200-00000F000000}">
      <text>
        <r>
          <rPr>
            <b/>
            <sz val="12"/>
            <color indexed="81"/>
            <rFont val="Tahoma"/>
            <family val="2"/>
          </rPr>
          <t>John Lively:</t>
        </r>
        <r>
          <rPr>
            <sz val="12"/>
            <color indexed="81"/>
            <rFont val="Tahoma"/>
            <family val="2"/>
          </rPr>
          <t xml:space="preserve">
4x25G electrical signals multiplexed onto single wavelength 100G optical signal via PAM4 modulation. One transmit and one receive fiber, dual LC connector. Cannot be broken out. </t>
        </r>
      </text>
    </comment>
    <comment ref="J79" authorId="0" shapeId="0" xr:uid="{00000000-0006-0000-0200-000010000000}">
      <text>
        <r>
          <rPr>
            <b/>
            <sz val="12"/>
            <color indexed="81"/>
            <rFont val="Tahoma"/>
            <family val="2"/>
          </rPr>
          <t>John Lively:</t>
        </r>
        <r>
          <rPr>
            <sz val="12"/>
            <color indexed="81"/>
            <rFont val="Tahoma"/>
            <family val="2"/>
          </rPr>
          <t xml:space="preserve">
Operates on a pair of fibers, uses dual SC or LC interfaces, no breakout possible. </t>
        </r>
      </text>
    </comment>
    <comment ref="J80" authorId="0" shapeId="0" xr:uid="{00000000-0006-0000-0200-000011000000}">
      <text>
        <r>
          <rPr>
            <sz val="12"/>
            <color indexed="81"/>
            <rFont val="Tahoma"/>
            <family val="2"/>
          </rPr>
          <t xml:space="preserve">Four optical channels are muxed/demuxed onto single fiber, so can't be broken out. </t>
        </r>
      </text>
    </comment>
    <comment ref="J81" authorId="0" shapeId="0" xr:uid="{00000000-0006-0000-0200-000012000000}">
      <text>
        <r>
          <rPr>
            <b/>
            <sz val="12"/>
            <color indexed="81"/>
            <rFont val="Tahoma"/>
            <family val="2"/>
          </rPr>
          <t>John Lively:</t>
        </r>
        <r>
          <rPr>
            <sz val="12"/>
            <color indexed="81"/>
            <rFont val="Tahoma"/>
            <family val="2"/>
          </rPr>
          <t xml:space="preserve">
Operates on a pair of fibers. Four optical channels are muxed/demuxed onto single fiber, and another four in the reverse path on the second fiber. Uses dual SC or LC interfaces, no breakout possible. </t>
        </r>
      </text>
    </comment>
    <comment ref="B82" authorId="0" shapeId="0" xr:uid="{00000000-0006-0000-0200-000013000000}">
      <text>
        <r>
          <rPr>
            <b/>
            <sz val="9"/>
            <color indexed="81"/>
            <rFont val="Tahoma"/>
            <family val="2"/>
          </rPr>
          <t xml:space="preserve">These are similar to CWDM4 but with FEC added for longer reach. </t>
        </r>
      </text>
    </comment>
    <comment ref="J82" authorId="0" shapeId="0" xr:uid="{00000000-0006-0000-0200-000014000000}">
      <text>
        <r>
          <rPr>
            <sz val="12"/>
            <color indexed="81"/>
            <rFont val="Tahoma"/>
            <family val="2"/>
          </rPr>
          <t xml:space="preserve">Four optical channels are muxed/demuxed onto single fiber, so can't be broken out. </t>
        </r>
      </text>
    </comment>
    <comment ref="B83" authorId="0" shapeId="0" xr:uid="{00000000-0006-0000-0200-000015000000}">
      <text>
        <r>
          <rPr>
            <b/>
            <sz val="9"/>
            <color indexed="81"/>
            <rFont val="Tahoma"/>
            <family val="2"/>
          </rPr>
          <t xml:space="preserve">These are similar to LR4 but with  FEC for longer reach. </t>
        </r>
      </text>
    </comment>
    <comment ref="J83" authorId="0" shapeId="0" xr:uid="{00000000-0006-0000-0200-000016000000}">
      <text>
        <r>
          <rPr>
            <sz val="12"/>
            <color indexed="81"/>
            <rFont val="Tahoma"/>
            <family val="2"/>
          </rPr>
          <t xml:space="preserve">Four optical channels are muxed/demuxed onto single fiber, so can't be broken out. </t>
        </r>
      </text>
    </comment>
    <comment ref="B86" authorId="0" shapeId="0" xr:uid="{00000000-0006-0000-0200-000017000000}">
      <text>
        <r>
          <rPr>
            <b/>
            <sz val="12"/>
            <color indexed="81"/>
            <rFont val="Tahoma"/>
            <family val="2"/>
          </rPr>
          <t>John Lively:</t>
        </r>
        <r>
          <rPr>
            <sz val="12"/>
            <color indexed="81"/>
            <rFont val="Tahoma"/>
            <family val="2"/>
          </rPr>
          <t xml:space="preserve">
Available in CPAK, CFP, CFP2, and QSFP28 form factors. An extension of the 4WDM standard, similar optics. Includes an SOA and FEC to extend reach in some cases. </t>
        </r>
      </text>
    </comment>
    <comment ref="J86" authorId="0" shapeId="0" xr:uid="{00000000-0006-0000-0200-000018000000}">
      <text>
        <r>
          <rPr>
            <sz val="12"/>
            <color indexed="81"/>
            <rFont val="Tahoma"/>
            <family val="2"/>
          </rPr>
          <t xml:space="preserve">Four optical channels are muxed/demuxed onto single fiber, so can't be broken out. Uses two LC connectors as optical interface. </t>
        </r>
      </text>
    </comment>
    <comment ref="J87" authorId="0" shapeId="0" xr:uid="{00000000-0006-0000-0200-000019000000}">
      <text>
        <r>
          <rPr>
            <sz val="12"/>
            <color indexed="81"/>
            <rFont val="Tahoma"/>
            <family val="2"/>
          </rPr>
          <t xml:space="preserve">Gigalight's product uses a 12-fiber MTP/MPO connector and multimode fiber, carrying four optical channels over four fibers downstream, and the same upstream, total of 8 fibers used. Each channel is 50G. 
 </t>
        </r>
      </text>
    </comment>
    <comment ref="J89" authorId="0" shapeId="0" xr:uid="{00000000-0006-0000-0200-00001A000000}">
      <text>
        <r>
          <rPr>
            <b/>
            <sz val="9"/>
            <color indexed="81"/>
            <rFont val="Tahoma"/>
            <family val="2"/>
          </rPr>
          <t>The Gigalight 200G QSFP56 FR4 optical module with 2km reach uses four CWDM wavelengths (1271nm, 1291nm, 1311nm, 1331nm) and runs over dual singlemode fibers. 
ColorChip's module uses four uncooled 50 Gbps CWDM DFB lasers with integrated MUX/DeMUX, and takes dual LC connectors.</t>
        </r>
      </text>
    </comment>
    <comment ref="J92" authorId="0" shapeId="0" xr:uid="{00000000-0006-0000-0200-00001B000000}">
      <text>
        <r>
          <rPr>
            <sz val="12"/>
            <color indexed="81"/>
            <rFont val="Tahoma"/>
            <family val="2"/>
          </rPr>
          <t>This module uses 16-fiber ribbon and MPO16 connectors, runs 50G on 8 downstream, 8 upstream PAM5 optical channels.</t>
        </r>
      </text>
    </comment>
    <comment ref="J93" authorId="0" shapeId="0" xr:uid="{00000000-0006-0000-0200-00001C000000}">
      <text>
        <r>
          <rPr>
            <sz val="12"/>
            <color indexed="81"/>
            <rFont val="Tahoma"/>
            <family val="2"/>
          </rPr>
          <t xml:space="preserve">This transceiver uses 12-fiber multimode ribbon design, with each of 8 active fibers transmitting and receiving 50GbE signals. Each fiber pair of the parallel interface can be broken out to connect to 100G-BiDi ports. </t>
        </r>
      </text>
    </comment>
    <comment ref="J94" authorId="0" shapeId="0" xr:uid="{00000000-0006-0000-0200-00001D000000}">
      <text>
        <r>
          <rPr>
            <sz val="12"/>
            <color indexed="81"/>
            <rFont val="Tahoma"/>
            <family val="2"/>
          </rPr>
          <t>Finisar QSFP-DD version uses parallel single mode fiber (SMF) using four 100G PAM4 optical lanes, per the IEEE 802.3bs 400GBASE-DR4 standard. These DR4 modules can be used in break-out applications to four 100G QSFP28 DR transceivers. Amazon is planning to use this in 4x100G breakout mode.</t>
        </r>
      </text>
    </comment>
    <comment ref="J95" authorId="0" shapeId="0" xr:uid="{00000000-0006-0000-0200-00001E000000}">
      <text>
        <r>
          <rPr>
            <sz val="12"/>
            <color indexed="81"/>
            <rFont val="Tahoma"/>
            <family val="2"/>
          </rPr>
          <t>Hisense's product multiplexes 2×CWDM4 optical lanes (8x50G lanes total).  Two pairs of CS connectors are used, allowing breakout to two 100G optical modules. The CS connector is a duplex LC connector in a smaller footprint, allowing two pairs of CS connectors to fit into one QSFP-DD form factor module.
According to Arista, the 400GBASE-2FR4 OSFP transceiver it sells supports "Breakout to 2x200G-FR4 over 2km via two pairs of duplex single mode fiber"</t>
        </r>
      </text>
    </comment>
    <comment ref="B96" authorId="0" shapeId="0" xr:uid="{00000000-0006-0000-0200-00001F000000}">
      <text>
        <r>
          <rPr>
            <sz val="12"/>
            <color indexed="81"/>
            <rFont val="Tahoma"/>
            <family val="2"/>
          </rPr>
          <t>FR8 is a standard, FR4 is an MSA and IEEE is working on a standard (study group mode in March 2019)</t>
        </r>
      </text>
    </comment>
    <comment ref="D96" authorId="0" shapeId="0" xr:uid="{00000000-0006-0000-0200-000020000000}">
      <text>
        <r>
          <rPr>
            <b/>
            <sz val="9"/>
            <color indexed="81"/>
            <rFont val="Tahoma"/>
            <family val="2"/>
          </rPr>
          <t xml:space="preserve">Couple different MSAs here, 4x100 and 8x50
</t>
        </r>
      </text>
    </comment>
    <comment ref="J96" authorId="0" shapeId="0" xr:uid="{00000000-0006-0000-0200-000021000000}">
      <text>
        <r>
          <rPr>
            <sz val="12"/>
            <color indexed="81"/>
            <rFont val="Tahoma"/>
            <family val="2"/>
          </rPr>
          <t xml:space="preserve">Could be 4x100 or 8x50G, muxed and demuxed inside the module
</t>
        </r>
      </text>
    </comment>
    <comment ref="B97" authorId="0" shapeId="0" xr:uid="{00000000-0006-0000-0200-000022000000}">
      <text>
        <r>
          <rPr>
            <sz val="12"/>
            <color rgb="FF000000"/>
            <rFont val="Tahoma"/>
            <family val="2"/>
          </rPr>
          <t xml:space="preserve">LR8 is a standard
</t>
        </r>
        <r>
          <rPr>
            <sz val="12"/>
            <color rgb="FF000000"/>
            <rFont val="Tahoma"/>
            <family val="2"/>
          </rPr>
          <t xml:space="preserve">LR4 is not
</t>
        </r>
        <r>
          <rPr>
            <sz val="12"/>
            <color rgb="FF000000"/>
            <rFont val="Tahoma"/>
            <family val="2"/>
          </rPr>
          <t>Includes both LR-6 and LR-10</t>
        </r>
      </text>
    </comment>
    <comment ref="D97" authorId="0" shapeId="0" xr:uid="{00000000-0006-0000-0200-000023000000}">
      <text>
        <r>
          <rPr>
            <sz val="12"/>
            <color indexed="81"/>
            <rFont val="Tahoma"/>
            <family val="2"/>
          </rPr>
          <t>Will be CFP8 initially, could move to different FF eventually.</t>
        </r>
      </text>
    </comment>
    <comment ref="J97" authorId="0" shapeId="0" xr:uid="{00000000-0006-0000-0200-000024000000}">
      <text>
        <r>
          <rPr>
            <b/>
            <sz val="9"/>
            <color indexed="81"/>
            <rFont val="Tahoma"/>
            <family val="2"/>
          </rPr>
          <t>8x50G PAM4 DFB-based LAN-WDM transmitter; 16x25G electrical interface; Duplex LC receptacles</t>
        </r>
        <r>
          <rPr>
            <sz val="9"/>
            <color indexed="81"/>
            <rFont val="Tahoma"/>
            <family val="2"/>
          </rPr>
          <t xml:space="preserve">
</t>
        </r>
      </text>
    </comment>
    <comment ref="J99" authorId="0" shapeId="0" xr:uid="{00000000-0006-0000-0200-000025000000}">
      <text>
        <r>
          <rPr>
            <sz val="12"/>
            <color indexed="81"/>
            <rFont val="Tahoma"/>
            <family val="2"/>
          </rPr>
          <t>This module uses 16-fiber ribbon and MPO16 connectors, runs 50G on 8 downstream, 8 upstream PAM5 optical channels.</t>
        </r>
      </text>
    </comment>
    <comment ref="D116" authorId="0" shapeId="0" xr:uid="{00000000-0006-0000-0200-000026000000}">
      <text>
        <r>
          <rPr>
            <sz val="9"/>
            <color indexed="81"/>
            <rFont val="Tahoma"/>
            <family val="2"/>
          </rPr>
          <t xml:space="preserve">
PAM4 technology  (Source: https://www.neophotonics.com/pulse-amplitude-modulation/)
PAM4 at 25Gbaud is in the market today with an upgrade to 50Gbaud planned for 2019 with early system demonstrations complete. A bigger concern is that in introducing additional amplitude levels in the optical signal between full brightness and minimum brightness decreases contrast and degrades the signal to noise leading to more transmission errors. As a result, PAM4 modulation is more suitable for short distances mostly inside the data center. With more sophisticated DSP and using an amplified DWDM system architecture, PAM4 at 25Gbaud is also used to transmit 40 channels each at 100G data over 80km. These products and demonstrations clearly establish PAM4 as a good fit, given its combination of high bandwidth and moderate cost, for new intra data center and intra data center applications.
How does all of this affect the move to new 100G, 200G and 400G architectures? Just as the baud rate of the electronics used in optical communications jumped from 10 Gbaud to 25 Gbaud, it is now beginning to move to 50 Gbaud. Applying PAM4 modulation to a network with 25 Gbaud transmission provides a path to 100G Ethernet via a 2 x 2 x 25Gbaud architecture that requires two lasers instead of four lasers. Similarly PAM4 on 50G baud rate provides a path to 100G Ethernet via a 1 x 2 x 50Gbaud architecture that requires only a single laser. PAM4 at 50Gbaud rate is called single lambda 100G and is an important milestone that represents a ten-fold increase in transmission rate from the 10Gbps to 100Gbps using a single laser.
So is not surprising that the IEEE 802.3bs 400G Physical Layer task force has identified PAM4 as one of its modulation schemes for achieving 400G operation. This assumes either an 8 x 50G or 4 x 100G architecture.
Perhaps most promising, once the technology for a 4 x 100G solution has been developed for data centers is that a 1x100G version can easily be developed to replace existing PSM4 and CWDM4 100G links.
Finally, there are interim solutions achieving 200G Ethernet possible along the way to 400G. These are straightforward, applying existing PAM4 at 25Gbaud to a CWDM or PSM4 architecture.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D13" authorId="0" shapeId="0" xr:uid="{00000000-0006-0000-0400-000001000000}">
      <text>
        <r>
          <rPr>
            <b/>
            <sz val="9"/>
            <color indexed="81"/>
            <rFont val="Tahoma"/>
            <family val="2"/>
          </rPr>
          <t>Includes GBIC, certain SFF modules, and 'Other' which are no longer being produced.</t>
        </r>
      </text>
    </comment>
    <comment ref="G18" authorId="0" shapeId="0" xr:uid="{00000000-0006-0000-0400-000002000000}">
      <text>
        <r>
          <rPr>
            <b/>
            <sz val="9"/>
            <color indexed="81"/>
            <rFont val="Tahoma"/>
            <family val="2"/>
          </rPr>
          <t>Large increase this year due to 1) ASP converging with sub-spec, 2) increased demand for 10G LR, 3) additional suppliers reporting sales in LightCounting's vendor survey</t>
        </r>
      </text>
    </comment>
    <comment ref="D23" authorId="0" shapeId="0" xr:uid="{00000000-0006-0000-0400-000003000000}">
      <text>
        <r>
          <rPr>
            <b/>
            <sz val="9"/>
            <color indexed="81"/>
            <rFont val="Tahoma"/>
            <family val="2"/>
          </rPr>
          <t xml:space="preserve">Includes XENPAK, X2, and 'Other' which are no longer being produced.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P36" authorId="0" shapeId="0" xr:uid="{00000000-0006-0000-0500-000001000000}">
      <text>
        <r>
          <rPr>
            <b/>
            <sz val="9"/>
            <color rgb="FF000000"/>
            <rFont val="Tahoma"/>
            <family val="2"/>
          </rPr>
          <t>Includes both OSFP and QSFP-DD</t>
        </r>
      </text>
    </comment>
    <comment ref="P42" authorId="0" shapeId="0" xr:uid="{00000000-0006-0000-0500-000002000000}">
      <text>
        <r>
          <rPr>
            <b/>
            <sz val="9"/>
            <color indexed="81"/>
            <rFont val="Tahoma"/>
            <family val="2"/>
          </rPr>
          <t>Includes both OSFP and QSFP-DD</t>
        </r>
      </text>
    </comment>
    <comment ref="P48" authorId="0" shapeId="0" xr:uid="{00000000-0006-0000-0500-000003000000}">
      <text>
        <r>
          <rPr>
            <b/>
            <sz val="9"/>
            <color indexed="81"/>
            <rFont val="Tahoma"/>
            <family val="2"/>
          </rPr>
          <t>Includes both OSFP and QSFP-DD</t>
        </r>
      </text>
    </comment>
    <comment ref="P54" authorId="0" shapeId="0" xr:uid="{00000000-0006-0000-0500-000004000000}">
      <text>
        <r>
          <rPr>
            <b/>
            <sz val="9"/>
            <color indexed="81"/>
            <rFont val="Tahoma"/>
            <family val="2"/>
          </rPr>
          <t>Includes both OSFP and QSFP-DD</t>
        </r>
      </text>
    </comment>
  </commentList>
</comments>
</file>

<file path=xl/sharedStrings.xml><?xml version="1.0" encoding="utf-8"?>
<sst xmlns="http://schemas.openxmlformats.org/spreadsheetml/2006/main" count="1831" uniqueCount="532">
  <si>
    <t>Forecast Methodology</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</si>
  <si>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</si>
  <si>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</si>
  <si>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</si>
  <si>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</si>
  <si>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</si>
  <si>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</si>
  <si>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</si>
  <si>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</si>
  <si>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</si>
  <si>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</si>
  <si>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</si>
  <si>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</si>
  <si>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Total</t>
  </si>
  <si>
    <t xml:space="preserve">  </t>
  </si>
  <si>
    <t>Revenues</t>
  </si>
  <si>
    <t>Definition of forecast segments</t>
  </si>
  <si>
    <t>Units are devices or modules</t>
  </si>
  <si>
    <t>Shipments (devices)</t>
  </si>
  <si>
    <t>Average Selling Prices</t>
  </si>
  <si>
    <t xml:space="preserve">Total Devices </t>
  </si>
  <si>
    <t>ASPs</t>
  </si>
  <si>
    <t>Shipments</t>
  </si>
  <si>
    <t xml:space="preserve">The LightCounting optical interconnect forecast begins with historical shipment data derived from our proprietary vendor shipments database. </t>
  </si>
  <si>
    <t xml:space="preserve">are based on the results of interviews with leading vendors and other industry experts. Several 'sanity checks' are then performed to assess </t>
  </si>
  <si>
    <t>the results of the forecast, and feedback is provided from several industry participants. Final adjustments are made.</t>
  </si>
  <si>
    <t>The historical trends are extrapolated using the life-cycle model described below. The specific assumptions for each product</t>
  </si>
  <si>
    <t>Model developed by: John Lively</t>
  </si>
  <si>
    <t>Revenues ($ million)</t>
  </si>
  <si>
    <t>A.S.P. ($)</t>
  </si>
  <si>
    <t>Abstract</t>
  </si>
  <si>
    <t>Reach</t>
  </si>
  <si>
    <t>Data Rate</t>
  </si>
  <si>
    <t>Form Factor</t>
  </si>
  <si>
    <t>100 m</t>
  </si>
  <si>
    <t>XENPAK/XPAK</t>
  </si>
  <si>
    <t>X2</t>
  </si>
  <si>
    <t>XFP</t>
  </si>
  <si>
    <t>CFP</t>
  </si>
  <si>
    <t>Other</t>
  </si>
  <si>
    <t>QSFP28</t>
  </si>
  <si>
    <t>300 m</t>
  </si>
  <si>
    <t>all</t>
  </si>
  <si>
    <t>SFP+</t>
  </si>
  <si>
    <t>500 m</t>
  </si>
  <si>
    <t>SFF</t>
  </si>
  <si>
    <t>SFP</t>
  </si>
  <si>
    <t>2 km</t>
  </si>
  <si>
    <t>Fast Ethernet</t>
  </si>
  <si>
    <t>All</t>
  </si>
  <si>
    <t>10 km</t>
  </si>
  <si>
    <t>GBIC/other</t>
  </si>
  <si>
    <t>XENPAK</t>
  </si>
  <si>
    <t>300-pin/XPAK</t>
  </si>
  <si>
    <t>15 km</t>
  </si>
  <si>
    <t>40 km</t>
  </si>
  <si>
    <t>300-pin/XENPAK</t>
  </si>
  <si>
    <t>80 km</t>
  </si>
  <si>
    <t>300-pin/XENPAK/X2</t>
  </si>
  <si>
    <t>G</t>
  </si>
  <si>
    <t>10G</t>
  </si>
  <si>
    <t>100G</t>
  </si>
  <si>
    <t>40G</t>
  </si>
  <si>
    <t>1G</t>
  </si>
  <si>
    <t>Lookup codes for dashboard</t>
  </si>
  <si>
    <t>&lt;== was listed under 10 km</t>
  </si>
  <si>
    <t>LightCounting Ethernet Transceivers Forecast</t>
  </si>
  <si>
    <t>Cost per Gbps</t>
  </si>
  <si>
    <t>Grand average</t>
  </si>
  <si>
    <t>&lt;10G MMF</t>
  </si>
  <si>
    <t>10G MMF</t>
  </si>
  <si>
    <t>25G MMF</t>
  </si>
  <si>
    <t>&lt;10G SMF</t>
  </si>
  <si>
    <t>10G SMF</t>
  </si>
  <si>
    <t>25G SMF</t>
  </si>
  <si>
    <t>25G</t>
  </si>
  <si>
    <t>Optical Rate 
per fiber</t>
  </si>
  <si>
    <t>All Rates</t>
  </si>
  <si>
    <t>Percent  MMF</t>
  </si>
  <si>
    <t>Percent  SMF</t>
  </si>
  <si>
    <t>10-100G Only</t>
  </si>
  <si>
    <t>100 m  100G CFP</t>
  </si>
  <si>
    <t>Shipments by data rate</t>
  </si>
  <si>
    <t>Revenues by data rate</t>
  </si>
  <si>
    <t>total new forecast</t>
  </si>
  <si>
    <t>all reaches &amp; speeds</t>
  </si>
  <si>
    <t>40G LR total</t>
  </si>
  <si>
    <t>2 km  40G (FR) CFP</t>
  </si>
  <si>
    <t>10 km 40G CFP</t>
  </si>
  <si>
    <t>40 km 40G all</t>
  </si>
  <si>
    <t>Annual growth rate</t>
  </si>
  <si>
    <t>Product forecast</t>
  </si>
  <si>
    <t>&lt;== includes XFP and others</t>
  </si>
  <si>
    <t>QSFP+</t>
  </si>
  <si>
    <t/>
  </si>
  <si>
    <t>&lt;== added in February 2015 update</t>
  </si>
  <si>
    <t>Telecom</t>
  </si>
  <si>
    <t>Product forecast - Telecom segment</t>
  </si>
  <si>
    <t>Sanity check - bandwidth growth rates</t>
  </si>
  <si>
    <t>Annual bandwidth deployed</t>
  </si>
  <si>
    <t>Cumulative bandwidth</t>
  </si>
  <si>
    <t>Cumulative bandwidth growth</t>
  </si>
  <si>
    <t>MMF</t>
  </si>
  <si>
    <t>SMF</t>
  </si>
  <si>
    <t>Shipments by segment</t>
  </si>
  <si>
    <t>Revenues by segment</t>
  </si>
  <si>
    <t>Comparison of segments</t>
  </si>
  <si>
    <t>&lt;= unit growth rate (combined total)</t>
  </si>
  <si>
    <t>Percentage splits</t>
  </si>
  <si>
    <t>Index</t>
  </si>
  <si>
    <t>Press CTRL-TAB to switch to the segment Allocation table</t>
  </si>
  <si>
    <t>(Both spreadsheets must be open)</t>
  </si>
  <si>
    <t>Total Ethernet forecast split by fiber type</t>
  </si>
  <si>
    <t>220 m</t>
  </si>
  <si>
    <t>Enterprise</t>
  </si>
  <si>
    <t>&lt;== renamed from '4xSR' in June 2015</t>
  </si>
  <si>
    <t>SFP28</t>
  </si>
  <si>
    <t>&lt;== added June 2015</t>
  </si>
  <si>
    <t>Summary - Split by major market segment</t>
  </si>
  <si>
    <t>100 m  40G MM duplex</t>
  </si>
  <si>
    <t>100 m  40G QSFP+</t>
  </si>
  <si>
    <t>500m 40G PSM4 QSFP+</t>
  </si>
  <si>
    <t>2 km 40G LR4 subspec QSFP+</t>
  </si>
  <si>
    <t>10 km  40G QSFP+</t>
  </si>
  <si>
    <t>MMF devices (100-300m)</t>
  </si>
  <si>
    <t>Standard</t>
  </si>
  <si>
    <t>Non-standard</t>
  </si>
  <si>
    <t>400G</t>
  </si>
  <si>
    <t>Application segments</t>
  </si>
  <si>
    <t xml:space="preserve">The Telecom segment is composed of traditional fixed and mobile telecommunications companies, such as AT&amp;T, BT, China Mobile, DT, Orange, NTT, Softbank, Sprint, and Verizon. </t>
  </si>
  <si>
    <t xml:space="preserve">In addition, we also include here a forecast for DWDM ports used for interconnecting the datacenters of the mega-datacenter operators. We call this segment 'Mega-DCI'. </t>
  </si>
  <si>
    <t xml:space="preserve">This definition is considerably more narrow than the 'DCI' definition used by other analyst firms, which includes ALL connections between ANY datacenter and any other entity.  </t>
  </si>
  <si>
    <t>SMF devices (0.5-10 km)</t>
  </si>
  <si>
    <t>Rest of DWDM</t>
  </si>
  <si>
    <t>Product segments included in this forecast are listed below, with some notes/comments</t>
  </si>
  <si>
    <t>&lt;== added Feb 2016</t>
  </si>
  <si>
    <t>50G</t>
  </si>
  <si>
    <t>200G</t>
  </si>
  <si>
    <t>40G MMF</t>
  </si>
  <si>
    <t>40 G SMF 0.5-10km</t>
  </si>
  <si>
    <t>100G SMF</t>
  </si>
  <si>
    <t>40G SMF</t>
  </si>
  <si>
    <t>CFP2/4</t>
  </si>
  <si>
    <t>&lt;== CFP2 and CFP4 now combined into single line item; CPAK was also included, through July 2014 forecast.. Then removed from subsequent forecasts</t>
  </si>
  <si>
    <t>25G LR</t>
  </si>
  <si>
    <t>Cloud</t>
  </si>
  <si>
    <t>50G SMF</t>
  </si>
  <si>
    <t>50G MMF</t>
  </si>
  <si>
    <t xml:space="preserve">LightCounting divides the overall Ethernet transceiver market into three segments, based on customers: Telecom, Cloud, and Enterprise. </t>
  </si>
  <si>
    <t xml:space="preserve">The Enterprise Datacenter segment is composed of all other enterprises, excluding those falling into the Cloud category. </t>
  </si>
  <si>
    <t>&lt;10G</t>
  </si>
  <si>
    <t>100 m  100G CFP2/CFP4</t>
  </si>
  <si>
    <t>Forecast split by segments</t>
  </si>
  <si>
    <t>Product forecast - Cloud segment</t>
  </si>
  <si>
    <t>Cost per Gigabit calculations</t>
  </si>
  <si>
    <t>All Speeds</t>
  </si>
  <si>
    <t>100G MMF</t>
  </si>
  <si>
    <t>200G MMF</t>
  </si>
  <si>
    <t>400G MMF</t>
  </si>
  <si>
    <t>Module speed split</t>
  </si>
  <si>
    <t>200G SMF</t>
  </si>
  <si>
    <t>400G SMF</t>
  </si>
  <si>
    <t>Number  MMF</t>
  </si>
  <si>
    <t>Number SMF</t>
  </si>
  <si>
    <t>MMF/SMF</t>
  </si>
  <si>
    <t>Std/Non-Std</t>
  </si>
  <si>
    <t>&lt;== added Sept 2016</t>
  </si>
  <si>
    <t>25G ER</t>
  </si>
  <si>
    <t>Mix</t>
  </si>
  <si>
    <t>10-20 km</t>
  </si>
  <si>
    <t>Various</t>
  </si>
  <si>
    <t>Legacy/discontinued</t>
  </si>
  <si>
    <t>&lt;== includes X2, XENPAK, and some X2 form factor products that are no longer shipping</t>
  </si>
  <si>
    <t>&lt;== Forecasted separately prior to Sept 2016 update, now consolidated into 'Legacy/discontinued' category</t>
  </si>
  <si>
    <t>300m</t>
  </si>
  <si>
    <t>&lt;== prior to Sept 2016, was included in the 'Miscellaneous' category, now split into the appropriate 'Legacy/discontinued' category by speed</t>
  </si>
  <si>
    <t>No longer shipping and no longer forecast separately</t>
  </si>
  <si>
    <t>1G MMF</t>
  </si>
  <si>
    <t>1G SMF</t>
  </si>
  <si>
    <t>Legacy/discontinued products</t>
  </si>
  <si>
    <t>0.5-10 km Reach Ethernet</t>
  </si>
  <si>
    <t>Lane rates by wavelength or by fiber</t>
  </si>
  <si>
    <t>Module count by lane rate</t>
  </si>
  <si>
    <t>10G = 10G &amp; 40G modules</t>
  </si>
  <si>
    <t>25G = 25G and 100G modules</t>
  </si>
  <si>
    <t>50G = 50G, 200G, and 400G modules</t>
  </si>
  <si>
    <t>40G Short Reach</t>
  </si>
  <si>
    <t>40G Long Reach</t>
  </si>
  <si>
    <t>100G Short Reach</t>
  </si>
  <si>
    <t>100G Long Reach</t>
  </si>
  <si>
    <t>Interactive dashboard showing segment splits</t>
  </si>
  <si>
    <t>Select Product to Display in Cell Below</t>
  </si>
  <si>
    <t>CFP8 = for core router applications (CSP segment)</t>
  </si>
  <si>
    <t>QSFP-DD = double-density QSFP28</t>
  </si>
  <si>
    <t>OSFP= for datacenter applications</t>
  </si>
  <si>
    <t>&lt;== added Feb 2016 combined with 2 km, then split out separately in March 2017</t>
  </si>
  <si>
    <t>&lt;== added in March 2017</t>
  </si>
  <si>
    <t>Short Reach Ethernet (100-300m MMF)</t>
  </si>
  <si>
    <t>100-300 m</t>
  </si>
  <si>
    <t>100G Short Reach MMF (100-300 m)</t>
  </si>
  <si>
    <t>100G Long Reach SMF (500m - 40km)</t>
  </si>
  <si>
    <t>100 m  100G QSFP28 MM Duplex</t>
  </si>
  <si>
    <t>100 m  100G SR2, SR4  QSFP28</t>
  </si>
  <si>
    <t>µQSFP28  = not much industry support now</t>
  </si>
  <si>
    <t>QSFP56</t>
  </si>
  <si>
    <t>20 km</t>
  </si>
  <si>
    <t>&lt;== added in March 2017. Uses FEC on host card to extend reach. Also known as eLR4</t>
  </si>
  <si>
    <t>&lt;== added in March 2017. Includes SWDM.</t>
  </si>
  <si>
    <t>100 - 300 m</t>
  </si>
  <si>
    <t>100G total</t>
  </si>
  <si>
    <t>400G total</t>
  </si>
  <si>
    <t>200G total</t>
  </si>
  <si>
    <t>40G total</t>
  </si>
  <si>
    <t>25G total</t>
  </si>
  <si>
    <t>50G total</t>
  </si>
  <si>
    <t>Figures used in the report</t>
  </si>
  <si>
    <t>Waterfall charts showing which products had the biggest impact on changes in the forecast</t>
  </si>
  <si>
    <t>OSFP</t>
  </si>
  <si>
    <t>&lt;== was 500m 200G, but replaced with this new category in March 2018</t>
  </si>
  <si>
    <t>&lt;== was 10km 200G, but replaced with this new category in March 2018</t>
  </si>
  <si>
    <t>Cum installed OC bandwidth - Cloud</t>
  </si>
  <si>
    <t>Cum installed OC bandwidth - Enterprise</t>
  </si>
  <si>
    <t>200G Shipments</t>
  </si>
  <si>
    <t>200G ASPs</t>
  </si>
  <si>
    <t>200G Revenues</t>
  </si>
  <si>
    <t>400G Shipments</t>
  </si>
  <si>
    <t>400G ASPs</t>
  </si>
  <si>
    <t>400G Revenues</t>
  </si>
  <si>
    <t>SR4, SR2 split into separate categories May30, 2018</t>
  </si>
  <si>
    <t xml:space="preserve"> CWDM4, FR split into separate categories May30, 2018</t>
  </si>
  <si>
    <t xml:space="preserve"> CWDM4, FR split into separate categories May30, 2019</t>
  </si>
  <si>
    <t xml:space="preserve"> LR4, 4WDM10 split into separate categories May30, 2018</t>
  </si>
  <si>
    <t xml:space="preserve"> LR4, 4WDM10 split into separate categories May30, 2019</t>
  </si>
  <si>
    <t>PSM4, DR split into separate categories May30, 2018</t>
  </si>
  <si>
    <t>2x200 (400G-SR8)</t>
  </si>
  <si>
    <t>&lt;== same as the 400G BiDi BD4.2 MSA announced in Sept 2018</t>
  </si>
  <si>
    <t>300 m  100G QSFP28  eSR4</t>
  </si>
  <si>
    <t>DCI DWDM</t>
  </si>
  <si>
    <t>Module Data Rate</t>
  </si>
  <si>
    <t>1G &amp; Fast Ethernet</t>
  </si>
  <si>
    <t>10G (100m Sub-spec)</t>
  </si>
  <si>
    <t>10G LRM</t>
  </si>
  <si>
    <t>25G SR, eSR</t>
  </si>
  <si>
    <t>40G SR4</t>
  </si>
  <si>
    <t>40G MM duplex</t>
  </si>
  <si>
    <t>40G eSR4</t>
  </si>
  <si>
    <t xml:space="preserve">40G PSM4 </t>
  </si>
  <si>
    <t>40G (FR)</t>
  </si>
  <si>
    <t>40G (LR4 subspec)</t>
  </si>
  <si>
    <t xml:space="preserve">50G </t>
  </si>
  <si>
    <t>100G SR4</t>
  </si>
  <si>
    <t>100G SR2</t>
  </si>
  <si>
    <t>100G MM Duplex</t>
  </si>
  <si>
    <t>100G eSR4</t>
  </si>
  <si>
    <t>100G PSM4</t>
  </si>
  <si>
    <t>100G DR</t>
  </si>
  <si>
    <t>100G CWDM4</t>
  </si>
  <si>
    <t>100G LR4</t>
  </si>
  <si>
    <t>100G 4WDM10</t>
  </si>
  <si>
    <t>100G 4WDM20</t>
  </si>
  <si>
    <t>400G SR4.2</t>
  </si>
  <si>
    <t>400G DR4</t>
  </si>
  <si>
    <t>10 G</t>
  </si>
  <si>
    <t>25 G</t>
  </si>
  <si>
    <t>40 G</t>
  </si>
  <si>
    <t>50 G</t>
  </si>
  <si>
    <t>100 G</t>
  </si>
  <si>
    <t>200 G</t>
  </si>
  <si>
    <t>400 G</t>
  </si>
  <si>
    <t>1 G</t>
  </si>
  <si>
    <t>G &amp; Fast Ethernet</t>
  </si>
  <si>
    <t>40 G PSM4</t>
  </si>
  <si>
    <t>&lt;== includes Fast Ethernet 2km and 15km, and G in GBIC, 1x9, 2x9, and other discontinued form factors</t>
  </si>
  <si>
    <t>&lt;== includes 40G SR4 compliant modules; also proprietary bi-di modules in 2015 and earlier.</t>
  </si>
  <si>
    <t>&lt;== added June 2015; includes 40G bidi and other MMF duplex solutions (e.g. VCSEL-based S-WDM)</t>
  </si>
  <si>
    <t xml:space="preserve">New form factors for 400G:  </t>
  </si>
  <si>
    <t>10G LX4</t>
  </si>
  <si>
    <t>Annual growth rate 25G and above</t>
  </si>
  <si>
    <t xml:space="preserve">25 G at various reaches </t>
  </si>
  <si>
    <t>25 G by reach</t>
  </si>
  <si>
    <t xml:space="preserve">50 G at various reaches </t>
  </si>
  <si>
    <t>50 G by reach</t>
  </si>
  <si>
    <t>40 G at various reaches and form factors</t>
  </si>
  <si>
    <t>40 G by reach</t>
  </si>
  <si>
    <t>40 G by form factor</t>
  </si>
  <si>
    <t>300 m  40 G eSR QSFP+</t>
  </si>
  <si>
    <t>100 G by reach</t>
  </si>
  <si>
    <t>100 G by form factor</t>
  </si>
  <si>
    <t xml:space="preserve">200 G at various reaches </t>
  </si>
  <si>
    <t xml:space="preserve">400 G at various reaches </t>
  </si>
  <si>
    <t>200G QSFP56</t>
  </si>
  <si>
    <t>2x200G OSFP</t>
  </si>
  <si>
    <t>400G (all)</t>
  </si>
  <si>
    <t xml:space="preserve"> possible 4x25G</t>
  </si>
  <si>
    <t xml:space="preserve"> possible 4x100G</t>
  </si>
  <si>
    <t>Breakout</t>
  </si>
  <si>
    <t>200G FR4</t>
  </si>
  <si>
    <t>200G SR4</t>
  </si>
  <si>
    <t xml:space="preserve"> possible 4x25, 10x10</t>
  </si>
  <si>
    <t xml:space="preserve"> possible 10x10G</t>
  </si>
  <si>
    <t xml:space="preserve"> possible 4x50G</t>
  </si>
  <si>
    <t>Fiber</t>
  </si>
  <si>
    <t>Connector</t>
  </si>
  <si>
    <t>MPO</t>
  </si>
  <si>
    <t>MTO24</t>
  </si>
  <si>
    <t>dual LC</t>
  </si>
  <si>
    <t>duplex SMF</t>
  </si>
  <si>
    <t>two pairs MMF</t>
  </si>
  <si>
    <t>12-fiber MM ribbon</t>
  </si>
  <si>
    <t>2x12-fiber MM ribbons</t>
  </si>
  <si>
    <t>dual SC or LC</t>
  </si>
  <si>
    <t>two pairs SMF</t>
  </si>
  <si>
    <t>2 x dual LC</t>
  </si>
  <si>
    <t>16-fiber MM ribbon</t>
  </si>
  <si>
    <t>MPO16</t>
  </si>
  <si>
    <t>2 x dual CS</t>
  </si>
  <si>
    <t>12-fiber SM ribbon</t>
  </si>
  <si>
    <t xml:space="preserve"> possible 2x50G, 4x25G</t>
  </si>
  <si>
    <t>Deployed as 4x10G</t>
  </si>
  <si>
    <t xml:space="preserve"> possible 2x50G but unlikely</t>
  </si>
  <si>
    <t xml:space="preserve"> possible 4x100G BiDi</t>
  </si>
  <si>
    <t xml:space="preserve"> 8x50G most likely</t>
  </si>
  <si>
    <t xml:space="preserve"> 2x200G by default</t>
  </si>
  <si>
    <t>Google</t>
  </si>
  <si>
    <t xml:space="preserve"> possible 4x10G, no breakout done</t>
  </si>
  <si>
    <t xml:space="preserve"> no breakout possible</t>
  </si>
  <si>
    <t>Notable users</t>
  </si>
  <si>
    <t>for CSPs mainly</t>
  </si>
  <si>
    <t>AWS, Microsoft</t>
  </si>
  <si>
    <t>100G CWDM4-subspec</t>
  </si>
  <si>
    <t>500m</t>
  </si>
  <si>
    <t>Split CWDM4 into std and sub-spec in March 2019</t>
  </si>
  <si>
    <t>Form factor</t>
  </si>
  <si>
    <t>Last shipment year</t>
  </si>
  <si>
    <t>&lt;== added March 2019 for backhaul applications</t>
  </si>
  <si>
    <t>OSFP, QSFP-DD</t>
  </si>
  <si>
    <t>50/100</t>
  </si>
  <si>
    <t>40G-2x400G Only</t>
  </si>
  <si>
    <t>Amazon, Microsoft</t>
  </si>
  <si>
    <t>40GbE</t>
  </si>
  <si>
    <t>10G total</t>
  </si>
  <si>
    <t>10G (2 km sub-spec)</t>
  </si>
  <si>
    <t>Standard &amp; Sub-spec</t>
  </si>
  <si>
    <t>100G Shipments by reach</t>
  </si>
  <si>
    <t>100G at various reaches and form factors</t>
  </si>
  <si>
    <t>100G Revenues - long reach vs short reach</t>
  </si>
  <si>
    <t>Shipments by reach</t>
  </si>
  <si>
    <t>Revenues by reach</t>
  </si>
  <si>
    <t>Total annual revenues</t>
  </si>
  <si>
    <t>100G &amp; below</t>
  </si>
  <si>
    <t>200G &amp; above</t>
  </si>
  <si>
    <t>Shipments 25G and higher speeds</t>
  </si>
  <si>
    <t xml:space="preserve">Forecast Summary </t>
  </si>
  <si>
    <t>Annual shipments all data rates</t>
  </si>
  <si>
    <t>Total Revenues all data rates</t>
  </si>
  <si>
    <t>Modules by data rate, percent of total</t>
  </si>
  <si>
    <t xml:space="preserve">Revenues - data rates with $500 mn or more in peak sales </t>
  </si>
  <si>
    <t xml:space="preserve">Revenues - data rates with $250 mn or less in peak sales </t>
  </si>
  <si>
    <r>
      <t xml:space="preserve">Annual shipments - data rates with peak shipments of </t>
    </r>
    <r>
      <rPr>
        <sz val="16"/>
        <color theme="1"/>
        <rFont val="Calibri"/>
        <family val="2"/>
      </rPr>
      <t>≥</t>
    </r>
    <r>
      <rPr>
        <sz val="16"/>
        <color theme="1"/>
        <rFont val="Calibri"/>
        <family val="2"/>
        <scheme val="minor"/>
      </rPr>
      <t xml:space="preserve">10,000,000 </t>
    </r>
  </si>
  <si>
    <t>Annual shipments - data rates with peak shipments below 10,000,000</t>
  </si>
  <si>
    <t>Revenues by data rate (all rates shown)</t>
  </si>
  <si>
    <t>Annual shipments by data rate (all rates shown)</t>
  </si>
  <si>
    <t>50G &amp; below</t>
  </si>
  <si>
    <t>Revenues by data rate (two groups)</t>
  </si>
  <si>
    <t>Revenues by data rate (lower data rates grouped)</t>
  </si>
  <si>
    <t>Note on PAM4 here</t>
  </si>
  <si>
    <t>10G 10km</t>
  </si>
  <si>
    <t>50 m</t>
  </si>
  <si>
    <t xml:space="preserve"> 8x100G </t>
  </si>
  <si>
    <t>800G total</t>
  </si>
  <si>
    <t>800G</t>
  </si>
  <si>
    <t xml:space="preserve">100G PSM4 </t>
  </si>
  <si>
    <t>2x(200G FR4)</t>
  </si>
  <si>
    <t>OSFP, QSFP-DD800</t>
  </si>
  <si>
    <t>OSFP, QSFP-DD, QSFP112</t>
  </si>
  <si>
    <t>100G DR1</t>
  </si>
  <si>
    <t>100G ER4-Lite</t>
  </si>
  <si>
    <t>100G ER4</t>
  </si>
  <si>
    <t>400G FR4</t>
  </si>
  <si>
    <t xml:space="preserve">100G </t>
  </si>
  <si>
    <t>Product forecast - Enterprise sub-segment</t>
  </si>
  <si>
    <t>100G LR4 and LR1</t>
  </si>
  <si>
    <t>100G FR1</t>
  </si>
  <si>
    <t>MSA =&gt; Standard</t>
  </si>
  <si>
    <t>800G SR8</t>
  </si>
  <si>
    <t>16-fiber SMF ribbon</t>
  </si>
  <si>
    <t xml:space="preserve">10 G at various reaches </t>
  </si>
  <si>
    <t>10G 40/80km</t>
  </si>
  <si>
    <t>100G 10km</t>
  </si>
  <si>
    <t>10G 40km</t>
  </si>
  <si>
    <t>10G 80km</t>
  </si>
  <si>
    <t xml:space="preserve">100 G at various reaches </t>
  </si>
  <si>
    <t>100G 80km (100ZR)</t>
  </si>
  <si>
    <t>copied from DWDM forecast on 9.23/2020</t>
  </si>
  <si>
    <t>100G 30/40km</t>
  </si>
  <si>
    <t>100G 30/80km</t>
  </si>
  <si>
    <t>&lt;== includes 6 km LR-6 and 10 km LR-10 versions</t>
  </si>
  <si>
    <t>Standard and MSA</t>
  </si>
  <si>
    <t>Total volume</t>
  </si>
  <si>
    <t>Volume SFP112</t>
  </si>
  <si>
    <t>Volume QSFP28</t>
  </si>
  <si>
    <t>100G LR4/LR1</t>
  </si>
  <si>
    <t>Volume QSFP112</t>
  </si>
  <si>
    <t>Volume all other</t>
  </si>
  <si>
    <t>100G QSFP28</t>
  </si>
  <si>
    <t>100G SFP112</t>
  </si>
  <si>
    <t>400G QSFP-DD/OSFP</t>
  </si>
  <si>
    <t>400G SR8/SR4.2/SR4</t>
  </si>
  <si>
    <t>2x(200G FR4) and 400G FR4</t>
  </si>
  <si>
    <t>400G LR8/LR4</t>
  </si>
  <si>
    <t>400G QSFP112</t>
  </si>
  <si>
    <t>100G SR4 and SR1</t>
  </si>
  <si>
    <t>Adoption of QSFP112 form factor in 400G transceivers</t>
  </si>
  <si>
    <t>Adoption of SFP112 form factor in 100G transceivers</t>
  </si>
  <si>
    <t>Adoption of SFP112 form factor</t>
  </si>
  <si>
    <t>6-yr total</t>
  </si>
  <si>
    <t>Singlemode only by data rate</t>
  </si>
  <si>
    <t>Multimode only by data rate</t>
  </si>
  <si>
    <t xml:space="preserve">800G at various reaches </t>
  </si>
  <si>
    <t>800G Shipments</t>
  </si>
  <si>
    <t>800G ASPs</t>
  </si>
  <si>
    <t>800G Revenues</t>
  </si>
  <si>
    <t>800 G</t>
  </si>
  <si>
    <t>800G (all)</t>
  </si>
  <si>
    <t>200, 400 and 800G chart</t>
  </si>
  <si>
    <t xml:space="preserve">     </t>
  </si>
  <si>
    <t>100 G - the best sellers</t>
  </si>
  <si>
    <t>100G DR1 and FR1</t>
  </si>
  <si>
    <t>all in QSFP form factor</t>
  </si>
  <si>
    <t xml:space="preserve">100G CWDM4 </t>
  </si>
  <si>
    <t xml:space="preserve">100G SR4 </t>
  </si>
  <si>
    <t>All other 100G</t>
  </si>
  <si>
    <t>100G Total</t>
  </si>
  <si>
    <t xml:space="preserve">   </t>
  </si>
  <si>
    <t>100GbE</t>
  </si>
  <si>
    <t>Parallel Fiber Modules</t>
  </si>
  <si>
    <t>PSM4</t>
  </si>
  <si>
    <t>DR4</t>
  </si>
  <si>
    <t>DR8/PSM8</t>
  </si>
  <si>
    <t>Percent of the total shipments</t>
  </si>
  <si>
    <t>Year of Deployments</t>
  </si>
  <si>
    <t>Dara rate</t>
  </si>
  <si>
    <t>30 km</t>
  </si>
  <si>
    <t>100G ZR4</t>
  </si>
  <si>
    <t>&lt;== added March 2021</t>
  </si>
  <si>
    <t>&lt;== split from combined ER4/ER4Lite in March 2021</t>
  </si>
  <si>
    <t>3 km</t>
  </si>
  <si>
    <t>&lt;= includes MMF 400G and all 200G</t>
  </si>
  <si>
    <t>Figure E-4a First Generation to Second Generation 400G Module Transition</t>
  </si>
  <si>
    <t>Figure E-4b   Four-lane to Single-lane 100G Module Transition</t>
  </si>
  <si>
    <t>100G FR, DR+</t>
  </si>
  <si>
    <t>&lt;= was called '800G PSM8' prior to July 2021</t>
  </si>
  <si>
    <t>800G ZRlite</t>
  </si>
  <si>
    <t>1.6T DR8</t>
  </si>
  <si>
    <t>1.6T FR8</t>
  </si>
  <si>
    <r>
      <rPr>
        <b/>
        <sz val="12"/>
        <color theme="1"/>
        <rFont val="Calibri"/>
        <family val="2"/>
      </rPr>
      <t>&gt;</t>
    </r>
    <r>
      <rPr>
        <b/>
        <sz val="12"/>
        <color theme="1"/>
        <rFont val="Arial"/>
        <family val="2"/>
      </rPr>
      <t>10 km</t>
    </r>
  </si>
  <si>
    <t>3.2T DR</t>
  </si>
  <si>
    <t>3.2T SR</t>
  </si>
  <si>
    <t>3.2T FR</t>
  </si>
  <si>
    <t>3.2T LR</t>
  </si>
  <si>
    <t>3.2T ER</t>
  </si>
  <si>
    <t>OSFP-XD and TBD</t>
  </si>
  <si>
    <t>1.6T total</t>
  </si>
  <si>
    <t>3.2T total</t>
  </si>
  <si>
    <t>&lt;= added 8/6/2021</t>
  </si>
  <si>
    <t>1.6T</t>
  </si>
  <si>
    <t>TBD</t>
  </si>
  <si>
    <t>&lt;= added as placeholder August 2021</t>
  </si>
  <si>
    <t>200G DR</t>
  </si>
  <si>
    <t>200G ER4</t>
  </si>
  <si>
    <t>200G LR</t>
  </si>
  <si>
    <t>6, 10 km</t>
  </si>
  <si>
    <t>400G ER4</t>
  </si>
  <si>
    <t>800G ER4</t>
  </si>
  <si>
    <t xml:space="preserve">1.6T at various reaches </t>
  </si>
  <si>
    <t>1.6T Shipments</t>
  </si>
  <si>
    <t>1.6T ASPs</t>
  </si>
  <si>
    <t>1.6T Revenues ($ mn)</t>
  </si>
  <si>
    <t>800G MMF</t>
  </si>
  <si>
    <t>1.6T MMF</t>
  </si>
  <si>
    <t>800G SMF</t>
  </si>
  <si>
    <t>1.6T SMF</t>
  </si>
  <si>
    <t xml:space="preserve">1G </t>
  </si>
  <si>
    <t xml:space="preserve">10G </t>
  </si>
  <si>
    <t xml:space="preserve">25G </t>
  </si>
  <si>
    <t xml:space="preserve">40G </t>
  </si>
  <si>
    <t xml:space="preserve">200G </t>
  </si>
  <si>
    <t xml:space="preserve">400G </t>
  </si>
  <si>
    <t>100G-1.6T Only</t>
  </si>
  <si>
    <t>800G DR8, DR4</t>
  </si>
  <si>
    <t>2x(400G FR4), 800G FR4</t>
  </si>
  <si>
    <t>400G LR8, LR4</t>
  </si>
  <si>
    <t>800G LR8, LR4</t>
  </si>
  <si>
    <t>10 km, 20 km</t>
  </si>
  <si>
    <t>1.6T SR16</t>
  </si>
  <si>
    <t>1.6T LR8</t>
  </si>
  <si>
    <t>1.6T ER8</t>
  </si>
  <si>
    <t>400G SR4, 800G SR8,  1.6T SR16 MMF</t>
  </si>
  <si>
    <t>Lane rate (Gbps)</t>
  </si>
  <si>
    <t>25, 100</t>
  </si>
  <si>
    <t>100, 200</t>
  </si>
  <si>
    <t>50G MMF, 100G MM Duplex, 200G SR4, 400G SR8</t>
  </si>
  <si>
    <t>800G DR4, FR4   1.6 T SMF   assume 3:1 ratio 800:1.6T</t>
  </si>
  <si>
    <t>&lt;= includes all 800G and SMF 400G, with 800G DR4, FR4 from below subtracted</t>
  </si>
  <si>
    <t>800G CPO</t>
  </si>
  <si>
    <t>800G XCVRs</t>
  </si>
  <si>
    <t>1.6T XCVRs</t>
  </si>
  <si>
    <t>1.6T CPO</t>
  </si>
  <si>
    <t>1.6T (all)</t>
  </si>
  <si>
    <t>* CPO includes 100m reach and above only, since these compete with transceivers. 30m reach CPO is not included.</t>
  </si>
  <si>
    <t>Waterfall chart - top 10 contributors to forecast units total 2021-2026</t>
  </si>
  <si>
    <t>Waterfall chart - top 10 contributors to forecast revenue total 2021-2026</t>
  </si>
  <si>
    <t>Waterfall chart - revenues changes by data rate</t>
  </si>
  <si>
    <t>Waterfall chart units shipped changes by data rate</t>
  </si>
  <si>
    <t>Figure E-1: Annual price declines for 10GbE, 100GbE and 400G optical transceiver</t>
  </si>
  <si>
    <t>Figure E-2: Forecast for sales of 100G and below, and 200G and higher speed Ethernet optical transceivers.</t>
  </si>
  <si>
    <t>Figure E-3: Changes in the forecast expressed as cumulative sales for 2021-2026</t>
  </si>
  <si>
    <t>Figure E-4: Forecast for Ethernet transceivers and CPO (in terms of 800G and 1.6T ports)</t>
  </si>
  <si>
    <t>not defined yet</t>
  </si>
  <si>
    <t>Analysis and assumptions: Vladimir Kozlov, John Lively</t>
  </si>
  <si>
    <r>
      <t xml:space="preserve">Companion Report: </t>
    </r>
    <r>
      <rPr>
        <b/>
        <sz val="12"/>
        <rFont val="Arial"/>
        <family val="2"/>
      </rPr>
      <t>High-Speed Ethernet Optics</t>
    </r>
    <r>
      <rPr>
        <sz val="12"/>
        <rFont val="Arial"/>
        <family val="2"/>
      </rPr>
      <t>, March 2022 by Vlad Kozlov</t>
    </r>
  </si>
  <si>
    <t>Shipments by segment 400G</t>
  </si>
  <si>
    <t>Revenues by segment 400G</t>
  </si>
  <si>
    <t>Shipments by segment 200G</t>
  </si>
  <si>
    <t>Revenues by segment 200G</t>
  </si>
  <si>
    <t>Shipments by segment 100G</t>
  </si>
  <si>
    <t>Revenues by segment 100G</t>
  </si>
  <si>
    <t>Meta</t>
  </si>
  <si>
    <t>The Cloud segment is composed of the largest internet content and commerce companies such as Alibaba, Amazon, Apple, Ebay, Meta, Google, and Microsoft.</t>
  </si>
  <si>
    <t>Meta, AWS</t>
  </si>
  <si>
    <t>Alibaba, Google, Meta</t>
  </si>
  <si>
    <t>March 2022 - sample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</si>
</sst>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0.0%"/>
    <numFmt numFmtId="168" formatCode="_(* #,##0.0_);_(* \(#,##0.0\);_(* &quot;-&quot;??_);_(@_)"/>
    <numFmt numFmtId="169" formatCode="_(&quot;$&quot;* #,##0.000_);_(&quot;$&quot;* \(#,##0.000\);_(&quot;$&quot;* &quot;-&quot;??_);_(@_)"/>
    <numFmt numFmtId="170" formatCode="_(&quot;$&quot;* #,##0.0000000_);_(&quot;$&quot;* \(#,##0.0000000\);_(&quot;$&quot;* &quot;-&quot;??_);_(@_)"/>
    <numFmt numFmtId="171" formatCode="&quot;$&quot;#,##0"/>
    <numFmt numFmtId="172" formatCode="General_)"/>
    <numFmt numFmtId="173" formatCode="0.00_)"/>
    <numFmt numFmtId="174" formatCode="[&gt;9.9]0;[&gt;0]0.0;\-;"/>
    <numFmt numFmtId="175" formatCode="0.00000"/>
  </numFmts>
  <fonts count="89">
    <font>
      <sz val="10"/>
      <color theme="1"/>
      <name val="Arial"/>
      <family val="2"/>
    </font>
    <font>
      <sz val="10"/>
      <color theme="1"/>
      <name val="Calibri"/>
      <family val="2"/>
    </font>
    <font>
      <sz val="12"/>
      <color theme="1"/>
      <name val="Calibri"/>
      <family val="2"/>
      <scheme val="minor"/>
    </font>
    <font>
      <sz val="10"/>
      <color theme="1"/>
      <name val="Calibri"/>
      <family val="2"/>
    </font>
    <font>
      <sz val="11"/>
      <color theme="1"/>
      <name val="Calibri"/>
      <family val="2"/>
      <scheme val="minor"/>
    </font>
    <font>
      <sz val="10"/>
      <color theme="1"/>
      <name val="Calibri"/>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indexed="8"/>
      <name val="Arial"/>
      <family val="2"/>
    </font>
    <font>
      <sz val="10"/>
      <name val="Arial"/>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b/>
      <sz val="14"/>
      <color theme="1"/>
      <name val="Arial"/>
      <family val="2"/>
    </font>
    <font>
      <b/>
      <sz val="12"/>
      <color theme="1"/>
      <name val="Arial"/>
      <family val="2"/>
    </font>
    <font>
      <u/>
      <sz val="10"/>
      <color theme="11"/>
      <name val="Arial"/>
      <family val="2"/>
    </font>
    <font>
      <b/>
      <sz val="10"/>
      <color theme="1"/>
      <name val="Calibri"/>
      <family val="2"/>
      <scheme val="minor"/>
    </font>
    <font>
      <sz val="12"/>
      <color theme="1"/>
      <name val="Calibri"/>
      <family val="2"/>
      <scheme val="minor"/>
    </font>
    <font>
      <b/>
      <sz val="14"/>
      <color theme="1"/>
      <name val="Calibri"/>
      <family val="2"/>
      <scheme val="minor"/>
    </font>
    <font>
      <sz val="10"/>
      <name val="Calibri"/>
      <family val="2"/>
      <scheme val="minor"/>
    </font>
    <font>
      <sz val="10"/>
      <color theme="3"/>
      <name val="Calibri"/>
      <family val="2"/>
      <scheme val="minor"/>
    </font>
    <font>
      <b/>
      <sz val="14"/>
      <color theme="3"/>
      <name val="Arial"/>
      <family val="2"/>
    </font>
    <font>
      <b/>
      <sz val="18"/>
      <color theme="1"/>
      <name val="Calibri"/>
      <family val="2"/>
      <scheme val="minor"/>
    </font>
    <font>
      <sz val="10"/>
      <color rgb="FFFF0000"/>
      <name val="Calibri"/>
      <family val="2"/>
      <scheme val="minor"/>
    </font>
    <font>
      <b/>
      <sz val="10"/>
      <name val="Calibri"/>
      <family val="2"/>
      <scheme val="minor"/>
    </font>
    <font>
      <b/>
      <sz val="16"/>
      <color theme="1"/>
      <name val="Calibri"/>
      <family val="2"/>
      <scheme val="minor"/>
    </font>
    <font>
      <b/>
      <sz val="16"/>
      <color rgb="FF1F487C"/>
      <name val="Calibri"/>
      <family val="2"/>
      <scheme val="minor"/>
    </font>
    <font>
      <b/>
      <sz val="11"/>
      <color theme="1"/>
      <name val="Calibri"/>
      <family val="2"/>
      <scheme val="minor"/>
    </font>
    <font>
      <sz val="9"/>
      <color indexed="81"/>
      <name val="Tahoma"/>
      <family val="2"/>
    </font>
    <font>
      <b/>
      <sz val="11"/>
      <color rgb="FFFF0000"/>
      <name val="Calibri"/>
      <family val="2"/>
      <scheme val="minor"/>
    </font>
    <font>
      <b/>
      <sz val="10"/>
      <name val="Arial"/>
      <family val="2"/>
    </font>
    <font>
      <sz val="14"/>
      <color theme="1"/>
      <name val="Calibri"/>
      <family val="2"/>
      <scheme val="minor"/>
    </font>
    <font>
      <sz val="12"/>
      <color rgb="FFFF0000"/>
      <name val="Calibri"/>
      <family val="2"/>
      <scheme val="minor"/>
    </font>
    <font>
      <sz val="12"/>
      <color theme="1"/>
      <name val="Arial"/>
      <family val="2"/>
    </font>
    <font>
      <sz val="11"/>
      <color theme="1"/>
      <name val="Arial"/>
      <family val="2"/>
    </font>
    <font>
      <sz val="9"/>
      <color theme="1"/>
      <name val="Calibri"/>
      <family val="2"/>
      <scheme val="minor"/>
    </font>
    <font>
      <sz val="12"/>
      <color theme="3"/>
      <name val="Calibri"/>
      <family val="2"/>
      <scheme val="minor"/>
    </font>
    <font>
      <sz val="11"/>
      <color rgb="FFFF0000"/>
      <name val="Calibri"/>
      <family val="2"/>
      <scheme val="minor"/>
    </font>
    <font>
      <b/>
      <sz val="11"/>
      <color theme="0"/>
      <name val="Arial"/>
      <family val="2"/>
    </font>
    <font>
      <b/>
      <sz val="12"/>
      <name val="Arial"/>
      <family val="2"/>
    </font>
    <font>
      <sz val="12"/>
      <name val="Arial"/>
      <family val="2"/>
    </font>
    <font>
      <b/>
      <sz val="12"/>
      <color theme="1"/>
      <name val="Calibri"/>
      <family val="2"/>
      <scheme val="minor"/>
    </font>
    <font>
      <b/>
      <sz val="24"/>
      <color theme="3"/>
      <name val="Calibri"/>
      <family val="2"/>
      <scheme val="minor"/>
    </font>
    <font>
      <b/>
      <sz val="16"/>
      <color theme="3"/>
      <name val="Calibri"/>
      <family val="2"/>
      <scheme val="minor"/>
    </font>
    <font>
      <sz val="16"/>
      <color theme="1"/>
      <name val="Calibri"/>
      <family val="2"/>
      <scheme val="minor"/>
    </font>
    <font>
      <b/>
      <sz val="11"/>
      <color theme="3"/>
      <name val="Calibri"/>
      <family val="2"/>
      <scheme val="minor"/>
    </font>
    <font>
      <sz val="10"/>
      <color theme="4"/>
      <name val="Calibri"/>
      <family val="2"/>
      <scheme val="minor"/>
    </font>
    <font>
      <sz val="10"/>
      <color rgb="FF00B050"/>
      <name val="Calibri"/>
      <family val="2"/>
      <scheme val="minor"/>
    </font>
    <font>
      <sz val="10"/>
      <color theme="0"/>
      <name val="Calibri"/>
      <family val="2"/>
      <scheme val="minor"/>
    </font>
    <font>
      <u/>
      <sz val="10"/>
      <color theme="10"/>
      <name val="Arial"/>
      <family val="2"/>
    </font>
    <font>
      <b/>
      <sz val="12"/>
      <color rgb="FFFF0000"/>
      <name val="Arial"/>
      <family val="2"/>
    </font>
    <font>
      <b/>
      <sz val="12"/>
      <color rgb="FF00B050"/>
      <name val="Arial"/>
      <family val="2"/>
    </font>
    <font>
      <sz val="12"/>
      <color rgb="FFFF0000"/>
      <name val="Arial"/>
      <family val="2"/>
    </font>
    <font>
      <sz val="12"/>
      <color rgb="FF00B050"/>
      <name val="Arial"/>
      <family val="2"/>
    </font>
    <font>
      <sz val="12"/>
      <name val="Calibri"/>
      <family val="2"/>
      <scheme val="minor"/>
    </font>
    <font>
      <b/>
      <sz val="12"/>
      <color theme="0"/>
      <name val="Arial"/>
      <family val="2"/>
    </font>
    <font>
      <sz val="12"/>
      <color theme="1" tint="0.499984740745262"/>
      <name val="Calibri"/>
      <family val="2"/>
      <scheme val="minor"/>
    </font>
    <font>
      <b/>
      <sz val="16"/>
      <name val="Calibri"/>
      <family val="2"/>
      <scheme val="minor"/>
    </font>
    <font>
      <b/>
      <sz val="12"/>
      <name val="Calibri"/>
      <family val="2"/>
      <scheme val="minor"/>
    </font>
    <font>
      <sz val="12"/>
      <color indexed="81"/>
      <name val="Tahoma"/>
      <family val="2"/>
    </font>
    <font>
      <b/>
      <sz val="12"/>
      <color indexed="81"/>
      <name val="Tahoma"/>
      <family val="2"/>
    </font>
    <font>
      <sz val="10"/>
      <name val="Helvetica"/>
      <family val="2"/>
    </font>
    <font>
      <sz val="10"/>
      <color indexed="8"/>
      <name val="Helvetica"/>
      <family val="2"/>
    </font>
    <font>
      <b/>
      <sz val="12"/>
      <color indexed="8"/>
      <name val="Helvetica"/>
      <family val="2"/>
    </font>
    <font>
      <b/>
      <sz val="10"/>
      <color indexed="8"/>
      <name val="Helvetica"/>
      <family val="2"/>
    </font>
    <font>
      <b/>
      <i/>
      <sz val="16"/>
      <name val="Helv"/>
    </font>
    <font>
      <sz val="10"/>
      <name val="Geneva"/>
      <family val="2"/>
    </font>
    <font>
      <b/>
      <sz val="9"/>
      <color rgb="FF000000"/>
      <name val="Tahoma"/>
      <family val="2"/>
    </font>
    <font>
      <sz val="16"/>
      <color rgb="FF000000"/>
      <name val="Calibri"/>
      <family val="2"/>
      <scheme val="minor"/>
    </font>
    <font>
      <sz val="16"/>
      <color theme="1"/>
      <name val="Calibri"/>
      <family val="2"/>
    </font>
    <font>
      <sz val="12"/>
      <color rgb="FF000000"/>
      <name val="Tahoma"/>
      <family val="2"/>
    </font>
    <font>
      <b/>
      <sz val="11"/>
      <color rgb="FF343C46"/>
      <name val="Arial"/>
      <family val="2"/>
    </font>
    <font>
      <b/>
      <sz val="12"/>
      <color theme="1"/>
      <name val="Calibri"/>
      <family val="2"/>
    </font>
  </fonts>
  <fills count="2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rgb="FFE6FEF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FFFF"/>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style="thin">
        <color auto="1"/>
      </right>
      <top style="medium">
        <color indexed="64"/>
      </top>
      <bottom style="medium">
        <color indexed="64"/>
      </bottom>
      <diagonal/>
    </border>
  </borders>
  <cellStyleXfs count="441">
    <xf numFmtId="0" fontId="0" fillId="0" borderId="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2" fillId="0" borderId="0" applyFont="0" applyFill="0" applyBorder="0" applyAlignment="0" applyProtection="0"/>
    <xf numFmtId="44" fontId="25" fillId="0" borderId="0" applyFont="0" applyFill="0" applyBorder="0" applyAlignment="0" applyProtection="0"/>
    <xf numFmtId="44" fontId="22" fillId="0" borderId="0" applyFont="0" applyFill="0" applyBorder="0" applyAlignment="0" applyProtection="0"/>
    <xf numFmtId="0" fontId="22" fillId="0" borderId="0"/>
    <xf numFmtId="9" fontId="25" fillId="0" borderId="0" applyFont="0" applyFill="0" applyBorder="0" applyAlignment="0" applyProtection="0"/>
    <xf numFmtId="9" fontId="2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33" fillId="0" borderId="0"/>
    <xf numFmtId="43" fontId="33"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15" fillId="0" borderId="0"/>
    <xf numFmtId="0" fontId="15" fillId="0" borderId="0"/>
    <xf numFmtId="43" fontId="12" fillId="0" borderId="0" applyFont="0" applyFill="0" applyBorder="0" applyAlignment="0" applyProtection="0"/>
    <xf numFmtId="43" fontId="12" fillId="0" borderId="0" applyFont="0" applyFill="0" applyBorder="0" applyAlignment="0" applyProtection="0"/>
    <xf numFmtId="0" fontId="11"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13" fillId="0" borderId="0"/>
    <xf numFmtId="0" fontId="9" fillId="0" borderId="0"/>
    <xf numFmtId="9" fontId="9"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xf numFmtId="0" fontId="31"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77" fillId="0" borderId="0"/>
    <xf numFmtId="43" fontId="8" fillId="0" borderId="0" applyFont="0" applyFill="0" applyBorder="0" applyAlignment="0" applyProtection="0"/>
    <xf numFmtId="43" fontId="4"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5" fontId="78" fillId="0" borderId="0" applyFont="0" applyFill="0" applyBorder="0" applyAlignment="0" applyProtection="0">
      <protection locked="0"/>
    </xf>
    <xf numFmtId="172" fontId="79" fillId="0" borderId="0" applyNumberFormat="0" applyFill="0" applyBorder="0" applyAlignment="0" applyProtection="0">
      <protection locked="0"/>
    </xf>
    <xf numFmtId="172" fontId="80" fillId="0" borderId="0" applyNumberFormat="0" applyFill="0" applyBorder="0" applyAlignment="0" applyProtection="0">
      <protection locked="0"/>
    </xf>
    <xf numFmtId="173" fontId="81" fillId="0" borderId="0"/>
    <xf numFmtId="0" fontId="8" fillId="0" borderId="0"/>
    <xf numFmtId="0" fontId="8" fillId="0" borderId="0"/>
    <xf numFmtId="0" fontId="4" fillId="0" borderId="0"/>
    <xf numFmtId="9" fontId="4" fillId="0" borderId="0" applyFont="0" applyFill="0" applyBorder="0" applyAlignment="0" applyProtection="0"/>
    <xf numFmtId="0" fontId="23" fillId="0" borderId="0"/>
    <xf numFmtId="174" fontId="82" fillId="0" borderId="13" applyBorder="0" applyAlignment="0">
      <alignment horizontal="center"/>
    </xf>
  </cellStyleXfs>
  <cellXfs count="715">
    <xf numFmtId="0" fontId="0" fillId="0" borderId="0" xfId="0"/>
    <xf numFmtId="0" fontId="0" fillId="3" borderId="0" xfId="0" applyFill="1" applyProtection="1">
      <protection locked="0"/>
    </xf>
    <xf numFmtId="0" fontId="0" fillId="3" borderId="0" xfId="0" applyFill="1"/>
    <xf numFmtId="0" fontId="27" fillId="0" borderId="0" xfId="0" applyFont="1"/>
    <xf numFmtId="0" fontId="0" fillId="0" borderId="0" xfId="0"/>
    <xf numFmtId="0" fontId="21" fillId="0" borderId="0" xfId="117"/>
    <xf numFmtId="0" fontId="29" fillId="3" borderId="0" xfId="0" applyFont="1" applyFill="1"/>
    <xf numFmtId="0" fontId="28" fillId="0" borderId="0" xfId="0" applyFont="1" applyAlignment="1"/>
    <xf numFmtId="0" fontId="28" fillId="3" borderId="0" xfId="0" applyFont="1" applyFill="1" applyProtection="1">
      <protection locked="0"/>
    </xf>
    <xf numFmtId="0" fontId="28" fillId="3" borderId="0" xfId="0" applyFont="1" applyFill="1" applyAlignment="1" applyProtection="1">
      <alignment wrapText="1"/>
      <protection locked="0"/>
    </xf>
    <xf numFmtId="0" fontId="28" fillId="0" borderId="0" xfId="0" applyFont="1"/>
    <xf numFmtId="17" fontId="37" fillId="3" borderId="0" xfId="0" quotePrefix="1" applyNumberFormat="1" applyFont="1" applyFill="1" applyAlignment="1">
      <alignment horizontal="left"/>
    </xf>
    <xf numFmtId="0" fontId="38" fillId="0" borderId="0" xfId="0" applyFont="1" applyAlignment="1">
      <alignment horizontal="center"/>
    </xf>
    <xf numFmtId="0" fontId="36" fillId="0" borderId="0" xfId="0" applyFont="1"/>
    <xf numFmtId="0" fontId="42" fillId="0" borderId="0" xfId="0" applyFont="1"/>
    <xf numFmtId="0" fontId="42" fillId="0" borderId="0" xfId="0" applyFont="1" applyAlignment="1">
      <alignment vertical="center"/>
    </xf>
    <xf numFmtId="0" fontId="45" fillId="0" borderId="0" xfId="0" applyFont="1" applyFill="1" applyAlignment="1">
      <alignment horizontal="right" vertical="center"/>
    </xf>
    <xf numFmtId="0" fontId="42" fillId="0" borderId="0" xfId="0" applyFont="1" applyFill="1" applyAlignment="1">
      <alignment horizontal="left" vertical="center"/>
    </xf>
    <xf numFmtId="0" fontId="0" fillId="0" borderId="0" xfId="0" applyBorder="1" applyAlignment="1">
      <alignment horizontal="right"/>
    </xf>
    <xf numFmtId="0" fontId="0" fillId="0" borderId="0" xfId="0" applyBorder="1"/>
    <xf numFmtId="9" fontId="0" fillId="0" borderId="0" xfId="8" applyFont="1" applyBorder="1"/>
    <xf numFmtId="164" fontId="35" fillId="0" borderId="0" xfId="1" applyNumberFormat="1" applyFont="1" applyFill="1" applyBorder="1"/>
    <xf numFmtId="0" fontId="23" fillId="3" borderId="0" xfId="0" applyFont="1" applyFill="1" applyProtection="1">
      <protection locked="0"/>
    </xf>
    <xf numFmtId="0" fontId="46" fillId="3" borderId="0" xfId="0" applyFont="1" applyFill="1" applyProtection="1">
      <protection locked="0"/>
    </xf>
    <xf numFmtId="0" fontId="28" fillId="3" borderId="0" xfId="0" applyFont="1" applyFill="1" applyAlignment="1" applyProtection="1">
      <protection locked="0"/>
    </xf>
    <xf numFmtId="0" fontId="23" fillId="3" borderId="0" xfId="0" applyFont="1" applyFill="1" applyAlignment="1" applyProtection="1">
      <protection locked="0"/>
    </xf>
    <xf numFmtId="9" fontId="0" fillId="0" borderId="0" xfId="0" applyNumberFormat="1" applyBorder="1"/>
    <xf numFmtId="9" fontId="28" fillId="0" borderId="0" xfId="8" applyFont="1" applyBorder="1"/>
    <xf numFmtId="0" fontId="46" fillId="3" borderId="0" xfId="0" applyFont="1" applyFill="1" applyAlignment="1" applyProtection="1">
      <protection locked="0"/>
    </xf>
    <xf numFmtId="0" fontId="0" fillId="0" borderId="0" xfId="0" applyFill="1"/>
    <xf numFmtId="0" fontId="49" fillId="3" borderId="0" xfId="0" applyFont="1" applyFill="1"/>
    <xf numFmtId="0" fontId="49" fillId="0" borderId="0" xfId="0" applyFont="1"/>
    <xf numFmtId="0" fontId="41" fillId="4" borderId="15" xfId="117" applyFont="1" applyFill="1" applyBorder="1" applyAlignment="1">
      <alignment vertical="center"/>
    </xf>
    <xf numFmtId="0" fontId="30" fillId="0" borderId="9" xfId="117" applyFont="1" applyBorder="1"/>
    <xf numFmtId="0" fontId="30" fillId="0" borderId="1" xfId="117" applyFont="1" applyBorder="1"/>
    <xf numFmtId="0" fontId="30" fillId="0" borderId="3" xfId="117" applyFont="1" applyBorder="1"/>
    <xf numFmtId="0" fontId="30" fillId="0" borderId="4" xfId="117" applyFont="1" applyBorder="1"/>
    <xf numFmtId="0" fontId="33" fillId="0" borderId="0" xfId="117" applyFont="1"/>
    <xf numFmtId="0" fontId="40" fillId="0" borderId="2" xfId="0" applyFont="1" applyBorder="1"/>
    <xf numFmtId="0" fontId="40" fillId="0" borderId="7" xfId="0" applyFont="1" applyBorder="1"/>
    <xf numFmtId="0" fontId="40" fillId="0" borderId="11" xfId="0" applyFont="1" applyBorder="1"/>
    <xf numFmtId="0" fontId="51" fillId="0" borderId="3" xfId="0" applyFont="1" applyBorder="1" applyAlignment="1">
      <alignment horizontal="center"/>
    </xf>
    <xf numFmtId="0" fontId="0" fillId="0" borderId="5" xfId="0" applyBorder="1"/>
    <xf numFmtId="0" fontId="0" fillId="0" borderId="8" xfId="0" applyBorder="1"/>
    <xf numFmtId="0" fontId="39" fillId="0" borderId="0" xfId="0" applyFont="1"/>
    <xf numFmtId="0" fontId="40" fillId="0" borderId="5" xfId="0" applyFont="1" applyBorder="1"/>
    <xf numFmtId="0" fontId="40" fillId="0" borderId="8" xfId="0" applyFont="1" applyBorder="1"/>
    <xf numFmtId="0" fontId="40" fillId="0" borderId="14" xfId="0" applyFont="1" applyBorder="1"/>
    <xf numFmtId="0" fontId="35" fillId="0" borderId="9" xfId="0" applyFont="1" applyFill="1" applyBorder="1" applyAlignment="1"/>
    <xf numFmtId="0" fontId="35" fillId="0" borderId="0" xfId="0" applyFont="1" applyFill="1" applyBorder="1" applyAlignment="1"/>
    <xf numFmtId="0" fontId="35" fillId="0" borderId="13" xfId="0" applyFont="1" applyFill="1" applyBorder="1" applyAlignment="1"/>
    <xf numFmtId="0" fontId="35" fillId="0" borderId="5" xfId="0" applyFont="1" applyFill="1" applyBorder="1" applyAlignment="1"/>
    <xf numFmtId="0" fontId="35" fillId="0" borderId="8" xfId="0" applyFont="1" applyFill="1" applyBorder="1" applyAlignment="1"/>
    <xf numFmtId="0" fontId="35" fillId="0" borderId="14" xfId="0" applyFont="1" applyFill="1" applyBorder="1" applyAlignment="1"/>
    <xf numFmtId="0" fontId="52" fillId="0" borderId="0" xfId="117" applyFont="1"/>
    <xf numFmtId="164" fontId="35" fillId="0" borderId="8" xfId="1" applyNumberFormat="1" applyFont="1" applyFill="1" applyBorder="1"/>
    <xf numFmtId="0" fontId="34" fillId="3" borderId="0" xfId="0" applyFont="1" applyFill="1"/>
    <xf numFmtId="0" fontId="51" fillId="0" borderId="1" xfId="0" applyFont="1" applyBorder="1" applyAlignment="1">
      <alignment horizontal="center"/>
    </xf>
    <xf numFmtId="0" fontId="51" fillId="0" borderId="4" xfId="0" applyFont="1" applyBorder="1" applyAlignment="1">
      <alignment horizontal="center"/>
    </xf>
    <xf numFmtId="165" fontId="0" fillId="0" borderId="0" xfId="0" applyNumberFormat="1"/>
    <xf numFmtId="9" fontId="25" fillId="0" borderId="0" xfId="8" applyFont="1"/>
    <xf numFmtId="0" fontId="26" fillId="0" borderId="0" xfId="122" applyFont="1" applyFill="1" applyBorder="1" applyAlignment="1">
      <alignment horizontal="right"/>
    </xf>
    <xf numFmtId="164" fontId="39" fillId="0" borderId="0" xfId="0" applyNumberFormat="1" applyFont="1"/>
    <xf numFmtId="0" fontId="26" fillId="0" borderId="10" xfId="122" applyFont="1" applyFill="1" applyBorder="1" applyAlignment="1">
      <alignment horizontal="right"/>
    </xf>
    <xf numFmtId="0" fontId="26" fillId="0" borderId="0" xfId="122" applyFont="1" applyBorder="1"/>
    <xf numFmtId="166" fontId="53" fillId="0" borderId="0" xfId="5" applyNumberFormat="1" applyFont="1" applyFill="1" applyBorder="1"/>
    <xf numFmtId="0" fontId="0" fillId="0" borderId="9" xfId="0" applyBorder="1"/>
    <xf numFmtId="164" fontId="39" fillId="0" borderId="0" xfId="0" applyNumberFormat="1" applyFont="1" applyFill="1" applyBorder="1"/>
    <xf numFmtId="0" fontId="30" fillId="0" borderId="9" xfId="117" applyFont="1" applyFill="1" applyBorder="1"/>
    <xf numFmtId="0" fontId="30" fillId="0" borderId="1" xfId="117" applyFont="1" applyFill="1" applyBorder="1"/>
    <xf numFmtId="0" fontId="21" fillId="0" borderId="0" xfId="117" applyFill="1"/>
    <xf numFmtId="0" fontId="58" fillId="0" borderId="0" xfId="0" applyFont="1"/>
    <xf numFmtId="167" fontId="27" fillId="0" borderId="0" xfId="8" applyNumberFormat="1" applyFont="1" applyFill="1" applyBorder="1" applyAlignment="1">
      <alignment vertical="center"/>
    </xf>
    <xf numFmtId="0" fontId="32" fillId="0" borderId="0" xfId="0" applyFont="1"/>
    <xf numFmtId="0" fontId="18" fillId="0" borderId="0" xfId="0" applyFont="1"/>
    <xf numFmtId="0" fontId="26" fillId="0" borderId="0" xfId="0" applyFont="1"/>
    <xf numFmtId="9" fontId="18" fillId="0" borderId="0" xfId="8" applyFont="1"/>
    <xf numFmtId="0" fontId="18" fillId="0" borderId="0" xfId="117" applyFont="1" applyFill="1" applyBorder="1" applyAlignment="1">
      <alignment horizontal="left" vertical="center"/>
    </xf>
    <xf numFmtId="0" fontId="18" fillId="0" borderId="8" xfId="0" applyFont="1" applyFill="1" applyBorder="1"/>
    <xf numFmtId="0" fontId="18" fillId="0" borderId="6" xfId="117" applyFont="1" applyBorder="1" applyAlignment="1"/>
    <xf numFmtId="0" fontId="18" fillId="0" borderId="10" xfId="117" applyFont="1" applyBorder="1" applyAlignment="1"/>
    <xf numFmtId="0" fontId="18" fillId="0" borderId="12" xfId="117" applyFont="1" applyBorder="1" applyAlignment="1"/>
    <xf numFmtId="164" fontId="18" fillId="0" borderId="10" xfId="1" applyNumberFormat="1" applyFont="1" applyBorder="1"/>
    <xf numFmtId="0" fontId="18" fillId="0" borderId="5" xfId="117" applyFont="1" applyBorder="1" applyAlignment="1"/>
    <xf numFmtId="0" fontId="18" fillId="0" borderId="8" xfId="117" applyFont="1" applyBorder="1" applyAlignment="1"/>
    <xf numFmtId="0" fontId="18" fillId="0" borderId="14" xfId="117" applyFont="1" applyBorder="1" applyAlignment="1"/>
    <xf numFmtId="164" fontId="18" fillId="0" borderId="8" xfId="1" applyNumberFormat="1" applyFont="1" applyBorder="1"/>
    <xf numFmtId="0" fontId="18" fillId="0" borderId="9" xfId="117" applyFont="1" applyBorder="1" applyAlignment="1"/>
    <xf numFmtId="0" fontId="18" fillId="0" borderId="0" xfId="117" applyFont="1" applyBorder="1" applyAlignment="1"/>
    <xf numFmtId="0" fontId="18" fillId="0" borderId="13" xfId="117" applyFont="1" applyBorder="1" applyAlignment="1"/>
    <xf numFmtId="164" fontId="18" fillId="0" borderId="0" xfId="1" applyNumberFormat="1" applyFont="1" applyBorder="1"/>
    <xf numFmtId="0" fontId="18" fillId="0" borderId="0" xfId="0" applyFont="1" applyBorder="1" applyAlignment="1">
      <alignment vertical="center"/>
    </xf>
    <xf numFmtId="0" fontId="18" fillId="0" borderId="0" xfId="0" applyFont="1" applyBorder="1"/>
    <xf numFmtId="0" fontId="35" fillId="0" borderId="5" xfId="0" applyFont="1" applyBorder="1"/>
    <xf numFmtId="0" fontId="35" fillId="0" borderId="8" xfId="0" applyFont="1" applyBorder="1"/>
    <xf numFmtId="0" fontId="35" fillId="0" borderId="14" xfId="0" applyFont="1" applyBorder="1"/>
    <xf numFmtId="164" fontId="35" fillId="0" borderId="7" xfId="1" applyNumberFormat="1" applyFont="1" applyFill="1" applyBorder="1"/>
    <xf numFmtId="0" fontId="18" fillId="0" borderId="15" xfId="0" applyFont="1" applyBorder="1"/>
    <xf numFmtId="0" fontId="39" fillId="0" borderId="0" xfId="0" applyFont="1" applyAlignment="1">
      <alignment horizontal="right"/>
    </xf>
    <xf numFmtId="166" fontId="39" fillId="0" borderId="0" xfId="0" applyNumberFormat="1" applyFont="1"/>
    <xf numFmtId="0" fontId="18" fillId="0" borderId="0" xfId="0" applyFont="1" applyFill="1" applyBorder="1"/>
    <xf numFmtId="165" fontId="18" fillId="0" borderId="10" xfId="5" applyNumberFormat="1" applyFont="1" applyBorder="1"/>
    <xf numFmtId="165" fontId="18" fillId="0" borderId="8" xfId="5" applyNumberFormat="1" applyFont="1" applyBorder="1"/>
    <xf numFmtId="165" fontId="18" fillId="0" borderId="0" xfId="5" applyNumberFormat="1" applyFont="1" applyBorder="1"/>
    <xf numFmtId="165" fontId="18" fillId="0" borderId="0" xfId="5" applyNumberFormat="1" applyFont="1" applyFill="1" applyBorder="1"/>
    <xf numFmtId="165" fontId="35" fillId="0" borderId="2" xfId="5" applyNumberFormat="1" applyFont="1" applyFill="1" applyBorder="1"/>
    <xf numFmtId="165" fontId="35" fillId="0" borderId="7" xfId="5" applyNumberFormat="1" applyFont="1" applyFill="1" applyBorder="1"/>
    <xf numFmtId="165" fontId="35" fillId="0" borderId="11" xfId="5" applyNumberFormat="1" applyFont="1" applyFill="1" applyBorder="1"/>
    <xf numFmtId="166" fontId="18" fillId="0" borderId="10" xfId="5" applyNumberFormat="1" applyFont="1" applyBorder="1"/>
    <xf numFmtId="166" fontId="18" fillId="0" borderId="8" xfId="5" applyNumberFormat="1" applyFont="1" applyBorder="1"/>
    <xf numFmtId="166" fontId="18" fillId="0" borderId="0" xfId="5" applyNumberFormat="1" applyFont="1" applyBorder="1"/>
    <xf numFmtId="0" fontId="57" fillId="0" borderId="0" xfId="0" applyFont="1" applyAlignment="1">
      <alignment horizontal="left"/>
    </xf>
    <xf numFmtId="164" fontId="39" fillId="0" borderId="0" xfId="1" applyNumberFormat="1" applyFont="1"/>
    <xf numFmtId="0" fontId="17" fillId="0" borderId="0" xfId="0" applyFont="1"/>
    <xf numFmtId="0" fontId="17" fillId="0" borderId="0" xfId="0" applyFont="1" applyAlignment="1">
      <alignment horizontal="center" vertical="center"/>
    </xf>
    <xf numFmtId="17" fontId="17" fillId="0" borderId="0" xfId="0" applyNumberFormat="1" applyFont="1" applyAlignment="1">
      <alignment horizontal="center" vertical="center"/>
    </xf>
    <xf numFmtId="9" fontId="17" fillId="0" borderId="0" xfId="8" applyFont="1"/>
    <xf numFmtId="0" fontId="17" fillId="0" borderId="2" xfId="0" applyFont="1" applyFill="1" applyBorder="1"/>
    <xf numFmtId="0" fontId="17" fillId="0" borderId="7" xfId="0" applyFont="1" applyFill="1" applyBorder="1"/>
    <xf numFmtId="165" fontId="17" fillId="0" borderId="10" xfId="5" applyNumberFormat="1" applyFont="1" applyBorder="1"/>
    <xf numFmtId="0" fontId="17" fillId="0" borderId="3" xfId="0" applyFont="1" applyBorder="1" applyAlignment="1">
      <alignment horizontal="right"/>
    </xf>
    <xf numFmtId="165" fontId="17" fillId="0" borderId="0" xfId="5" applyNumberFormat="1" applyFont="1" applyBorder="1"/>
    <xf numFmtId="0" fontId="17" fillId="0" borderId="4" xfId="0" applyFont="1" applyBorder="1" applyAlignment="1">
      <alignment horizontal="right"/>
    </xf>
    <xf numFmtId="165" fontId="17" fillId="0" borderId="8" xfId="5" applyNumberFormat="1" applyFont="1" applyBorder="1"/>
    <xf numFmtId="0" fontId="17" fillId="0" borderId="6" xfId="0" applyFont="1" applyFill="1" applyBorder="1"/>
    <xf numFmtId="0" fontId="17" fillId="0" borderId="10" xfId="0" applyFont="1" applyFill="1" applyBorder="1"/>
    <xf numFmtId="0" fontId="17" fillId="0" borderId="12" xfId="0" applyFont="1" applyFill="1" applyBorder="1"/>
    <xf numFmtId="164" fontId="16" fillId="0" borderId="0" xfId="0" applyNumberFormat="1" applyFont="1"/>
    <xf numFmtId="0" fontId="16" fillId="0" borderId="0" xfId="0" applyFont="1"/>
    <xf numFmtId="164" fontId="16" fillId="0" borderId="0" xfId="1" applyNumberFormat="1" applyFont="1"/>
    <xf numFmtId="165" fontId="16" fillId="0" borderId="0" xfId="5" applyNumberFormat="1" applyFont="1"/>
    <xf numFmtId="164" fontId="16" fillId="0" borderId="0" xfId="1" quotePrefix="1" applyNumberFormat="1" applyFont="1" applyAlignment="1">
      <alignment horizontal="right"/>
    </xf>
    <xf numFmtId="0" fontId="16" fillId="0" borderId="0" xfId="0" applyFont="1" applyAlignment="1">
      <alignment horizontal="right"/>
    </xf>
    <xf numFmtId="164" fontId="16" fillId="0" borderId="9" xfId="0" applyNumberFormat="1" applyFont="1" applyFill="1" applyBorder="1"/>
    <xf numFmtId="164" fontId="16" fillId="0" borderId="0" xfId="0" applyNumberFormat="1" applyFont="1" applyFill="1" applyBorder="1"/>
    <xf numFmtId="164" fontId="16" fillId="0" borderId="6" xfId="0" applyNumberFormat="1" applyFont="1" applyFill="1" applyBorder="1"/>
    <xf numFmtId="164" fontId="16" fillId="0" borderId="10" xfId="0" applyNumberFormat="1" applyFont="1" applyFill="1" applyBorder="1"/>
    <xf numFmtId="0" fontId="16" fillId="0" borderId="6" xfId="0" applyFont="1" applyFill="1" applyBorder="1"/>
    <xf numFmtId="0" fontId="16" fillId="0" borderId="10" xfId="0" applyFont="1" applyFill="1" applyBorder="1"/>
    <xf numFmtId="0" fontId="16" fillId="0" borderId="2" xfId="0" applyFont="1" applyBorder="1"/>
    <xf numFmtId="0" fontId="16" fillId="0" borderId="6" xfId="0" applyFont="1" applyBorder="1"/>
    <xf numFmtId="165" fontId="16" fillId="0" borderId="6" xfId="5" applyNumberFormat="1" applyFont="1" applyFill="1" applyBorder="1"/>
    <xf numFmtId="165" fontId="16" fillId="0" borderId="10" xfId="5" applyNumberFormat="1" applyFont="1" applyFill="1" applyBorder="1"/>
    <xf numFmtId="165" fontId="16" fillId="0" borderId="9" xfId="5" applyNumberFormat="1" applyFont="1" applyFill="1" applyBorder="1"/>
    <xf numFmtId="165" fontId="16" fillId="0" borderId="0" xfId="5" applyNumberFormat="1" applyFont="1" applyFill="1" applyBorder="1"/>
    <xf numFmtId="0" fontId="16" fillId="0" borderId="1" xfId="0" applyFont="1" applyBorder="1"/>
    <xf numFmtId="0" fontId="17" fillId="0" borderId="2" xfId="0" applyFont="1" applyBorder="1"/>
    <xf numFmtId="0" fontId="17" fillId="0" borderId="7" xfId="0" applyFont="1" applyBorder="1"/>
    <xf numFmtId="0" fontId="59" fillId="0" borderId="0" xfId="0" applyFont="1" applyAlignment="1">
      <alignment horizontal="left"/>
    </xf>
    <xf numFmtId="0" fontId="16" fillId="0" borderId="4" xfId="0" applyFont="1" applyBorder="1"/>
    <xf numFmtId="0" fontId="47" fillId="0" borderId="0" xfId="0" applyFont="1"/>
    <xf numFmtId="165" fontId="39" fillId="0" borderId="0" xfId="0" applyNumberFormat="1" applyFont="1"/>
    <xf numFmtId="164" fontId="16" fillId="0" borderId="2" xfId="0" applyNumberFormat="1" applyFont="1" applyFill="1" applyBorder="1"/>
    <xf numFmtId="164" fontId="16" fillId="0" borderId="7" xfId="0" applyNumberFormat="1" applyFont="1" applyFill="1" applyBorder="1"/>
    <xf numFmtId="165" fontId="16" fillId="0" borderId="2" xfId="5" applyNumberFormat="1" applyFont="1" applyFill="1" applyBorder="1"/>
    <xf numFmtId="165" fontId="16" fillId="0" borderId="7" xfId="5" applyNumberFormat="1" applyFont="1" applyFill="1" applyBorder="1"/>
    <xf numFmtId="0" fontId="19" fillId="0" borderId="7" xfId="0" applyFont="1" applyBorder="1"/>
    <xf numFmtId="0" fontId="32" fillId="0" borderId="0" xfId="0" applyFont="1" applyAlignment="1">
      <alignment horizontal="center"/>
    </xf>
    <xf numFmtId="164" fontId="35" fillId="0" borderId="6" xfId="0" applyNumberFormat="1" applyFont="1" applyFill="1" applyBorder="1"/>
    <xf numFmtId="164" fontId="35" fillId="0" borderId="10" xfId="0" applyNumberFormat="1" applyFont="1" applyFill="1" applyBorder="1"/>
    <xf numFmtId="164" fontId="35" fillId="0" borderId="9" xfId="0" applyNumberFormat="1" applyFont="1" applyFill="1" applyBorder="1"/>
    <xf numFmtId="164" fontId="35" fillId="0" borderId="0" xfId="0" applyNumberFormat="1" applyFont="1" applyFill="1" applyBorder="1"/>
    <xf numFmtId="164" fontId="35" fillId="0" borderId="5" xfId="0" applyNumberFormat="1" applyFont="1" applyFill="1" applyBorder="1"/>
    <xf numFmtId="164" fontId="35" fillId="0" borderId="8" xfId="0" applyNumberFormat="1" applyFont="1" applyFill="1" applyBorder="1"/>
    <xf numFmtId="164" fontId="35" fillId="0" borderId="2" xfId="0" applyNumberFormat="1" applyFont="1" applyFill="1" applyBorder="1"/>
    <xf numFmtId="164" fontId="35" fillId="0" borderId="7" xfId="0" applyNumberFormat="1" applyFont="1" applyFill="1" applyBorder="1"/>
    <xf numFmtId="165" fontId="35" fillId="0" borderId="8" xfId="5" applyNumberFormat="1" applyFont="1" applyFill="1" applyBorder="1"/>
    <xf numFmtId="165" fontId="35" fillId="0" borderId="14" xfId="5" applyNumberFormat="1" applyFont="1" applyFill="1" applyBorder="1"/>
    <xf numFmtId="165" fontId="35" fillId="0" borderId="10" xfId="5" applyNumberFormat="1" applyFont="1" applyFill="1" applyBorder="1"/>
    <xf numFmtId="165" fontId="35" fillId="0" borderId="12" xfId="5" applyNumberFormat="1" applyFont="1" applyFill="1" applyBorder="1"/>
    <xf numFmtId="165" fontId="35" fillId="0" borderId="0" xfId="5" applyNumberFormat="1" applyFont="1" applyFill="1" applyBorder="1"/>
    <xf numFmtId="165" fontId="35" fillId="0" borderId="6" xfId="5" applyNumberFormat="1" applyFont="1" applyFill="1" applyBorder="1"/>
    <xf numFmtId="165" fontId="35" fillId="0" borderId="9" xfId="5" applyNumberFormat="1" applyFont="1" applyFill="1" applyBorder="1"/>
    <xf numFmtId="0" fontId="14" fillId="0" borderId="0" xfId="0" applyFont="1" applyAlignment="1">
      <alignment horizontal="right"/>
    </xf>
    <xf numFmtId="9" fontId="14" fillId="0" borderId="0" xfId="8" applyFont="1"/>
    <xf numFmtId="165" fontId="17" fillId="0" borderId="0" xfId="5" applyNumberFormat="1" applyFont="1"/>
    <xf numFmtId="0" fontId="17" fillId="0" borderId="0" xfId="0" applyFont="1" applyBorder="1"/>
    <xf numFmtId="165" fontId="35" fillId="0" borderId="5" xfId="5" applyNumberFormat="1" applyFont="1" applyFill="1" applyBorder="1"/>
    <xf numFmtId="0" fontId="43" fillId="0" borderId="2" xfId="122" applyFont="1" applyBorder="1" applyAlignment="1"/>
    <xf numFmtId="0" fontId="43" fillId="0" borderId="7" xfId="122" applyFont="1" applyBorder="1" applyAlignment="1"/>
    <xf numFmtId="0" fontId="26" fillId="0" borderId="6" xfId="122" applyFont="1" applyFill="1" applyBorder="1" applyAlignment="1">
      <alignment horizontal="right"/>
    </xf>
    <xf numFmtId="0" fontId="30" fillId="0" borderId="3" xfId="117" applyFont="1" applyFill="1" applyBorder="1"/>
    <xf numFmtId="0" fontId="0" fillId="0" borderId="13" xfId="0" applyBorder="1"/>
    <xf numFmtId="0" fontId="26" fillId="0" borderId="9" xfId="122" applyFont="1" applyFill="1" applyBorder="1" applyAlignment="1">
      <alignment horizontal="right"/>
    </xf>
    <xf numFmtId="164" fontId="28" fillId="0" borderId="0" xfId="0" applyNumberFormat="1" applyFont="1"/>
    <xf numFmtId="0" fontId="57" fillId="0" borderId="8" xfId="0" applyFont="1" applyBorder="1" applyAlignment="1">
      <alignment horizontal="left"/>
    </xf>
    <xf numFmtId="0" fontId="57" fillId="0" borderId="14" xfId="0" applyFont="1" applyBorder="1" applyAlignment="1">
      <alignment horizontal="left"/>
    </xf>
    <xf numFmtId="164" fontId="18" fillId="0" borderId="0" xfId="1" applyNumberFormat="1" applyFont="1" applyFill="1" applyBorder="1"/>
    <xf numFmtId="166" fontId="18" fillId="0" borderId="0" xfId="5" applyNumberFormat="1" applyFont="1" applyFill="1" applyBorder="1"/>
    <xf numFmtId="0" fontId="57" fillId="0" borderId="0" xfId="0" applyFont="1"/>
    <xf numFmtId="0" fontId="43" fillId="0" borderId="7" xfId="122" applyFont="1" applyFill="1" applyBorder="1"/>
    <xf numFmtId="9" fontId="61" fillId="15" borderId="7" xfId="8" applyNumberFormat="1" applyFont="1" applyFill="1" applyBorder="1" applyAlignment="1">
      <alignment vertical="center"/>
    </xf>
    <xf numFmtId="9" fontId="61" fillId="15" borderId="11" xfId="8" applyNumberFormat="1" applyFont="1" applyFill="1" applyBorder="1" applyAlignment="1">
      <alignment vertical="center"/>
    </xf>
    <xf numFmtId="0" fontId="13" fillId="0" borderId="0" xfId="0" applyFont="1"/>
    <xf numFmtId="0" fontId="17" fillId="0" borderId="8" xfId="0" applyFont="1" applyBorder="1"/>
    <xf numFmtId="0" fontId="13" fillId="0" borderId="6" xfId="0" applyFont="1" applyBorder="1"/>
    <xf numFmtId="0" fontId="13" fillId="0" borderId="9" xfId="0" applyFont="1" applyBorder="1"/>
    <xf numFmtId="17" fontId="60" fillId="0" borderId="0" xfId="0" quotePrefix="1" applyNumberFormat="1" applyFont="1" applyAlignment="1">
      <alignment horizontal="left"/>
    </xf>
    <xf numFmtId="0" fontId="16" fillId="0" borderId="2" xfId="0" applyFont="1" applyFill="1" applyBorder="1"/>
    <xf numFmtId="0" fontId="16" fillId="0" borderId="7" xfId="0" applyFont="1" applyFill="1" applyBorder="1"/>
    <xf numFmtId="164" fontId="16" fillId="0" borderId="5" xfId="1" applyNumberFormat="1" applyFont="1" applyBorder="1"/>
    <xf numFmtId="164" fontId="16" fillId="0" borderId="8" xfId="1" applyNumberFormat="1" applyFont="1" applyBorder="1"/>
    <xf numFmtId="9" fontId="16" fillId="0" borderId="10" xfId="8" applyFont="1" applyBorder="1"/>
    <xf numFmtId="0" fontId="16" fillId="0" borderId="5" xfId="0" applyFont="1" applyBorder="1"/>
    <xf numFmtId="9" fontId="16" fillId="0" borderId="8" xfId="8" applyFont="1" applyBorder="1"/>
    <xf numFmtId="0" fontId="13" fillId="0" borderId="1" xfId="0" applyFont="1" applyBorder="1"/>
    <xf numFmtId="0" fontId="13" fillId="0" borderId="4" xfId="0" applyFont="1" applyBorder="1"/>
    <xf numFmtId="44" fontId="39" fillId="0" borderId="0" xfId="0" applyNumberFormat="1" applyFont="1"/>
    <xf numFmtId="169" fontId="39" fillId="0" borderId="0" xfId="5" applyNumberFormat="1" applyFont="1"/>
    <xf numFmtId="0" fontId="39" fillId="0" borderId="0" xfId="0" applyFont="1" applyAlignment="1">
      <alignment horizontal="center"/>
    </xf>
    <xf numFmtId="0" fontId="63" fillId="0" borderId="0" xfId="0" applyFont="1"/>
    <xf numFmtId="43" fontId="39" fillId="0" borderId="0" xfId="1" applyFont="1"/>
    <xf numFmtId="164" fontId="16" fillId="0" borderId="5" xfId="0" applyNumberFormat="1" applyFont="1" applyFill="1" applyBorder="1"/>
    <xf numFmtId="164" fontId="16" fillId="0" borderId="8" xfId="0" applyNumberFormat="1" applyFont="1" applyFill="1" applyBorder="1"/>
    <xf numFmtId="44" fontId="39" fillId="0" borderId="0" xfId="5" applyNumberFormat="1" applyFont="1"/>
    <xf numFmtId="164" fontId="16" fillId="0" borderId="10" xfId="1" applyNumberFormat="1" applyFont="1" applyBorder="1"/>
    <xf numFmtId="164" fontId="16" fillId="0" borderId="6" xfId="1" applyNumberFormat="1" applyFont="1" applyBorder="1"/>
    <xf numFmtId="0" fontId="23" fillId="0" borderId="12" xfId="0" applyFont="1" applyBorder="1" applyAlignment="1">
      <alignment horizontal="right"/>
    </xf>
    <xf numFmtId="0" fontId="23" fillId="0" borderId="13" xfId="0" applyFont="1" applyBorder="1" applyAlignment="1">
      <alignment horizontal="right"/>
    </xf>
    <xf numFmtId="0" fontId="23" fillId="0" borderId="14" xfId="0" applyFont="1" applyBorder="1" applyAlignment="1">
      <alignment horizontal="right"/>
    </xf>
    <xf numFmtId="0" fontId="23" fillId="0" borderId="12" xfId="0" applyFont="1" applyBorder="1" applyAlignment="1">
      <alignment horizontal="center"/>
    </xf>
    <xf numFmtId="17" fontId="23" fillId="0" borderId="13" xfId="0" applyNumberFormat="1" applyFont="1" applyBorder="1" applyAlignment="1">
      <alignment horizontal="center"/>
    </xf>
    <xf numFmtId="0" fontId="54" fillId="8" borderId="11" xfId="0" quotePrefix="1" applyFont="1" applyFill="1" applyBorder="1" applyAlignment="1">
      <alignment horizontal="left" vertical="center"/>
    </xf>
    <xf numFmtId="17" fontId="23" fillId="0" borderId="14" xfId="0" applyNumberFormat="1" applyFont="1" applyBorder="1" applyAlignment="1">
      <alignment horizontal="center"/>
    </xf>
    <xf numFmtId="167" fontId="50" fillId="0" borderId="15" xfId="8" applyNumberFormat="1" applyFont="1" applyFill="1" applyBorder="1" applyAlignment="1">
      <alignment horizontal="center" vertical="center"/>
    </xf>
    <xf numFmtId="0" fontId="10" fillId="0" borderId="15" xfId="0" applyFont="1" applyBorder="1" applyAlignment="1">
      <alignment horizontal="center" vertical="center"/>
    </xf>
    <xf numFmtId="0" fontId="50" fillId="0" borderId="0" xfId="0" quotePrefix="1" applyFont="1"/>
    <xf numFmtId="0" fontId="43" fillId="0" borderId="11" xfId="122" applyFont="1" applyFill="1" applyBorder="1"/>
    <xf numFmtId="0" fontId="30" fillId="0" borderId="13" xfId="117" applyFont="1" applyBorder="1"/>
    <xf numFmtId="0" fontId="43" fillId="0" borderId="0" xfId="0" applyFont="1"/>
    <xf numFmtId="0" fontId="35" fillId="0" borderId="12" xfId="0" applyFont="1" applyFill="1" applyBorder="1" applyAlignment="1"/>
    <xf numFmtId="0" fontId="35" fillId="0" borderId="10" xfId="0" applyFont="1" applyFill="1" applyBorder="1" applyAlignment="1"/>
    <xf numFmtId="0" fontId="35" fillId="0" borderId="6" xfId="0" applyFont="1" applyFill="1" applyBorder="1" applyAlignment="1"/>
    <xf numFmtId="170" fontId="18" fillId="0" borderId="0" xfId="0" applyNumberFormat="1" applyFont="1"/>
    <xf numFmtId="0" fontId="39" fillId="0" borderId="0" xfId="0" applyFont="1" applyFill="1"/>
    <xf numFmtId="0" fontId="63" fillId="0" borderId="0" xfId="0" applyFont="1" applyFill="1"/>
    <xf numFmtId="0" fontId="18" fillId="0" borderId="6" xfId="117" applyFont="1" applyFill="1" applyBorder="1" applyAlignment="1"/>
    <xf numFmtId="0" fontId="18" fillId="0" borderId="10" xfId="117" applyFont="1" applyFill="1" applyBorder="1" applyAlignment="1"/>
    <xf numFmtId="0" fontId="18" fillId="0" borderId="12" xfId="117" applyFont="1" applyFill="1" applyBorder="1" applyAlignment="1"/>
    <xf numFmtId="0" fontId="18" fillId="0" borderId="9" xfId="117" applyFont="1" applyFill="1" applyBorder="1" applyAlignment="1"/>
    <xf numFmtId="0" fontId="18" fillId="0" borderId="0" xfId="117" applyFont="1" applyFill="1" applyBorder="1" applyAlignment="1"/>
    <xf numFmtId="0" fontId="18" fillId="0" borderId="13" xfId="117" applyFont="1" applyFill="1" applyBorder="1" applyAlignment="1"/>
    <xf numFmtId="0" fontId="18" fillId="0" borderId="5" xfId="117" applyFont="1" applyFill="1" applyBorder="1" applyAlignment="1"/>
    <xf numFmtId="0" fontId="18" fillId="0" borderId="8" xfId="117" applyFont="1" applyFill="1" applyBorder="1" applyAlignment="1"/>
    <xf numFmtId="0" fontId="18" fillId="0" borderId="14" xfId="117" applyFont="1" applyFill="1" applyBorder="1" applyAlignment="1"/>
    <xf numFmtId="164" fontId="18" fillId="0" borderId="0" xfId="1" applyNumberFormat="1" applyFont="1"/>
    <xf numFmtId="164" fontId="18" fillId="0" borderId="0" xfId="0" applyNumberFormat="1" applyFont="1"/>
    <xf numFmtId="0" fontId="21" fillId="0" borderId="9" xfId="117" applyBorder="1"/>
    <xf numFmtId="0" fontId="21" fillId="0" borderId="0" xfId="117" applyBorder="1"/>
    <xf numFmtId="0" fontId="21" fillId="0" borderId="13" xfId="117" applyBorder="1"/>
    <xf numFmtId="0" fontId="47" fillId="0" borderId="9" xfId="117" applyFont="1" applyBorder="1"/>
    <xf numFmtId="0" fontId="21" fillId="0" borderId="5" xfId="117" applyBorder="1"/>
    <xf numFmtId="0" fontId="21" fillId="0" borderId="8" xfId="117" applyBorder="1"/>
    <xf numFmtId="0" fontId="21" fillId="0" borderId="14" xfId="117" applyBorder="1"/>
    <xf numFmtId="0" fontId="19" fillId="0" borderId="2" xfId="117" applyFont="1" applyFill="1" applyBorder="1" applyAlignment="1">
      <alignment horizontal="left" vertical="center"/>
    </xf>
    <xf numFmtId="0" fontId="19" fillId="0" borderId="7" xfId="117" applyFont="1" applyFill="1" applyBorder="1" applyAlignment="1">
      <alignment horizontal="left" vertical="center"/>
    </xf>
    <xf numFmtId="0" fontId="19" fillId="0" borderId="11" xfId="117" applyFont="1" applyFill="1" applyBorder="1" applyAlignment="1">
      <alignment horizontal="left" vertical="center"/>
    </xf>
    <xf numFmtId="0" fontId="13" fillId="0" borderId="0" xfId="117" applyFont="1"/>
    <xf numFmtId="0" fontId="64" fillId="0" borderId="0" xfId="117" applyFont="1"/>
    <xf numFmtId="0" fontId="41" fillId="0" borderId="0" xfId="117" applyFont="1" applyFill="1" applyBorder="1" applyAlignment="1">
      <alignment vertical="center"/>
    </xf>
    <xf numFmtId="0" fontId="36" fillId="0" borderId="0" xfId="0" applyFont="1" applyBorder="1"/>
    <xf numFmtId="164" fontId="35" fillId="0" borderId="10" xfId="1" applyNumberFormat="1" applyFont="1" applyBorder="1"/>
    <xf numFmtId="164" fontId="35" fillId="0" borderId="0" xfId="1" applyNumberFormat="1" applyFont="1" applyBorder="1"/>
    <xf numFmtId="164" fontId="35" fillId="0" borderId="8" xfId="1" applyNumberFormat="1" applyFont="1" applyBorder="1"/>
    <xf numFmtId="164" fontId="39" fillId="0" borderId="0" xfId="0" applyNumberFormat="1" applyFont="1" applyBorder="1"/>
    <xf numFmtId="0" fontId="18" fillId="0" borderId="7" xfId="0" applyFont="1" applyFill="1" applyBorder="1"/>
    <xf numFmtId="0" fontId="30" fillId="0" borderId="3" xfId="133" applyFont="1" applyFill="1" applyBorder="1"/>
    <xf numFmtId="0" fontId="35" fillId="0" borderId="0" xfId="0" quotePrefix="1" applyFont="1" applyFill="1" applyBorder="1" applyAlignment="1"/>
    <xf numFmtId="165" fontId="35" fillId="0" borderId="0" xfId="5" applyNumberFormat="1" applyFont="1" applyFill="1" applyBorder="1" applyAlignment="1"/>
    <xf numFmtId="0" fontId="8" fillId="0" borderId="0" xfId="0" applyFont="1"/>
    <xf numFmtId="9" fontId="8" fillId="0" borderId="0" xfId="8" applyFont="1"/>
    <xf numFmtId="0" fontId="8" fillId="0" borderId="2" xfId="0" applyFont="1" applyBorder="1"/>
    <xf numFmtId="164" fontId="8" fillId="0" borderId="0" xfId="1" applyNumberFormat="1" applyFont="1" applyBorder="1"/>
    <xf numFmtId="0" fontId="8" fillId="0" borderId="6" xfId="0" applyFont="1" applyBorder="1"/>
    <xf numFmtId="0" fontId="8" fillId="0" borderId="10" xfId="0" applyFont="1" applyBorder="1"/>
    <xf numFmtId="0" fontId="8" fillId="0" borderId="9" xfId="0" applyFont="1" applyBorder="1"/>
    <xf numFmtId="0" fontId="8" fillId="0" borderId="0" xfId="0" applyFont="1" applyBorder="1"/>
    <xf numFmtId="164" fontId="8" fillId="0" borderId="0" xfId="1" applyNumberFormat="1" applyFont="1"/>
    <xf numFmtId="165" fontId="8" fillId="0" borderId="0" xfId="5" applyNumberFormat="1" applyFont="1" applyBorder="1"/>
    <xf numFmtId="165" fontId="8" fillId="0" borderId="0" xfId="5" applyNumberFormat="1" applyFont="1" applyFill="1" applyBorder="1"/>
    <xf numFmtId="165" fontId="8" fillId="0" borderId="0" xfId="5" applyNumberFormat="1" applyFont="1"/>
    <xf numFmtId="166" fontId="8" fillId="0" borderId="9" xfId="5" applyNumberFormat="1" applyFont="1" applyFill="1" applyBorder="1"/>
    <xf numFmtId="166" fontId="8" fillId="0" borderId="0" xfId="5" applyNumberFormat="1" applyFont="1" applyFill="1" applyBorder="1"/>
    <xf numFmtId="0" fontId="8" fillId="6" borderId="0" xfId="0" applyFont="1" applyFill="1" applyAlignment="1">
      <alignment horizontal="center"/>
    </xf>
    <xf numFmtId="0" fontId="8" fillId="0" borderId="0" xfId="0" applyFont="1" applyFill="1" applyAlignment="1">
      <alignment horizontal="center"/>
    </xf>
    <xf numFmtId="9" fontId="39" fillId="0" borderId="0" xfId="8" applyFont="1"/>
    <xf numFmtId="0" fontId="8" fillId="0" borderId="3" xfId="0" applyFont="1" applyBorder="1"/>
    <xf numFmtId="164" fontId="18" fillId="0" borderId="8" xfId="1" applyNumberFormat="1" applyFont="1" applyFill="1" applyBorder="1"/>
    <xf numFmtId="164" fontId="18" fillId="0" borderId="10" xfId="1" applyNumberFormat="1" applyFont="1" applyFill="1" applyBorder="1"/>
    <xf numFmtId="0" fontId="18" fillId="0" borderId="0" xfId="0" applyFont="1" applyFill="1"/>
    <xf numFmtId="0" fontId="8" fillId="0" borderId="15" xfId="0" applyFont="1" applyBorder="1" applyAlignment="1">
      <alignment horizontal="center"/>
    </xf>
    <xf numFmtId="0" fontId="8" fillId="0" borderId="0" xfId="0" applyFont="1" applyFill="1"/>
    <xf numFmtId="164" fontId="8" fillId="0" borderId="0" xfId="0" applyNumberFormat="1" applyFont="1"/>
    <xf numFmtId="9" fontId="8" fillId="0" borderId="0" xfId="8" applyFont="1" applyFill="1"/>
    <xf numFmtId="164" fontId="8" fillId="0" borderId="15" xfId="1" applyNumberFormat="1" applyFont="1" applyBorder="1"/>
    <xf numFmtId="0" fontId="8" fillId="0" borderId="15" xfId="0" applyFont="1" applyBorder="1"/>
    <xf numFmtId="0" fontId="8" fillId="0" borderId="5" xfId="0" applyFont="1" applyBorder="1"/>
    <xf numFmtId="0" fontId="8" fillId="0" borderId="8" xfId="0" applyFont="1" applyBorder="1"/>
    <xf numFmtId="0" fontId="8" fillId="0" borderId="14" xfId="0" applyFont="1" applyBorder="1"/>
    <xf numFmtId="0" fontId="8" fillId="0" borderId="13" xfId="0" applyFont="1" applyBorder="1"/>
    <xf numFmtId="0" fontId="60" fillId="0" borderId="0" xfId="0" applyFont="1"/>
    <xf numFmtId="166" fontId="35" fillId="0" borderId="0" xfId="5" applyNumberFormat="1" applyFont="1" applyFill="1" applyBorder="1"/>
    <xf numFmtId="166" fontId="35" fillId="0" borderId="8" xfId="5" applyNumberFormat="1" applyFont="1" applyFill="1" applyBorder="1"/>
    <xf numFmtId="166" fontId="35" fillId="0" borderId="10" xfId="5" applyNumberFormat="1" applyFont="1" applyFill="1" applyBorder="1"/>
    <xf numFmtId="0" fontId="23" fillId="0" borderId="0" xfId="0" applyFont="1" applyAlignment="1">
      <alignment vertical="top"/>
    </xf>
    <xf numFmtId="0" fontId="30" fillId="0" borderId="4" xfId="117" applyFont="1" applyFill="1" applyBorder="1"/>
    <xf numFmtId="0" fontId="30" fillId="0" borderId="1" xfId="133" applyFont="1" applyFill="1" applyBorder="1"/>
    <xf numFmtId="0" fontId="55" fillId="0" borderId="1" xfId="133" applyFont="1" applyFill="1" applyBorder="1"/>
    <xf numFmtId="0" fontId="30" fillId="0" borderId="15" xfId="133" applyFont="1" applyFill="1" applyBorder="1"/>
    <xf numFmtId="0" fontId="30" fillId="0" borderId="4" xfId="133" applyFont="1" applyFill="1" applyBorder="1"/>
    <xf numFmtId="0" fontId="30" fillId="0" borderId="9" xfId="133" applyFont="1" applyFill="1" applyBorder="1"/>
    <xf numFmtId="0" fontId="13" fillId="0" borderId="0" xfId="133" applyFill="1" applyAlignment="1">
      <alignment horizontal="center"/>
    </xf>
    <xf numFmtId="0" fontId="55" fillId="0" borderId="15" xfId="133" applyFont="1" applyFill="1" applyBorder="1"/>
    <xf numFmtId="0" fontId="30" fillId="0" borderId="6" xfId="133" applyFont="1" applyFill="1" applyBorder="1"/>
    <xf numFmtId="0" fontId="30" fillId="0" borderId="5" xfId="133" applyFont="1" applyFill="1" applyBorder="1"/>
    <xf numFmtId="0" fontId="30" fillId="0" borderId="5" xfId="117" applyFont="1" applyFill="1" applyBorder="1"/>
    <xf numFmtId="0" fontId="66" fillId="0" borderId="3" xfId="117" applyFont="1" applyFill="1" applyBorder="1"/>
    <xf numFmtId="0" fontId="66" fillId="0" borderId="1" xfId="133" applyFont="1" applyFill="1" applyBorder="1"/>
    <xf numFmtId="0" fontId="66" fillId="0" borderId="4" xfId="133" applyFont="1" applyFill="1" applyBorder="1"/>
    <xf numFmtId="0" fontId="66" fillId="0" borderId="15" xfId="117" applyFont="1" applyFill="1" applyBorder="1"/>
    <xf numFmtId="0" fontId="55" fillId="0" borderId="4" xfId="133" applyFont="1" applyFill="1" applyBorder="1"/>
    <xf numFmtId="0" fontId="66" fillId="0" borderId="15" xfId="133" applyFont="1" applyFill="1" applyBorder="1"/>
    <xf numFmtId="165" fontId="17" fillId="0" borderId="0" xfId="5" applyNumberFormat="1" applyFont="1" applyFill="1"/>
    <xf numFmtId="0" fontId="8" fillId="0" borderId="8" xfId="117" applyFont="1" applyFill="1" applyBorder="1" applyAlignment="1"/>
    <xf numFmtId="0" fontId="8" fillId="0" borderId="0" xfId="0" applyFont="1" applyAlignment="1">
      <alignment horizontal="right"/>
    </xf>
    <xf numFmtId="0" fontId="8" fillId="0" borderId="5" xfId="117" applyFont="1" applyFill="1" applyBorder="1" applyAlignment="1"/>
    <xf numFmtId="0" fontId="8" fillId="0" borderId="14" xfId="117" applyFont="1" applyFill="1" applyBorder="1" applyAlignment="1"/>
    <xf numFmtId="0" fontId="8" fillId="0" borderId="9" xfId="117" applyFont="1" applyBorder="1" applyAlignment="1"/>
    <xf numFmtId="0" fontId="8" fillId="0" borderId="0" xfId="117" applyFont="1" applyBorder="1" applyAlignment="1"/>
    <xf numFmtId="0" fontId="67" fillId="0" borderId="0" xfId="0" applyFont="1" applyFill="1" applyAlignment="1">
      <alignment horizontal="center"/>
    </xf>
    <xf numFmtId="0" fontId="49" fillId="0" borderId="1" xfId="117" applyFont="1" applyFill="1" applyBorder="1"/>
    <xf numFmtId="0" fontId="68" fillId="0" borderId="0" xfId="0" applyFont="1" applyFill="1" applyAlignment="1">
      <alignment horizontal="center"/>
    </xf>
    <xf numFmtId="0" fontId="49" fillId="0" borderId="4" xfId="117" applyFont="1" applyFill="1" applyBorder="1"/>
    <xf numFmtId="0" fontId="69" fillId="0" borderId="4" xfId="0" applyFont="1" applyFill="1" applyBorder="1" applyAlignment="1">
      <alignment horizontal="center"/>
    </xf>
    <xf numFmtId="0" fontId="49" fillId="0" borderId="3" xfId="117" applyFont="1" applyFill="1" applyBorder="1"/>
    <xf numFmtId="0" fontId="49" fillId="0" borderId="9" xfId="117" applyFont="1" applyFill="1" applyBorder="1"/>
    <xf numFmtId="0" fontId="68" fillId="0" borderId="4" xfId="0" applyFont="1" applyFill="1" applyBorder="1" applyAlignment="1">
      <alignment horizontal="center"/>
    </xf>
    <xf numFmtId="0" fontId="69" fillId="0" borderId="0" xfId="0" applyFont="1" applyFill="1" applyAlignment="1">
      <alignment horizontal="center"/>
    </xf>
    <xf numFmtId="0" fontId="49" fillId="0" borderId="3" xfId="0" applyFont="1" applyFill="1" applyBorder="1" applyAlignment="1">
      <alignment horizontal="left" vertical="center"/>
    </xf>
    <xf numFmtId="0" fontId="49" fillId="0" borderId="15" xfId="117" applyFont="1" applyFill="1" applyBorder="1"/>
    <xf numFmtId="0" fontId="49" fillId="0" borderId="2" xfId="117" applyFont="1" applyFill="1" applyBorder="1"/>
    <xf numFmtId="0" fontId="69" fillId="0" borderId="2" xfId="0" applyFont="1" applyFill="1" applyBorder="1" applyAlignment="1">
      <alignment horizontal="center"/>
    </xf>
    <xf numFmtId="0" fontId="70" fillId="0" borderId="0" xfId="117" applyFont="1"/>
    <xf numFmtId="0" fontId="49" fillId="0" borderId="1" xfId="0" applyFont="1" applyFill="1" applyBorder="1" applyAlignment="1">
      <alignment horizontal="left" vertical="center"/>
    </xf>
    <xf numFmtId="0" fontId="68" fillId="0" borderId="1" xfId="0" applyFont="1" applyFill="1" applyBorder="1" applyAlignment="1">
      <alignment horizontal="center"/>
    </xf>
    <xf numFmtId="0" fontId="68" fillId="0" borderId="3" xfId="0" applyFont="1" applyFill="1" applyBorder="1" applyAlignment="1">
      <alignment horizontal="center"/>
    </xf>
    <xf numFmtId="0" fontId="69" fillId="0" borderId="3" xfId="0" applyFont="1" applyFill="1" applyBorder="1" applyAlignment="1">
      <alignment horizontal="center"/>
    </xf>
    <xf numFmtId="0" fontId="49" fillId="0" borderId="3" xfId="117" applyFont="1" applyFill="1" applyBorder="1" applyAlignment="1">
      <alignment horizontal="center"/>
    </xf>
    <xf numFmtId="0" fontId="49" fillId="0" borderId="1" xfId="117" applyFont="1" applyFill="1" applyBorder="1" applyAlignment="1">
      <alignment horizontal="center"/>
    </xf>
    <xf numFmtId="0" fontId="49" fillId="0" borderId="4" xfId="117" applyFont="1" applyFill="1" applyBorder="1" applyAlignment="1">
      <alignment horizontal="center"/>
    </xf>
    <xf numFmtId="0" fontId="49" fillId="0" borderId="15" xfId="117" applyFont="1" applyFill="1" applyBorder="1" applyAlignment="1">
      <alignment horizontal="center"/>
    </xf>
    <xf numFmtId="0" fontId="47" fillId="0" borderId="0" xfId="117" applyFont="1"/>
    <xf numFmtId="44" fontId="18" fillId="0" borderId="0" xfId="0" applyNumberFormat="1" applyFont="1"/>
    <xf numFmtId="0" fontId="69" fillId="0" borderId="1" xfId="0" applyFont="1" applyFill="1" applyBorder="1" applyAlignment="1">
      <alignment horizontal="center"/>
    </xf>
    <xf numFmtId="168" fontId="39" fillId="0" borderId="10" xfId="1" applyNumberFormat="1" applyFont="1" applyBorder="1"/>
    <xf numFmtId="165" fontId="18" fillId="0" borderId="10" xfId="5" applyNumberFormat="1" applyFont="1" applyFill="1" applyBorder="1"/>
    <xf numFmtId="0" fontId="8" fillId="0" borderId="1" xfId="0" applyFont="1" applyBorder="1"/>
    <xf numFmtId="165" fontId="17" fillId="0" borderId="10" xfId="5" applyNumberFormat="1" applyFont="1" applyFill="1" applyBorder="1"/>
    <xf numFmtId="165" fontId="17" fillId="0" borderId="8" xfId="5" applyNumberFormat="1" applyFont="1" applyFill="1" applyBorder="1"/>
    <xf numFmtId="0" fontId="18" fillId="0" borderId="2" xfId="117" applyFont="1" applyFill="1" applyBorder="1" applyAlignment="1">
      <alignment horizontal="left" vertical="center"/>
    </xf>
    <xf numFmtId="0" fontId="18" fillId="0" borderId="7" xfId="117" applyFont="1" applyFill="1" applyBorder="1" applyAlignment="1">
      <alignment horizontal="left" vertical="center"/>
    </xf>
    <xf numFmtId="0" fontId="18" fillId="0" borderId="11" xfId="117" applyFont="1" applyFill="1" applyBorder="1" applyAlignment="1">
      <alignment horizontal="left" vertical="center"/>
    </xf>
    <xf numFmtId="0" fontId="17" fillId="0" borderId="0" xfId="0" applyFont="1" applyFill="1"/>
    <xf numFmtId="165" fontId="17" fillId="0" borderId="5" xfId="5" applyNumberFormat="1" applyFont="1" applyFill="1" applyBorder="1"/>
    <xf numFmtId="0" fontId="8" fillId="0" borderId="0" xfId="117" applyFont="1" applyFill="1" applyBorder="1" applyAlignment="1"/>
    <xf numFmtId="165" fontId="17" fillId="0" borderId="0" xfId="5" applyNumberFormat="1" applyFont="1" applyFill="1" applyBorder="1"/>
    <xf numFmtId="166" fontId="17" fillId="0" borderId="0" xfId="5" applyNumberFormat="1" applyFont="1" applyFill="1" applyBorder="1"/>
    <xf numFmtId="166" fontId="17" fillId="0" borderId="0" xfId="0" applyNumberFormat="1" applyFont="1" applyFill="1" applyBorder="1"/>
    <xf numFmtId="166" fontId="17" fillId="0" borderId="0" xfId="5" applyNumberFormat="1" applyFont="1" applyBorder="1"/>
    <xf numFmtId="166" fontId="17" fillId="0" borderId="8" xfId="5" applyNumberFormat="1" applyFont="1" applyBorder="1"/>
    <xf numFmtId="165" fontId="17" fillId="0" borderId="0" xfId="0" applyNumberFormat="1" applyFont="1" applyFill="1" applyBorder="1"/>
    <xf numFmtId="165" fontId="17" fillId="0" borderId="8" xfId="0" applyNumberFormat="1" applyFont="1" applyFill="1" applyBorder="1"/>
    <xf numFmtId="0" fontId="8" fillId="0" borderId="4" xfId="0" applyFont="1" applyBorder="1"/>
    <xf numFmtId="0" fontId="8" fillId="0" borderId="3" xfId="0" applyFont="1" applyFill="1" applyBorder="1"/>
    <xf numFmtId="0" fontId="8" fillId="0" borderId="9" xfId="0" applyFont="1" applyFill="1" applyBorder="1"/>
    <xf numFmtId="0" fontId="8" fillId="0" borderId="5" xfId="0" applyFont="1" applyFill="1" applyBorder="1"/>
    <xf numFmtId="164" fontId="8" fillId="0" borderId="2" xfId="0" applyNumberFormat="1" applyFont="1" applyFill="1" applyBorder="1"/>
    <xf numFmtId="164" fontId="8" fillId="0" borderId="7" xfId="0" applyNumberFormat="1" applyFont="1" applyFill="1" applyBorder="1"/>
    <xf numFmtId="166" fontId="17" fillId="0" borderId="10" xfId="5" applyNumberFormat="1" applyFont="1" applyFill="1" applyBorder="1"/>
    <xf numFmtId="166" fontId="17" fillId="0" borderId="8" xfId="5" applyNumberFormat="1" applyFont="1" applyFill="1" applyBorder="1"/>
    <xf numFmtId="0" fontId="8" fillId="0" borderId="2" xfId="0" applyFont="1" applyFill="1" applyBorder="1"/>
    <xf numFmtId="0" fontId="8" fillId="0" borderId="7" xfId="0" applyFont="1" applyFill="1" applyBorder="1"/>
    <xf numFmtId="164" fontId="8" fillId="0" borderId="0" xfId="0" applyNumberFormat="1" applyFont="1" applyFill="1"/>
    <xf numFmtId="164" fontId="8" fillId="0" borderId="8" xfId="0" applyNumberFormat="1" applyFont="1" applyFill="1" applyBorder="1"/>
    <xf numFmtId="164" fontId="8" fillId="0" borderId="0" xfId="1" quotePrefix="1" applyNumberFormat="1" applyFont="1" applyAlignment="1">
      <alignment horizontal="right"/>
    </xf>
    <xf numFmtId="0" fontId="8" fillId="0" borderId="6" xfId="0" applyFont="1" applyFill="1" applyBorder="1"/>
    <xf numFmtId="0" fontId="8" fillId="0" borderId="10" xfId="0" applyFont="1" applyFill="1" applyBorder="1"/>
    <xf numFmtId="164" fontId="8" fillId="0" borderId="6" xfId="0" applyNumberFormat="1" applyFont="1" applyFill="1" applyBorder="1"/>
    <xf numFmtId="164" fontId="8" fillId="0" borderId="10" xfId="0" applyNumberFormat="1" applyFont="1" applyFill="1" applyBorder="1"/>
    <xf numFmtId="164" fontId="8" fillId="0" borderId="9" xfId="0" applyNumberFormat="1" applyFont="1" applyFill="1" applyBorder="1"/>
    <xf numFmtId="164" fontId="8" fillId="0" borderId="0" xfId="0" applyNumberFormat="1" applyFont="1" applyFill="1" applyBorder="1"/>
    <xf numFmtId="164" fontId="8" fillId="0" borderId="5" xfId="0" applyNumberFormat="1" applyFont="1" applyFill="1" applyBorder="1"/>
    <xf numFmtId="165" fontId="8" fillId="0" borderId="6" xfId="5" applyNumberFormat="1" applyFont="1" applyFill="1" applyBorder="1"/>
    <xf numFmtId="165" fontId="8" fillId="0" borderId="10" xfId="5" applyNumberFormat="1" applyFont="1" applyFill="1" applyBorder="1"/>
    <xf numFmtId="165" fontId="8" fillId="0" borderId="9" xfId="5" applyNumberFormat="1" applyFont="1" applyFill="1" applyBorder="1"/>
    <xf numFmtId="165" fontId="8" fillId="0" borderId="5" xfId="5" applyNumberFormat="1" applyFont="1" applyFill="1" applyBorder="1"/>
    <xf numFmtId="165" fontId="8" fillId="0" borderId="8" xfId="5" applyNumberFormat="1" applyFont="1" applyFill="1" applyBorder="1"/>
    <xf numFmtId="0" fontId="8" fillId="6" borderId="10" xfId="0" applyFont="1" applyFill="1" applyBorder="1"/>
    <xf numFmtId="0" fontId="0" fillId="6" borderId="10" xfId="0" applyFill="1" applyBorder="1"/>
    <xf numFmtId="164" fontId="8" fillId="6" borderId="0" xfId="0" applyNumberFormat="1" applyFont="1" applyFill="1"/>
    <xf numFmtId="0" fontId="8" fillId="7" borderId="0" xfId="0" applyFont="1" applyFill="1"/>
    <xf numFmtId="164" fontId="8" fillId="7" borderId="0" xfId="0" applyNumberFormat="1" applyFont="1" applyFill="1" applyBorder="1"/>
    <xf numFmtId="0" fontId="8" fillId="7" borderId="0" xfId="0" applyFont="1" applyFill="1" applyAlignment="1">
      <alignment horizontal="center"/>
    </xf>
    <xf numFmtId="164" fontId="8" fillId="7" borderId="0" xfId="0" applyNumberFormat="1" applyFont="1" applyFill="1"/>
    <xf numFmtId="0" fontId="8" fillId="0" borderId="0" xfId="0" applyFont="1" applyAlignment="1">
      <alignment vertical="center" wrapText="1"/>
    </xf>
    <xf numFmtId="164" fontId="8" fillId="0" borderId="0" xfId="8" applyNumberFormat="1" applyFont="1"/>
    <xf numFmtId="0" fontId="8" fillId="0" borderId="0" xfId="0" applyFont="1" applyAlignment="1">
      <alignment horizontal="right" vertical="center"/>
    </xf>
    <xf numFmtId="166" fontId="8" fillId="0" borderId="6" xfId="5" applyNumberFormat="1" applyFont="1" applyFill="1" applyBorder="1"/>
    <xf numFmtId="166" fontId="8" fillId="0" borderId="10" xfId="5" applyNumberFormat="1" applyFont="1" applyFill="1" applyBorder="1"/>
    <xf numFmtId="166" fontId="8" fillId="0" borderId="5" xfId="5" applyNumberFormat="1" applyFont="1" applyFill="1" applyBorder="1"/>
    <xf numFmtId="166" fontId="8" fillId="0" borderId="8" xfId="5" applyNumberFormat="1" applyFont="1" applyFill="1" applyBorder="1"/>
    <xf numFmtId="0" fontId="34" fillId="0" borderId="0" xfId="0" applyFont="1" applyFill="1"/>
    <xf numFmtId="14" fontId="0" fillId="3" borderId="0" xfId="0" applyNumberFormat="1" applyFill="1"/>
    <xf numFmtId="0" fontId="28" fillId="3" borderId="0" xfId="0" applyFont="1" applyFill="1"/>
    <xf numFmtId="0" fontId="8" fillId="0" borderId="5" xfId="117" applyFont="1" applyBorder="1" applyAlignment="1"/>
    <xf numFmtId="0" fontId="68" fillId="3" borderId="0" xfId="0" applyFont="1" applyFill="1"/>
    <xf numFmtId="0" fontId="17" fillId="0" borderId="0" xfId="0" applyFont="1" applyAlignment="1">
      <alignment horizontal="center"/>
    </xf>
    <xf numFmtId="0" fontId="35" fillId="0" borderId="3" xfId="0" applyFont="1" applyFill="1" applyBorder="1" applyAlignment="1">
      <alignment horizontal="right"/>
    </xf>
    <xf numFmtId="0" fontId="13" fillId="0" borderId="3" xfId="0" applyFont="1" applyBorder="1" applyAlignment="1">
      <alignment horizontal="right"/>
    </xf>
    <xf numFmtId="166" fontId="17" fillId="0" borderId="7" xfId="5" applyNumberFormat="1" applyFont="1" applyBorder="1"/>
    <xf numFmtId="166" fontId="35" fillId="0" borderId="9" xfId="5" applyNumberFormat="1" applyFont="1" applyFill="1" applyBorder="1"/>
    <xf numFmtId="0" fontId="40" fillId="0" borderId="6" xfId="117" applyFont="1" applyBorder="1"/>
    <xf numFmtId="0" fontId="21" fillId="0" borderId="10" xfId="117" applyBorder="1"/>
    <xf numFmtId="0" fontId="21" fillId="0" borderId="12" xfId="117" applyBorder="1"/>
    <xf numFmtId="0" fontId="35" fillId="0" borderId="9" xfId="117" applyFont="1" applyBorder="1"/>
    <xf numFmtId="0" fontId="66" fillId="0" borderId="4" xfId="117" applyFont="1" applyFill="1" applyBorder="1"/>
    <xf numFmtId="0" fontId="30" fillId="0" borderId="15" xfId="117" applyFont="1" applyFill="1" applyBorder="1"/>
    <xf numFmtId="0" fontId="30" fillId="0" borderId="11" xfId="117" applyFont="1" applyFill="1" applyBorder="1"/>
    <xf numFmtId="0" fontId="30" fillId="0" borderId="14" xfId="117" applyFont="1" applyFill="1" applyBorder="1"/>
    <xf numFmtId="0" fontId="67" fillId="0" borderId="8" xfId="0" applyFont="1" applyFill="1" applyBorder="1" applyAlignment="1">
      <alignment horizontal="center"/>
    </xf>
    <xf numFmtId="0" fontId="30" fillId="0" borderId="3" xfId="0" applyFont="1" applyFill="1" applyBorder="1" applyAlignment="1">
      <alignment horizontal="left" vertical="center"/>
    </xf>
    <xf numFmtId="0" fontId="30" fillId="0" borderId="13" xfId="117" applyFont="1" applyFill="1" applyBorder="1"/>
    <xf numFmtId="0" fontId="57" fillId="4" borderId="15" xfId="117" applyFont="1" applyFill="1" applyBorder="1" applyAlignment="1">
      <alignment vertical="center"/>
    </xf>
    <xf numFmtId="0" fontId="30" fillId="0" borderId="12" xfId="117" applyFont="1" applyBorder="1"/>
    <xf numFmtId="0" fontId="18" fillId="0" borderId="15" xfId="117" applyFont="1" applyFill="1" applyBorder="1" applyAlignment="1">
      <alignment horizontal="left" vertical="center"/>
    </xf>
    <xf numFmtId="0" fontId="5" fillId="0" borderId="5" xfId="117" applyFont="1" applyBorder="1"/>
    <xf numFmtId="0" fontId="13" fillId="0" borderId="3" xfId="0" applyFont="1" applyBorder="1"/>
    <xf numFmtId="165" fontId="16" fillId="0" borderId="8" xfId="5" applyNumberFormat="1" applyFont="1" applyFill="1" applyBorder="1"/>
    <xf numFmtId="164" fontId="35" fillId="0" borderId="0" xfId="1" applyNumberFormat="1" applyFont="1" applyFill="1" applyBorder="1" applyAlignment="1"/>
    <xf numFmtId="166" fontId="8" fillId="0" borderId="0" xfId="0" applyNumberFormat="1" applyFont="1"/>
    <xf numFmtId="0" fontId="33" fillId="0" borderId="0" xfId="117" applyFont="1" applyFill="1"/>
    <xf numFmtId="164" fontId="18" fillId="0" borderId="0" xfId="0" applyNumberFormat="1" applyFont="1" applyFill="1"/>
    <xf numFmtId="0" fontId="19" fillId="0" borderId="7" xfId="0" applyFont="1" applyFill="1" applyBorder="1"/>
    <xf numFmtId="165" fontId="18" fillId="0" borderId="8" xfId="5" applyNumberFormat="1" applyFont="1" applyFill="1" applyBorder="1"/>
    <xf numFmtId="170" fontId="18" fillId="0" borderId="0" xfId="0" applyNumberFormat="1" applyFont="1" applyFill="1"/>
    <xf numFmtId="166" fontId="18" fillId="0" borderId="8" xfId="5" applyNumberFormat="1" applyFont="1" applyFill="1" applyBorder="1"/>
    <xf numFmtId="166" fontId="18" fillId="0" borderId="10" xfId="5" applyNumberFormat="1" applyFont="1" applyFill="1" applyBorder="1"/>
    <xf numFmtId="0" fontId="66" fillId="0" borderId="3" xfId="133" applyFont="1" applyFill="1" applyBorder="1"/>
    <xf numFmtId="0" fontId="72" fillId="0" borderId="0" xfId="133" applyFont="1"/>
    <xf numFmtId="0" fontId="72" fillId="0" borderId="0" xfId="117" applyFont="1"/>
    <xf numFmtId="0" fontId="35" fillId="0" borderId="0" xfId="117" applyFont="1"/>
    <xf numFmtId="0" fontId="35" fillId="0" borderId="0" xfId="117" applyFont="1" applyBorder="1"/>
    <xf numFmtId="0" fontId="35" fillId="0" borderId="8" xfId="117" applyFont="1" applyBorder="1"/>
    <xf numFmtId="0" fontId="74" fillId="4" borderId="0" xfId="117" applyFont="1" applyFill="1" applyBorder="1" applyAlignment="1">
      <alignment vertical="center"/>
    </xf>
    <xf numFmtId="0" fontId="56" fillId="0" borderId="0" xfId="117" applyFont="1" applyFill="1" applyBorder="1" applyAlignment="1">
      <alignment horizontal="center"/>
    </xf>
    <xf numFmtId="0" fontId="55" fillId="0" borderId="1" xfId="133" applyFont="1" applyFill="1" applyBorder="1" applyAlignment="1">
      <alignment horizontal="left"/>
    </xf>
    <xf numFmtId="0" fontId="73" fillId="4" borderId="15" xfId="117" applyFont="1" applyFill="1" applyBorder="1" applyAlignment="1">
      <alignment horizontal="left" vertical="center"/>
    </xf>
    <xf numFmtId="0" fontId="68" fillId="0" borderId="1" xfId="117" applyFont="1" applyFill="1" applyBorder="1" applyAlignment="1">
      <alignment horizontal="left"/>
    </xf>
    <xf numFmtId="0" fontId="68" fillId="0" borderId="3" xfId="117" applyFont="1" applyFill="1" applyBorder="1" applyAlignment="1">
      <alignment horizontal="left"/>
    </xf>
    <xf numFmtId="0" fontId="68" fillId="0" borderId="4" xfId="117" applyFont="1" applyFill="1" applyBorder="1" applyAlignment="1">
      <alignment horizontal="left"/>
    </xf>
    <xf numFmtId="0" fontId="68" fillId="0" borderId="15" xfId="117" applyFont="1" applyFill="1" applyBorder="1" applyAlignment="1">
      <alignment horizontal="left"/>
    </xf>
    <xf numFmtId="0" fontId="68" fillId="0" borderId="1" xfId="133" applyFont="1" applyFill="1" applyBorder="1" applyAlignment="1">
      <alignment horizontal="left"/>
    </xf>
    <xf numFmtId="0" fontId="68" fillId="0" borderId="4" xfId="133" applyFont="1" applyFill="1" applyBorder="1" applyAlignment="1">
      <alignment horizontal="left"/>
    </xf>
    <xf numFmtId="0" fontId="68" fillId="0" borderId="15" xfId="133" applyFont="1" applyFill="1" applyBorder="1" applyAlignment="1">
      <alignment horizontal="left"/>
    </xf>
    <xf numFmtId="0" fontId="56" fillId="0" borderId="3" xfId="117" applyFont="1" applyFill="1" applyBorder="1" applyAlignment="1">
      <alignment horizontal="left"/>
    </xf>
    <xf numFmtId="0" fontId="56" fillId="0" borderId="1" xfId="133" applyFont="1" applyFill="1" applyBorder="1" applyAlignment="1">
      <alignment horizontal="left"/>
    </xf>
    <xf numFmtId="0" fontId="56" fillId="0" borderId="4" xfId="133" applyFont="1" applyFill="1" applyBorder="1" applyAlignment="1">
      <alignment horizontal="left"/>
    </xf>
    <xf numFmtId="0" fontId="55" fillId="0" borderId="3" xfId="133" applyFont="1" applyFill="1" applyBorder="1" applyAlignment="1">
      <alignment horizontal="left"/>
    </xf>
    <xf numFmtId="0" fontId="55" fillId="0" borderId="1" xfId="117" applyFont="1" applyFill="1" applyBorder="1" applyAlignment="1">
      <alignment horizontal="left"/>
    </xf>
    <xf numFmtId="0" fontId="56" fillId="0" borderId="3" xfId="133" applyFont="1" applyFill="1" applyBorder="1" applyAlignment="1">
      <alignment horizontal="left"/>
    </xf>
    <xf numFmtId="0" fontId="56" fillId="0" borderId="1" xfId="117" applyFont="1" applyFill="1" applyBorder="1" applyAlignment="1">
      <alignment horizontal="left"/>
    </xf>
    <xf numFmtId="0" fontId="57" fillId="4" borderId="0" xfId="117" applyFont="1" applyFill="1" applyBorder="1" applyAlignment="1">
      <alignment vertical="center"/>
    </xf>
    <xf numFmtId="0" fontId="49" fillId="0" borderId="0" xfId="117" applyFont="1" applyFill="1" applyBorder="1" applyAlignment="1">
      <alignment horizontal="center"/>
    </xf>
    <xf numFmtId="0" fontId="56" fillId="0" borderId="4" xfId="133" applyFont="1" applyFill="1" applyBorder="1"/>
    <xf numFmtId="0" fontId="56" fillId="0" borderId="4" xfId="117" applyFont="1" applyFill="1" applyBorder="1"/>
    <xf numFmtId="0" fontId="56" fillId="0" borderId="3" xfId="117" applyFont="1" applyFill="1" applyBorder="1"/>
    <xf numFmtId="0" fontId="56" fillId="0" borderId="1" xfId="117" applyFont="1" applyFill="1" applyBorder="1"/>
    <xf numFmtId="0" fontId="56" fillId="0" borderId="15" xfId="117" applyFont="1" applyFill="1" applyBorder="1"/>
    <xf numFmtId="0" fontId="56" fillId="0" borderId="1" xfId="133" applyFont="1" applyFill="1" applyBorder="1"/>
    <xf numFmtId="0" fontId="56" fillId="0" borderId="15" xfId="133" applyFont="1" applyFill="1" applyBorder="1"/>
    <xf numFmtId="0" fontId="56" fillId="0" borderId="3" xfId="133" applyFont="1" applyFill="1" applyBorder="1"/>
    <xf numFmtId="0" fontId="56" fillId="0" borderId="13" xfId="133" applyFont="1" applyFill="1" applyBorder="1"/>
    <xf numFmtId="0" fontId="56" fillId="0" borderId="12" xfId="133" applyFont="1" applyFill="1" applyBorder="1"/>
    <xf numFmtId="0" fontId="30" fillId="0" borderId="2" xfId="133" applyFont="1" applyFill="1" applyBorder="1"/>
    <xf numFmtId="0" fontId="30" fillId="0" borderId="2" xfId="117" applyFont="1" applyFill="1" applyBorder="1"/>
    <xf numFmtId="0" fontId="55" fillId="0" borderId="3" xfId="133" applyFont="1" applyFill="1" applyBorder="1"/>
    <xf numFmtId="0" fontId="70" fillId="0" borderId="1" xfId="133" applyFont="1" applyFill="1" applyBorder="1" applyAlignment="1">
      <alignment horizontal="left"/>
    </xf>
    <xf numFmtId="0" fontId="8" fillId="0" borderId="10" xfId="117" applyFont="1" applyFill="1" applyBorder="1" applyAlignment="1"/>
    <xf numFmtId="171" fontId="39" fillId="0" borderId="0" xfId="5" applyNumberFormat="1" applyFont="1"/>
    <xf numFmtId="171" fontId="18" fillId="0" borderId="0" xfId="5" applyNumberFormat="1" applyFont="1"/>
    <xf numFmtId="0" fontId="41" fillId="0" borderId="0" xfId="117" applyFont="1"/>
    <xf numFmtId="0" fontId="63" fillId="0" borderId="0" xfId="0" applyFont="1" applyBorder="1"/>
    <xf numFmtId="0" fontId="30" fillId="0" borderId="0" xfId="117" applyFont="1" applyFill="1" applyBorder="1"/>
    <xf numFmtId="0" fontId="63" fillId="0" borderId="0" xfId="0" applyFont="1" applyFill="1" applyBorder="1"/>
    <xf numFmtId="0" fontId="72" fillId="0" borderId="0" xfId="133" quotePrefix="1" applyFont="1"/>
    <xf numFmtId="0" fontId="8" fillId="0" borderId="8" xfId="117" applyFont="1" applyBorder="1" applyAlignment="1"/>
    <xf numFmtId="43" fontId="18" fillId="0" borderId="0" xfId="0" applyNumberFormat="1" applyFont="1"/>
    <xf numFmtId="0" fontId="8" fillId="0" borderId="0" xfId="117" applyFont="1" applyFill="1"/>
    <xf numFmtId="0" fontId="8" fillId="0" borderId="0" xfId="117" quotePrefix="1" applyFont="1" applyFill="1"/>
    <xf numFmtId="168" fontId="39" fillId="0" borderId="0" xfId="1" applyNumberFormat="1" applyFont="1" applyFill="1" applyAlignment="1">
      <alignment horizontal="right"/>
    </xf>
    <xf numFmtId="43" fontId="28" fillId="0" borderId="0" xfId="1" applyFont="1"/>
    <xf numFmtId="164" fontId="8" fillId="0" borderId="0" xfId="0" applyNumberFormat="1" applyFont="1" applyBorder="1"/>
    <xf numFmtId="164" fontId="8" fillId="0" borderId="15" xfId="0" applyNumberFormat="1" applyFont="1" applyBorder="1"/>
    <xf numFmtId="44" fontId="17" fillId="0" borderId="0" xfId="5" applyNumberFormat="1" applyFont="1" applyFill="1" applyBorder="1"/>
    <xf numFmtId="0" fontId="0" fillId="0" borderId="0" xfId="0" quotePrefix="1"/>
    <xf numFmtId="164" fontId="8" fillId="0" borderId="10" xfId="1" applyNumberFormat="1" applyFont="1" applyBorder="1"/>
    <xf numFmtId="0" fontId="8" fillId="0" borderId="0" xfId="0" applyFont="1" applyFill="1" applyBorder="1"/>
    <xf numFmtId="165" fontId="8" fillId="0" borderId="10" xfId="5" applyNumberFormat="1" applyFont="1" applyBorder="1"/>
    <xf numFmtId="165" fontId="8" fillId="0" borderId="8" xfId="5" applyNumberFormat="1" applyFont="1" applyBorder="1"/>
    <xf numFmtId="0" fontId="8" fillId="0" borderId="13" xfId="164" applyFont="1" applyFill="1" applyBorder="1" applyAlignment="1"/>
    <xf numFmtId="0" fontId="35" fillId="0" borderId="10" xfId="0" quotePrefix="1" applyFont="1" applyFill="1" applyBorder="1" applyAlignment="1"/>
    <xf numFmtId="165" fontId="35" fillId="0" borderId="10" xfId="5" quotePrefix="1" applyNumberFormat="1" applyFont="1" applyFill="1" applyBorder="1" applyAlignment="1"/>
    <xf numFmtId="164" fontId="8" fillId="0" borderId="1" xfId="1" applyNumberFormat="1" applyFont="1" applyBorder="1"/>
    <xf numFmtId="0" fontId="8" fillId="0" borderId="11" xfId="0" applyFont="1" applyFill="1" applyBorder="1"/>
    <xf numFmtId="0" fontId="21" fillId="0" borderId="3" xfId="117" applyBorder="1"/>
    <xf numFmtId="0" fontId="49" fillId="0" borderId="5" xfId="117" applyFont="1" applyFill="1" applyBorder="1"/>
    <xf numFmtId="0" fontId="49" fillId="0" borderId="4" xfId="0" applyFont="1" applyFill="1" applyBorder="1" applyAlignment="1">
      <alignment horizontal="left" vertical="center"/>
    </xf>
    <xf numFmtId="0" fontId="49" fillId="0" borderId="14" xfId="117" applyFont="1" applyFill="1" applyBorder="1"/>
    <xf numFmtId="0" fontId="68" fillId="0" borderId="4" xfId="117" applyFont="1" applyFill="1" applyBorder="1" applyAlignment="1">
      <alignment horizontal="center"/>
    </xf>
    <xf numFmtId="0" fontId="68" fillId="0" borderId="14" xfId="0" applyFont="1" applyFill="1" applyBorder="1" applyAlignment="1">
      <alignment horizontal="center"/>
    </xf>
    <xf numFmtId="0" fontId="49" fillId="14" borderId="15" xfId="117" applyFont="1" applyFill="1" applyBorder="1"/>
    <xf numFmtId="0" fontId="66" fillId="14" borderId="15" xfId="117" applyFont="1" applyFill="1" applyBorder="1" applyAlignment="1">
      <alignment horizontal="center"/>
    </xf>
    <xf numFmtId="0" fontId="69" fillId="14" borderId="4" xfId="0" applyFont="1" applyFill="1" applyBorder="1" applyAlignment="1">
      <alignment horizontal="center"/>
    </xf>
    <xf numFmtId="43" fontId="8" fillId="0" borderId="0" xfId="0" applyNumberFormat="1" applyFont="1"/>
    <xf numFmtId="0" fontId="8" fillId="0" borderId="15" xfId="0" applyFont="1" applyFill="1" applyBorder="1"/>
    <xf numFmtId="0" fontId="56" fillId="3" borderId="0" xfId="0" applyFont="1" applyFill="1"/>
    <xf numFmtId="165" fontId="39" fillId="0" borderId="0" xfId="5" applyNumberFormat="1" applyFont="1"/>
    <xf numFmtId="0" fontId="41" fillId="0" borderId="0" xfId="0" applyFont="1"/>
    <xf numFmtId="0" fontId="84" fillId="0" borderId="0" xfId="0" applyFont="1" applyAlignment="1">
      <alignment horizontal="left" vertical="center" readingOrder="1"/>
    </xf>
    <xf numFmtId="164" fontId="60" fillId="0" borderId="0" xfId="1" quotePrefix="1" applyNumberFormat="1" applyFont="1" applyAlignment="1">
      <alignment horizontal="right"/>
    </xf>
    <xf numFmtId="164" fontId="60" fillId="0" borderId="0" xfId="0" applyNumberFormat="1" applyFont="1"/>
    <xf numFmtId="0" fontId="8" fillId="0" borderId="0" xfId="0" applyFont="1" applyAlignment="1">
      <alignment horizontal="left"/>
    </xf>
    <xf numFmtId="166" fontId="17" fillId="0" borderId="8" xfId="0" applyNumberFormat="1" applyFont="1" applyFill="1" applyBorder="1"/>
    <xf numFmtId="0" fontId="8" fillId="2" borderId="15" xfId="117" applyFont="1" applyFill="1" applyBorder="1" applyAlignment="1">
      <alignment horizontal="center"/>
    </xf>
    <xf numFmtId="0" fontId="8" fillId="0" borderId="12"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8" fillId="0" borderId="12" xfId="0" applyFont="1" applyBorder="1"/>
    <xf numFmtId="165" fontId="16" fillId="0" borderId="5" xfId="5" applyNumberFormat="1" applyFont="1" applyFill="1" applyBorder="1"/>
    <xf numFmtId="164" fontId="68" fillId="0" borderId="0" xfId="1" applyNumberFormat="1" applyFont="1" applyFill="1"/>
    <xf numFmtId="164" fontId="68" fillId="0" borderId="0" xfId="0" applyNumberFormat="1" applyFont="1" applyFill="1"/>
    <xf numFmtId="0" fontId="32" fillId="0" borderId="0" xfId="0" applyFont="1" applyFill="1" applyAlignment="1">
      <alignment horizontal="right"/>
    </xf>
    <xf numFmtId="164" fontId="48" fillId="0" borderId="0" xfId="0" applyNumberFormat="1" applyFont="1" applyFill="1"/>
    <xf numFmtId="0" fontId="23" fillId="0" borderId="0" xfId="0" applyFont="1" applyFill="1" applyAlignment="1">
      <alignment vertical="top"/>
    </xf>
    <xf numFmtId="165" fontId="8" fillId="0" borderId="12" xfId="5" applyNumberFormat="1" applyFont="1" applyFill="1" applyBorder="1" applyAlignment="1"/>
    <xf numFmtId="0" fontId="8" fillId="0" borderId="12" xfId="117" applyFont="1" applyFill="1" applyBorder="1" applyAlignment="1"/>
    <xf numFmtId="0" fontId="39" fillId="0" borderId="12" xfId="0" applyFont="1" applyBorder="1" applyAlignment="1">
      <alignment horizontal="right"/>
    </xf>
    <xf numFmtId="0" fontId="8" fillId="0" borderId="6" xfId="0" applyFont="1" applyBorder="1" applyAlignment="1">
      <alignment horizontal="right"/>
    </xf>
    <xf numFmtId="0" fontId="8" fillId="0" borderId="5" xfId="0" applyFont="1" applyBorder="1" applyAlignment="1">
      <alignment horizontal="right"/>
    </xf>
    <xf numFmtId="0" fontId="8" fillId="0" borderId="2" xfId="0" applyFont="1" applyBorder="1" applyAlignment="1">
      <alignment horizontal="right"/>
    </xf>
    <xf numFmtId="0" fontId="0" fillId="6" borderId="6" xfId="0" applyFill="1" applyBorder="1"/>
    <xf numFmtId="164" fontId="8" fillId="6" borderId="9" xfId="0" applyNumberFormat="1" applyFont="1" applyFill="1" applyBorder="1"/>
    <xf numFmtId="164" fontId="8" fillId="7" borderId="9" xfId="0" applyNumberFormat="1" applyFont="1" applyFill="1" applyBorder="1"/>
    <xf numFmtId="9" fontId="8" fillId="0" borderId="9" xfId="8" applyFont="1" applyBorder="1"/>
    <xf numFmtId="164" fontId="8" fillId="0" borderId="9" xfId="0" applyNumberFormat="1" applyFont="1" applyBorder="1"/>
    <xf numFmtId="168" fontId="39" fillId="0" borderId="9" xfId="1" applyNumberFormat="1" applyFont="1" applyFill="1" applyBorder="1" applyAlignment="1">
      <alignment horizontal="right"/>
    </xf>
    <xf numFmtId="166" fontId="35" fillId="0" borderId="5" xfId="5" applyNumberFormat="1" applyFont="1" applyFill="1" applyBorder="1"/>
    <xf numFmtId="165" fontId="35" fillId="5" borderId="0" xfId="5" applyNumberFormat="1" applyFont="1" applyFill="1" applyBorder="1"/>
    <xf numFmtId="165" fontId="17" fillId="5" borderId="6" xfId="5" applyNumberFormat="1" applyFont="1" applyFill="1" applyBorder="1"/>
    <xf numFmtId="165" fontId="17" fillId="5" borderId="10" xfId="5" applyNumberFormat="1" applyFont="1" applyFill="1" applyBorder="1"/>
    <xf numFmtId="165" fontId="17" fillId="5" borderId="9" xfId="5" applyNumberFormat="1" applyFont="1" applyFill="1" applyBorder="1"/>
    <xf numFmtId="165" fontId="17" fillId="5" borderId="0" xfId="5" applyNumberFormat="1" applyFont="1" applyFill="1" applyBorder="1"/>
    <xf numFmtId="165" fontId="17" fillId="5" borderId="5" xfId="5" applyNumberFormat="1" applyFont="1" applyFill="1" applyBorder="1"/>
    <xf numFmtId="165" fontId="17" fillId="5" borderId="8" xfId="5" applyNumberFormat="1" applyFont="1" applyFill="1" applyBorder="1"/>
    <xf numFmtId="166" fontId="17" fillId="5" borderId="9" xfId="5" applyNumberFormat="1" applyFont="1" applyFill="1" applyBorder="1"/>
    <xf numFmtId="166" fontId="17" fillId="5" borderId="0" xfId="5" applyNumberFormat="1" applyFont="1" applyFill="1" applyBorder="1"/>
    <xf numFmtId="166" fontId="17" fillId="5" borderId="9" xfId="0" applyNumberFormat="1" applyFont="1" applyFill="1" applyBorder="1"/>
    <xf numFmtId="166" fontId="17" fillId="5" borderId="0" xfId="0" applyNumberFormat="1" applyFont="1" applyFill="1" applyBorder="1"/>
    <xf numFmtId="0" fontId="17" fillId="5" borderId="9" xfId="0" applyFont="1" applyFill="1" applyBorder="1"/>
    <xf numFmtId="0" fontId="17" fillId="5" borderId="0" xfId="0" applyFont="1" applyFill="1" applyBorder="1"/>
    <xf numFmtId="0" fontId="17" fillId="5" borderId="5" xfId="0" applyFont="1" applyFill="1" applyBorder="1"/>
    <xf numFmtId="0" fontId="17" fillId="5" borderId="8" xfId="0" applyFont="1" applyFill="1" applyBorder="1"/>
    <xf numFmtId="165" fontId="17" fillId="5" borderId="9" xfId="0" applyNumberFormat="1" applyFont="1" applyFill="1" applyBorder="1"/>
    <xf numFmtId="165" fontId="17" fillId="5" borderId="0" xfId="0" applyNumberFormat="1" applyFont="1" applyFill="1" applyBorder="1"/>
    <xf numFmtId="165" fontId="17" fillId="5" borderId="5" xfId="0" applyNumberFormat="1" applyFont="1" applyFill="1" applyBorder="1"/>
    <xf numFmtId="165" fontId="17" fillId="5" borderId="8" xfId="0" applyNumberFormat="1" applyFont="1" applyFill="1" applyBorder="1"/>
    <xf numFmtId="0" fontId="57" fillId="0" borderId="8" xfId="0" applyFont="1" applyBorder="1" applyAlignment="1">
      <alignment horizontal="right"/>
    </xf>
    <xf numFmtId="0" fontId="13" fillId="0" borderId="1" xfId="0" applyFont="1" applyBorder="1" applyAlignment="1">
      <alignment horizontal="right" indent="2"/>
    </xf>
    <xf numFmtId="0" fontId="13" fillId="0" borderId="3" xfId="0" applyFont="1" applyFill="1" applyBorder="1" applyAlignment="1">
      <alignment horizontal="right" indent="2"/>
    </xf>
    <xf numFmtId="0" fontId="13" fillId="0" borderId="3" xfId="0" applyFont="1" applyBorder="1" applyAlignment="1">
      <alignment horizontal="right" indent="2"/>
    </xf>
    <xf numFmtId="0" fontId="8" fillId="0" borderId="4" xfId="0" applyFont="1" applyBorder="1" applyAlignment="1">
      <alignment horizontal="right" indent="2"/>
    </xf>
    <xf numFmtId="0" fontId="17" fillId="0" borderId="0" xfId="0" applyFont="1" applyAlignment="1">
      <alignment horizontal="right"/>
    </xf>
    <xf numFmtId="0" fontId="13" fillId="0" borderId="4" xfId="0" applyFont="1" applyBorder="1" applyAlignment="1">
      <alignment horizontal="right" indent="2"/>
    </xf>
    <xf numFmtId="165" fontId="17" fillId="5" borderId="2" xfId="5" applyNumberFormat="1" applyFont="1" applyFill="1" applyBorder="1"/>
    <xf numFmtId="166" fontId="17" fillId="5" borderId="7" xfId="5" applyNumberFormat="1" applyFont="1" applyFill="1" applyBorder="1"/>
    <xf numFmtId="44" fontId="18" fillId="0" borderId="0" xfId="5" applyNumberFormat="1" applyFont="1" applyBorder="1"/>
    <xf numFmtId="165" fontId="8" fillId="0" borderId="1" xfId="5" applyNumberFormat="1" applyFont="1" applyBorder="1"/>
    <xf numFmtId="9" fontId="36" fillId="6" borderId="15" xfId="8" applyFont="1" applyFill="1" applyBorder="1"/>
    <xf numFmtId="0" fontId="32" fillId="17" borderId="15" xfId="122" applyFont="1" applyFill="1" applyBorder="1"/>
    <xf numFmtId="0" fontId="32" fillId="17" borderId="1" xfId="122" applyFont="1" applyFill="1" applyBorder="1"/>
    <xf numFmtId="0" fontId="2" fillId="9" borderId="0" xfId="0" applyFont="1" applyFill="1" applyAlignment="1">
      <alignment horizontal="center"/>
    </xf>
    <xf numFmtId="0" fontId="2" fillId="4" borderId="0" xfId="0" applyFont="1" applyFill="1" applyAlignment="1">
      <alignment horizontal="center"/>
    </xf>
    <xf numFmtId="0" fontId="2" fillId="10" borderId="0" xfId="0" applyFont="1" applyFill="1" applyAlignment="1">
      <alignment horizontal="center"/>
    </xf>
    <xf numFmtId="0" fontId="2" fillId="11" borderId="0" xfId="0" applyFont="1" applyFill="1" applyAlignment="1">
      <alignment horizontal="center"/>
    </xf>
    <xf numFmtId="0" fontId="2" fillId="12" borderId="0" xfId="0" applyFont="1" applyFill="1" applyAlignment="1">
      <alignment horizontal="center"/>
    </xf>
    <xf numFmtId="0" fontId="2" fillId="13" borderId="0" xfId="0" applyFont="1" applyFill="1" applyAlignment="1">
      <alignment horizontal="center"/>
    </xf>
    <xf numFmtId="0" fontId="2" fillId="2" borderId="0" xfId="0" applyFont="1" applyFill="1" applyBorder="1" applyAlignment="1">
      <alignment horizontal="center"/>
    </xf>
    <xf numFmtId="166" fontId="39" fillId="0" borderId="0" xfId="5" applyNumberFormat="1" applyFont="1" applyFill="1" applyBorder="1"/>
    <xf numFmtId="0" fontId="8" fillId="0" borderId="15" xfId="0" applyFont="1" applyBorder="1" applyAlignment="1">
      <alignment horizontal="left" indent="1"/>
    </xf>
    <xf numFmtId="0" fontId="8" fillId="0" borderId="15" xfId="0" applyFont="1" applyBorder="1" applyAlignment="1">
      <alignment horizontal="left" indent="2"/>
    </xf>
    <xf numFmtId="0" fontId="8" fillId="0" borderId="4" xfId="0" applyFont="1" applyBorder="1" applyAlignment="1">
      <alignment horizontal="right"/>
    </xf>
    <xf numFmtId="0" fontId="8" fillId="0" borderId="1" xfId="0" applyFont="1" applyBorder="1" applyAlignment="1">
      <alignment horizontal="right"/>
    </xf>
    <xf numFmtId="0" fontId="59" fillId="0" borderId="0" xfId="0" applyFont="1" applyFill="1" applyAlignment="1">
      <alignment horizontal="left"/>
    </xf>
    <xf numFmtId="165" fontId="8" fillId="0" borderId="15" xfId="5" applyNumberFormat="1" applyFont="1" applyBorder="1"/>
    <xf numFmtId="0" fontId="8" fillId="5" borderId="15" xfId="0" applyFont="1" applyFill="1" applyBorder="1" applyAlignment="1">
      <alignment horizontal="right" indent="1"/>
    </xf>
    <xf numFmtId="164" fontId="8" fillId="5" borderId="15" xfId="0" applyNumberFormat="1" applyFont="1" applyFill="1" applyBorder="1"/>
    <xf numFmtId="164" fontId="8" fillId="5" borderId="15" xfId="1" applyNumberFormat="1" applyFont="1" applyFill="1" applyBorder="1"/>
    <xf numFmtId="165" fontId="8" fillId="5" borderId="15" xfId="5" applyNumberFormat="1" applyFont="1" applyFill="1" applyBorder="1"/>
    <xf numFmtId="166" fontId="8" fillId="5" borderId="15" xfId="5" applyNumberFormat="1" applyFont="1" applyFill="1" applyBorder="1"/>
    <xf numFmtId="0" fontId="2" fillId="0" borderId="0" xfId="0" applyFont="1"/>
    <xf numFmtId="175" fontId="8" fillId="0" borderId="0" xfId="0" applyNumberFormat="1" applyFont="1"/>
    <xf numFmtId="17" fontId="2" fillId="0" borderId="0" xfId="117" quotePrefix="1" applyNumberFormat="1" applyFont="1"/>
    <xf numFmtId="9" fontId="18" fillId="0" borderId="15" xfId="8" applyFont="1" applyBorder="1" applyAlignment="1">
      <alignment horizontal="center"/>
    </xf>
    <xf numFmtId="0" fontId="30" fillId="0" borderId="6" xfId="117" applyFont="1" applyFill="1" applyBorder="1"/>
    <xf numFmtId="165" fontId="39" fillId="0" borderId="0" xfId="0" applyNumberFormat="1" applyFont="1" applyFill="1"/>
    <xf numFmtId="9" fontId="8" fillId="0" borderId="8" xfId="8" applyFont="1" applyBorder="1"/>
    <xf numFmtId="0" fontId="87" fillId="0" borderId="0" xfId="0" applyFont="1"/>
    <xf numFmtId="0" fontId="32" fillId="0" borderId="0" xfId="0" applyFont="1" applyAlignment="1">
      <alignment horizontal="left"/>
    </xf>
    <xf numFmtId="9" fontId="8" fillId="0" borderId="0" xfId="8" applyFont="1" applyAlignment="1">
      <alignment horizontal="right"/>
    </xf>
    <xf numFmtId="0" fontId="39" fillId="0" borderId="0" xfId="0" applyFont="1" applyFill="1" applyBorder="1"/>
    <xf numFmtId="9" fontId="16" fillId="0" borderId="0" xfId="8" applyFont="1"/>
    <xf numFmtId="165" fontId="18" fillId="0" borderId="2" xfId="5" applyNumberFormat="1" applyFont="1" applyBorder="1"/>
    <xf numFmtId="165" fontId="18" fillId="0" borderId="7" xfId="5" applyNumberFormat="1" applyFont="1" applyBorder="1"/>
    <xf numFmtId="9" fontId="8" fillId="0" borderId="0" xfId="8" applyFont="1" applyBorder="1"/>
    <xf numFmtId="43" fontId="39" fillId="0" borderId="0" xfId="0" applyNumberFormat="1" applyFont="1"/>
    <xf numFmtId="0" fontId="66" fillId="0" borderId="1" xfId="0" applyFont="1" applyBorder="1" applyAlignment="1">
      <alignment horizontal="center"/>
    </xf>
    <xf numFmtId="0" fontId="67" fillId="0" borderId="3" xfId="0" applyFont="1" applyFill="1" applyBorder="1" applyAlignment="1">
      <alignment horizontal="center"/>
    </xf>
    <xf numFmtId="0" fontId="30" fillId="3" borderId="1" xfId="133" applyFont="1" applyFill="1" applyBorder="1"/>
    <xf numFmtId="0" fontId="30" fillId="3" borderId="4" xfId="133" applyFont="1" applyFill="1" applyBorder="1"/>
    <xf numFmtId="43" fontId="39" fillId="0" borderId="0" xfId="1" applyNumberFormat="1" applyFont="1"/>
    <xf numFmtId="0" fontId="30" fillId="3" borderId="3" xfId="133" applyFont="1" applyFill="1" applyBorder="1"/>
    <xf numFmtId="0" fontId="72" fillId="0" borderId="0" xfId="117" quotePrefix="1" applyFont="1"/>
    <xf numFmtId="0" fontId="67" fillId="0" borderId="4" xfId="0" applyFont="1" applyFill="1" applyBorder="1" applyAlignment="1">
      <alignment horizontal="center"/>
    </xf>
    <xf numFmtId="0" fontId="56" fillId="0" borderId="4" xfId="117" applyFont="1" applyFill="1" applyBorder="1" applyAlignment="1">
      <alignment horizontal="left"/>
    </xf>
    <xf numFmtId="0" fontId="30" fillId="0" borderId="12" xfId="117" applyFont="1" applyFill="1" applyBorder="1"/>
    <xf numFmtId="166" fontId="35" fillId="0" borderId="0" xfId="5" applyNumberFormat="1" applyFont="1" applyFill="1" applyBorder="1" applyAlignment="1"/>
    <xf numFmtId="0" fontId="59" fillId="18" borderId="0" xfId="0" applyFont="1" applyFill="1" applyAlignment="1">
      <alignment horizontal="left"/>
    </xf>
    <xf numFmtId="0" fontId="8" fillId="18" borderId="0" xfId="0" applyFont="1" applyFill="1"/>
    <xf numFmtId="0" fontId="62" fillId="0" borderId="0" xfId="0" applyFont="1" applyAlignment="1">
      <alignment horizontal="center"/>
    </xf>
    <xf numFmtId="0" fontId="62" fillId="0" borderId="0" xfId="0" applyFont="1" applyBorder="1" applyAlignment="1">
      <alignment horizontal="center"/>
    </xf>
    <xf numFmtId="0" fontId="57" fillId="0" borderId="0" xfId="0" applyFont="1" applyFill="1" applyAlignment="1">
      <alignment horizontal="left"/>
    </xf>
    <xf numFmtId="0" fontId="8" fillId="0" borderId="1" xfId="0" quotePrefix="1" applyFont="1" applyFill="1" applyBorder="1"/>
    <xf numFmtId="0" fontId="8" fillId="0" borderId="0" xfId="0" applyFont="1" applyFill="1" applyAlignment="1">
      <alignment horizontal="right"/>
    </xf>
    <xf numFmtId="0" fontId="8" fillId="0" borderId="1" xfId="0" applyFont="1" applyFill="1" applyBorder="1"/>
    <xf numFmtId="166" fontId="35" fillId="0" borderId="7" xfId="5" applyNumberFormat="1" applyFont="1" applyFill="1" applyBorder="1"/>
    <xf numFmtId="0" fontId="1" fillId="0" borderId="9" xfId="0" applyFont="1" applyFill="1" applyBorder="1"/>
    <xf numFmtId="0" fontId="8" fillId="7" borderId="13" xfId="0" applyFont="1" applyFill="1" applyBorder="1" applyAlignment="1">
      <alignment horizontal="center"/>
    </xf>
    <xf numFmtId="0" fontId="8" fillId="0" borderId="13" xfId="0" applyFont="1" applyBorder="1" applyAlignment="1">
      <alignment horizontal="center" vertical="center" wrapText="1"/>
    </xf>
    <xf numFmtId="0" fontId="8" fillId="0" borderId="13" xfId="0" applyFont="1" applyFill="1" applyBorder="1" applyAlignment="1">
      <alignment horizontal="center"/>
    </xf>
    <xf numFmtId="0" fontId="32" fillId="0" borderId="13" xfId="0" applyFont="1" applyBorder="1" applyAlignment="1">
      <alignment horizontal="center"/>
    </xf>
    <xf numFmtId="167" fontId="8" fillId="0" borderId="0" xfId="8" applyNumberFormat="1" applyFont="1" applyBorder="1"/>
    <xf numFmtId="164" fontId="39" fillId="0" borderId="0" xfId="0" applyNumberFormat="1" applyFont="1" applyFill="1"/>
    <xf numFmtId="0" fontId="8" fillId="0" borderId="12" xfId="0" applyFont="1" applyFill="1" applyBorder="1"/>
    <xf numFmtId="165" fontId="68" fillId="0" borderId="0" xfId="5" applyNumberFormat="1" applyFont="1" applyFill="1"/>
    <xf numFmtId="0" fontId="2" fillId="6" borderId="13" xfId="0" applyFont="1" applyFill="1" applyBorder="1" applyAlignment="1">
      <alignment horizontal="center"/>
    </xf>
    <xf numFmtId="0" fontId="2" fillId="16" borderId="13" xfId="0" applyFont="1" applyFill="1" applyBorder="1" applyAlignment="1">
      <alignment horizontal="center"/>
    </xf>
    <xf numFmtId="0" fontId="2" fillId="19" borderId="14" xfId="0" applyFont="1" applyFill="1" applyBorder="1" applyAlignment="1">
      <alignment horizontal="center"/>
    </xf>
    <xf numFmtId="0" fontId="2" fillId="18" borderId="17" xfId="0" applyFont="1" applyFill="1" applyBorder="1" applyAlignment="1">
      <alignment horizontal="center"/>
    </xf>
    <xf numFmtId="0" fontId="68" fillId="0" borderId="13" xfId="0" applyFont="1" applyFill="1" applyBorder="1" applyAlignment="1">
      <alignment horizontal="center"/>
    </xf>
    <xf numFmtId="0" fontId="69" fillId="14" borderId="3" xfId="0" applyFont="1" applyFill="1" applyBorder="1" applyAlignment="1">
      <alignment horizontal="center"/>
    </xf>
    <xf numFmtId="0" fontId="57" fillId="4" borderId="15" xfId="117" applyFont="1" applyFill="1" applyBorder="1" applyAlignment="1">
      <alignment horizontal="center" vertical="center"/>
    </xf>
    <xf numFmtId="0" fontId="56" fillId="0" borderId="10" xfId="0" applyFont="1" applyBorder="1" applyAlignment="1">
      <alignment horizontal="center"/>
    </xf>
    <xf numFmtId="0" fontId="56" fillId="0" borderId="0" xfId="0" applyFont="1" applyBorder="1" applyAlignment="1">
      <alignment horizontal="center"/>
    </xf>
    <xf numFmtId="0" fontId="56" fillId="0" borderId="8" xfId="0" applyFont="1" applyFill="1" applyBorder="1" applyAlignment="1">
      <alignment horizontal="center"/>
    </xf>
    <xf numFmtId="0" fontId="56" fillId="0" borderId="0" xfId="0" applyFont="1" applyFill="1" applyAlignment="1">
      <alignment horizontal="center"/>
    </xf>
    <xf numFmtId="0" fontId="56" fillId="0" borderId="12" xfId="0" applyFont="1" applyFill="1" applyBorder="1" applyAlignment="1">
      <alignment horizontal="center"/>
    </xf>
    <xf numFmtId="0" fontId="56" fillId="0" borderId="14" xfId="0" applyFont="1" applyFill="1" applyBorder="1" applyAlignment="1">
      <alignment horizontal="center"/>
    </xf>
    <xf numFmtId="0" fontId="67" fillId="0" borderId="3" xfId="0" applyFont="1" applyBorder="1" applyAlignment="1">
      <alignment horizontal="center"/>
    </xf>
    <xf numFmtId="0" fontId="66" fillId="0" borderId="3" xfId="0" applyFont="1" applyFill="1" applyBorder="1" applyAlignment="1">
      <alignment horizontal="center"/>
    </xf>
    <xf numFmtId="0" fontId="66" fillId="0" borderId="4" xfId="0" applyFont="1" applyBorder="1" applyAlignment="1">
      <alignment horizontal="center"/>
    </xf>
    <xf numFmtId="0" fontId="67" fillId="0" borderId="15" xfId="0" applyFont="1" applyFill="1" applyBorder="1" applyAlignment="1">
      <alignment horizontal="center"/>
    </xf>
    <xf numFmtId="0" fontId="66" fillId="0" borderId="15" xfId="0" applyFont="1" applyFill="1" applyBorder="1" applyAlignment="1">
      <alignment horizontal="center"/>
    </xf>
    <xf numFmtId="0" fontId="67" fillId="0" borderId="1" xfId="0" applyFont="1" applyFill="1" applyBorder="1" applyAlignment="1">
      <alignment horizontal="center"/>
    </xf>
    <xf numFmtId="0" fontId="66" fillId="0" borderId="1" xfId="0" applyFont="1" applyFill="1" applyBorder="1" applyAlignment="1">
      <alignment horizontal="center"/>
    </xf>
    <xf numFmtId="0" fontId="66" fillId="0" borderId="4" xfId="0" applyFont="1" applyFill="1" applyBorder="1" applyAlignment="1">
      <alignment horizontal="center"/>
    </xf>
    <xf numFmtId="0" fontId="66" fillId="0" borderId="3" xfId="0" applyFont="1" applyBorder="1" applyAlignment="1">
      <alignment horizontal="center"/>
    </xf>
    <xf numFmtId="0" fontId="56" fillId="0" borderId="13" xfId="0" applyFont="1" applyFill="1" applyBorder="1" applyAlignment="1">
      <alignment horizontal="center"/>
    </xf>
    <xf numFmtId="0" fontId="56" fillId="0" borderId="12" xfId="0" applyFont="1" applyBorder="1" applyAlignment="1">
      <alignment horizontal="center"/>
    </xf>
    <xf numFmtId="0" fontId="56" fillId="0" borderId="1" xfId="117" applyFont="1" applyFill="1" applyBorder="1" applyAlignment="1">
      <alignment horizontal="center"/>
    </xf>
    <xf numFmtId="0" fontId="56" fillId="0" borderId="4" xfId="117" applyFont="1" applyFill="1" applyBorder="1" applyAlignment="1">
      <alignment horizontal="center"/>
    </xf>
    <xf numFmtId="0" fontId="56" fillId="0" borderId="15" xfId="117" applyFont="1" applyFill="1" applyBorder="1" applyAlignment="1">
      <alignment horizontal="center"/>
    </xf>
    <xf numFmtId="0" fontId="56" fillId="0" borderId="3" xfId="117" applyFont="1" applyFill="1" applyBorder="1" applyAlignment="1">
      <alignment horizontal="center"/>
    </xf>
    <xf numFmtId="0" fontId="56" fillId="0" borderId="1" xfId="133" applyFont="1" applyFill="1" applyBorder="1" applyAlignment="1">
      <alignment horizontal="center"/>
    </xf>
    <xf numFmtId="0" fontId="56" fillId="0" borderId="4" xfId="133" applyFont="1" applyFill="1" applyBorder="1" applyAlignment="1">
      <alignment horizontal="center"/>
    </xf>
    <xf numFmtId="0" fontId="56" fillId="0" borderId="15" xfId="133" applyFont="1" applyFill="1" applyBorder="1" applyAlignment="1">
      <alignment horizontal="center"/>
    </xf>
    <xf numFmtId="3" fontId="56" fillId="0" borderId="0" xfId="0" applyNumberFormat="1" applyFont="1" applyFill="1" applyAlignment="1">
      <alignment horizontal="center"/>
    </xf>
    <xf numFmtId="164" fontId="8" fillId="0" borderId="18" xfId="0" applyNumberFormat="1" applyFont="1" applyFill="1" applyBorder="1"/>
    <xf numFmtId="164" fontId="8" fillId="0" borderId="16" xfId="0" applyNumberFormat="1" applyFont="1" applyFill="1" applyBorder="1"/>
    <xf numFmtId="0" fontId="2" fillId="5" borderId="19" xfId="0" applyFont="1" applyFill="1" applyBorder="1" applyAlignment="1">
      <alignment horizontal="center"/>
    </xf>
    <xf numFmtId="164" fontId="8" fillId="0" borderId="0" xfId="1" applyNumberFormat="1" applyFont="1" applyFill="1"/>
    <xf numFmtId="44" fontId="17" fillId="5" borderId="0" xfId="5" applyNumberFormat="1" applyFont="1" applyFill="1" applyBorder="1"/>
    <xf numFmtId="164" fontId="18" fillId="0" borderId="5" xfId="1" applyNumberFormat="1" applyFont="1" applyBorder="1"/>
    <xf numFmtId="0" fontId="88" fillId="0" borderId="0" xfId="0" applyFont="1"/>
    <xf numFmtId="0" fontId="56" fillId="0" borderId="4" xfId="0" applyFont="1" applyFill="1" applyBorder="1" applyAlignment="1">
      <alignment horizontal="center"/>
    </xf>
    <xf numFmtId="0" fontId="49" fillId="0" borderId="13" xfId="117" applyFont="1" applyFill="1" applyBorder="1"/>
    <xf numFmtId="9" fontId="39" fillId="6" borderId="15" xfId="8" applyFont="1" applyFill="1" applyBorder="1"/>
    <xf numFmtId="0" fontId="23" fillId="3" borderId="0" xfId="0" applyFont="1" applyFill="1" applyAlignment="1">
      <alignment horizontal="left" vertical="center" wrapText="1"/>
    </xf>
    <xf numFmtId="0" fontId="23" fillId="3" borderId="0" xfId="0" applyFont="1" applyFill="1" applyAlignment="1" applyProtection="1">
      <alignment wrapText="1"/>
      <protection locked="0"/>
    </xf>
    <xf numFmtId="0" fontId="41" fillId="4" borderId="2" xfId="117" applyFont="1" applyFill="1" applyBorder="1" applyAlignment="1">
      <alignment horizontal="center" vertical="center"/>
    </xf>
    <xf numFmtId="0" fontId="41" fillId="4" borderId="7" xfId="117" applyFont="1" applyFill="1" applyBorder="1" applyAlignment="1">
      <alignment horizontal="center" vertical="center"/>
    </xf>
    <xf numFmtId="0" fontId="41" fillId="4" borderId="11" xfId="117" applyFont="1" applyFill="1" applyBorder="1" applyAlignment="1">
      <alignment horizontal="center" vertical="center"/>
    </xf>
    <xf numFmtId="0" fontId="60" fillId="0" borderId="6" xfId="117" applyFont="1" applyBorder="1" applyAlignment="1">
      <alignment horizontal="left" wrapText="1"/>
    </xf>
    <xf numFmtId="0" fontId="60" fillId="0" borderId="10" xfId="117" applyFont="1" applyBorder="1" applyAlignment="1">
      <alignment horizontal="left" wrapText="1"/>
    </xf>
    <xf numFmtId="0" fontId="60" fillId="0" borderId="12" xfId="117" applyFont="1" applyBorder="1" applyAlignment="1">
      <alignment horizontal="left" wrapText="1"/>
    </xf>
    <xf numFmtId="0" fontId="60" fillId="0" borderId="9" xfId="117" applyFont="1" applyBorder="1" applyAlignment="1">
      <alignment horizontal="left" wrapText="1"/>
    </xf>
    <xf numFmtId="0" fontId="60" fillId="0" borderId="0" xfId="117" applyFont="1" applyBorder="1" applyAlignment="1">
      <alignment horizontal="left" wrapText="1"/>
    </xf>
    <xf numFmtId="0" fontId="60" fillId="0" borderId="13" xfId="117" applyFont="1" applyBorder="1" applyAlignment="1">
      <alignment horizontal="left" wrapText="1"/>
    </xf>
    <xf numFmtId="0" fontId="49" fillId="0" borderId="1" xfId="117" applyFont="1" applyFill="1" applyBorder="1" applyAlignment="1">
      <alignment horizontal="center" vertical="center"/>
    </xf>
    <xf numFmtId="0" fontId="49" fillId="0" borderId="3" xfId="117" applyFont="1" applyFill="1" applyBorder="1" applyAlignment="1">
      <alignment horizontal="center" vertical="center"/>
    </xf>
    <xf numFmtId="0" fontId="49" fillId="0" borderId="4" xfId="117" applyFont="1" applyFill="1" applyBorder="1" applyAlignment="1">
      <alignment horizontal="center" vertical="center"/>
    </xf>
    <xf numFmtId="0" fontId="71" fillId="8" borderId="0" xfId="0" quotePrefix="1" applyFont="1" applyFill="1" applyBorder="1" applyAlignment="1">
      <alignment horizontal="center" vertical="center"/>
    </xf>
    <xf numFmtId="0" fontId="71" fillId="8" borderId="13" xfId="0" quotePrefix="1" applyFont="1" applyFill="1" applyBorder="1" applyAlignment="1">
      <alignment horizontal="center" vertical="center"/>
    </xf>
    <xf numFmtId="0" fontId="30" fillId="2" borderId="2" xfId="0" applyFont="1" applyFill="1" applyBorder="1" applyAlignment="1">
      <alignment horizontal="center" wrapText="1"/>
    </xf>
    <xf numFmtId="0" fontId="30" fillId="2" borderId="7" xfId="0" applyFont="1" applyFill="1" applyBorder="1" applyAlignment="1">
      <alignment horizontal="center" wrapText="1"/>
    </xf>
    <xf numFmtId="0" fontId="30" fillId="2" borderId="11" xfId="0" applyFont="1" applyFill="1" applyBorder="1" applyAlignment="1">
      <alignment horizontal="center" wrapText="1"/>
    </xf>
  </cellXfs>
  <cellStyles count="441">
    <cellStyle name="%" xfId="173" xr:uid="{00000000-0005-0000-0000-000000000000}"/>
    <cellStyle name="Comma" xfId="1" builtinId="3"/>
    <cellStyle name="Comma 2" xfId="2" xr:uid="{00000000-0005-0000-0000-000002000000}"/>
    <cellStyle name="Comma 2 2" xfId="128" xr:uid="{00000000-0005-0000-0000-000003000000}"/>
    <cellStyle name="Comma 2 2 2" xfId="162" xr:uid="{00000000-0005-0000-0000-000004000000}"/>
    <cellStyle name="Comma 3" xfId="3" xr:uid="{00000000-0005-0000-0000-000005000000}"/>
    <cellStyle name="Comma 3 2" xfId="127" xr:uid="{00000000-0005-0000-0000-000006000000}"/>
    <cellStyle name="Comma 3 2 2" xfId="163" xr:uid="{00000000-0005-0000-0000-000007000000}"/>
    <cellStyle name="Comma 3 2 3" xfId="165" xr:uid="{00000000-0005-0000-0000-000008000000}"/>
    <cellStyle name="Comma 4" xfId="4" xr:uid="{00000000-0005-0000-0000-000009000000}"/>
    <cellStyle name="Comma 5" xfId="118" xr:uid="{00000000-0005-0000-0000-00000A000000}"/>
    <cellStyle name="Comma 5 2" xfId="123" xr:uid="{00000000-0005-0000-0000-00000B000000}"/>
    <cellStyle name="Comma 5 2 2" xfId="174" xr:uid="{00000000-0005-0000-0000-00000C000000}"/>
    <cellStyle name="Comma 5 3" xfId="166" xr:uid="{00000000-0005-0000-0000-00000D000000}"/>
    <cellStyle name="Comma 6" xfId="121" xr:uid="{00000000-0005-0000-0000-00000E000000}"/>
    <cellStyle name="Comma 7" xfId="130" xr:uid="{00000000-0005-0000-0000-00000F000000}"/>
    <cellStyle name="Comma 8" xfId="170" xr:uid="{00000000-0005-0000-0000-000010000000}"/>
    <cellStyle name="Comma 9" xfId="175" xr:uid="{00000000-0005-0000-0000-000011000000}"/>
    <cellStyle name="Currency" xfId="5" builtinId="4"/>
    <cellStyle name="Currency 2" xfId="6" xr:uid="{00000000-0005-0000-0000-000013000000}"/>
    <cellStyle name="Currency 2 10" xfId="176" xr:uid="{00000000-0005-0000-0000-000014000000}"/>
    <cellStyle name="Currency 2 100" xfId="177" xr:uid="{00000000-0005-0000-0000-000015000000}"/>
    <cellStyle name="Currency 2 101" xfId="178" xr:uid="{00000000-0005-0000-0000-000016000000}"/>
    <cellStyle name="Currency 2 102" xfId="179" xr:uid="{00000000-0005-0000-0000-000017000000}"/>
    <cellStyle name="Currency 2 103" xfId="180" xr:uid="{00000000-0005-0000-0000-000018000000}"/>
    <cellStyle name="Currency 2 104" xfId="181" xr:uid="{00000000-0005-0000-0000-000019000000}"/>
    <cellStyle name="Currency 2 105" xfId="182" xr:uid="{00000000-0005-0000-0000-00001A000000}"/>
    <cellStyle name="Currency 2 106" xfId="183" xr:uid="{00000000-0005-0000-0000-00001B000000}"/>
    <cellStyle name="Currency 2 107" xfId="184" xr:uid="{00000000-0005-0000-0000-00001C000000}"/>
    <cellStyle name="Currency 2 108" xfId="185" xr:uid="{00000000-0005-0000-0000-00001D000000}"/>
    <cellStyle name="Currency 2 109" xfId="186" xr:uid="{00000000-0005-0000-0000-00001E000000}"/>
    <cellStyle name="Currency 2 11" xfId="187" xr:uid="{00000000-0005-0000-0000-00001F000000}"/>
    <cellStyle name="Currency 2 110" xfId="188" xr:uid="{00000000-0005-0000-0000-000020000000}"/>
    <cellStyle name="Currency 2 111" xfId="189" xr:uid="{00000000-0005-0000-0000-000021000000}"/>
    <cellStyle name="Currency 2 112" xfId="190" xr:uid="{00000000-0005-0000-0000-000022000000}"/>
    <cellStyle name="Currency 2 113" xfId="191" xr:uid="{00000000-0005-0000-0000-000023000000}"/>
    <cellStyle name="Currency 2 114" xfId="192" xr:uid="{00000000-0005-0000-0000-000024000000}"/>
    <cellStyle name="Currency 2 115" xfId="193" xr:uid="{00000000-0005-0000-0000-000025000000}"/>
    <cellStyle name="Currency 2 116" xfId="194" xr:uid="{00000000-0005-0000-0000-000026000000}"/>
    <cellStyle name="Currency 2 117" xfId="195" xr:uid="{00000000-0005-0000-0000-000027000000}"/>
    <cellStyle name="Currency 2 118" xfId="196" xr:uid="{00000000-0005-0000-0000-000028000000}"/>
    <cellStyle name="Currency 2 119" xfId="197" xr:uid="{00000000-0005-0000-0000-000029000000}"/>
    <cellStyle name="Currency 2 12" xfId="198" xr:uid="{00000000-0005-0000-0000-00002A000000}"/>
    <cellStyle name="Currency 2 120" xfId="199" xr:uid="{00000000-0005-0000-0000-00002B000000}"/>
    <cellStyle name="Currency 2 121" xfId="200" xr:uid="{00000000-0005-0000-0000-00002C000000}"/>
    <cellStyle name="Currency 2 122" xfId="201" xr:uid="{00000000-0005-0000-0000-00002D000000}"/>
    <cellStyle name="Currency 2 123" xfId="202" xr:uid="{00000000-0005-0000-0000-00002E000000}"/>
    <cellStyle name="Currency 2 124" xfId="203" xr:uid="{00000000-0005-0000-0000-00002F000000}"/>
    <cellStyle name="Currency 2 125" xfId="204" xr:uid="{00000000-0005-0000-0000-000030000000}"/>
    <cellStyle name="Currency 2 126" xfId="205" xr:uid="{00000000-0005-0000-0000-000031000000}"/>
    <cellStyle name="Currency 2 127" xfId="206" xr:uid="{00000000-0005-0000-0000-000032000000}"/>
    <cellStyle name="Currency 2 128" xfId="207" xr:uid="{00000000-0005-0000-0000-000033000000}"/>
    <cellStyle name="Currency 2 129" xfId="208" xr:uid="{00000000-0005-0000-0000-000034000000}"/>
    <cellStyle name="Currency 2 13" xfId="209" xr:uid="{00000000-0005-0000-0000-000035000000}"/>
    <cellStyle name="Currency 2 130" xfId="210" xr:uid="{00000000-0005-0000-0000-000036000000}"/>
    <cellStyle name="Currency 2 131" xfId="211" xr:uid="{00000000-0005-0000-0000-000037000000}"/>
    <cellStyle name="Currency 2 132" xfId="212" xr:uid="{00000000-0005-0000-0000-000038000000}"/>
    <cellStyle name="Currency 2 133" xfId="213" xr:uid="{00000000-0005-0000-0000-000039000000}"/>
    <cellStyle name="Currency 2 134" xfId="214" xr:uid="{00000000-0005-0000-0000-00003A000000}"/>
    <cellStyle name="Currency 2 135" xfId="215" xr:uid="{00000000-0005-0000-0000-00003B000000}"/>
    <cellStyle name="Currency 2 136" xfId="216" xr:uid="{00000000-0005-0000-0000-00003C000000}"/>
    <cellStyle name="Currency 2 137" xfId="217" xr:uid="{00000000-0005-0000-0000-00003D000000}"/>
    <cellStyle name="Currency 2 138" xfId="218" xr:uid="{00000000-0005-0000-0000-00003E000000}"/>
    <cellStyle name="Currency 2 139" xfId="219" xr:uid="{00000000-0005-0000-0000-00003F000000}"/>
    <cellStyle name="Currency 2 14" xfId="220" xr:uid="{00000000-0005-0000-0000-000040000000}"/>
    <cellStyle name="Currency 2 140" xfId="221" xr:uid="{00000000-0005-0000-0000-000041000000}"/>
    <cellStyle name="Currency 2 141" xfId="222" xr:uid="{00000000-0005-0000-0000-000042000000}"/>
    <cellStyle name="Currency 2 142" xfId="223" xr:uid="{00000000-0005-0000-0000-000043000000}"/>
    <cellStyle name="Currency 2 143" xfId="224" xr:uid="{00000000-0005-0000-0000-000044000000}"/>
    <cellStyle name="Currency 2 144" xfId="225" xr:uid="{00000000-0005-0000-0000-000045000000}"/>
    <cellStyle name="Currency 2 145" xfId="226" xr:uid="{00000000-0005-0000-0000-000046000000}"/>
    <cellStyle name="Currency 2 146" xfId="227" xr:uid="{00000000-0005-0000-0000-000047000000}"/>
    <cellStyle name="Currency 2 147" xfId="228" xr:uid="{00000000-0005-0000-0000-000048000000}"/>
    <cellStyle name="Currency 2 148" xfId="229" xr:uid="{00000000-0005-0000-0000-000049000000}"/>
    <cellStyle name="Currency 2 149" xfId="230" xr:uid="{00000000-0005-0000-0000-00004A000000}"/>
    <cellStyle name="Currency 2 15" xfId="231" xr:uid="{00000000-0005-0000-0000-00004B000000}"/>
    <cellStyle name="Currency 2 150" xfId="232" xr:uid="{00000000-0005-0000-0000-00004C000000}"/>
    <cellStyle name="Currency 2 151" xfId="233" xr:uid="{00000000-0005-0000-0000-00004D000000}"/>
    <cellStyle name="Currency 2 152" xfId="234" xr:uid="{00000000-0005-0000-0000-00004E000000}"/>
    <cellStyle name="Currency 2 153" xfId="235" xr:uid="{00000000-0005-0000-0000-00004F000000}"/>
    <cellStyle name="Currency 2 154" xfId="236" xr:uid="{00000000-0005-0000-0000-000050000000}"/>
    <cellStyle name="Currency 2 155" xfId="237" xr:uid="{00000000-0005-0000-0000-000051000000}"/>
    <cellStyle name="Currency 2 156" xfId="238" xr:uid="{00000000-0005-0000-0000-000052000000}"/>
    <cellStyle name="Currency 2 157" xfId="239" xr:uid="{00000000-0005-0000-0000-000053000000}"/>
    <cellStyle name="Currency 2 158" xfId="240" xr:uid="{00000000-0005-0000-0000-000054000000}"/>
    <cellStyle name="Currency 2 159" xfId="241" xr:uid="{00000000-0005-0000-0000-000055000000}"/>
    <cellStyle name="Currency 2 16" xfId="242" xr:uid="{00000000-0005-0000-0000-000056000000}"/>
    <cellStyle name="Currency 2 160" xfId="243" xr:uid="{00000000-0005-0000-0000-000057000000}"/>
    <cellStyle name="Currency 2 161" xfId="244" xr:uid="{00000000-0005-0000-0000-000058000000}"/>
    <cellStyle name="Currency 2 162" xfId="245" xr:uid="{00000000-0005-0000-0000-000059000000}"/>
    <cellStyle name="Currency 2 163" xfId="246" xr:uid="{00000000-0005-0000-0000-00005A000000}"/>
    <cellStyle name="Currency 2 164" xfId="247" xr:uid="{00000000-0005-0000-0000-00005B000000}"/>
    <cellStyle name="Currency 2 165" xfId="248" xr:uid="{00000000-0005-0000-0000-00005C000000}"/>
    <cellStyle name="Currency 2 166" xfId="249" xr:uid="{00000000-0005-0000-0000-00005D000000}"/>
    <cellStyle name="Currency 2 167" xfId="250" xr:uid="{00000000-0005-0000-0000-00005E000000}"/>
    <cellStyle name="Currency 2 168" xfId="251" xr:uid="{00000000-0005-0000-0000-00005F000000}"/>
    <cellStyle name="Currency 2 169" xfId="252" xr:uid="{00000000-0005-0000-0000-000060000000}"/>
    <cellStyle name="Currency 2 17" xfId="253" xr:uid="{00000000-0005-0000-0000-000061000000}"/>
    <cellStyle name="Currency 2 170" xfId="254" xr:uid="{00000000-0005-0000-0000-000062000000}"/>
    <cellStyle name="Currency 2 171" xfId="255" xr:uid="{00000000-0005-0000-0000-000063000000}"/>
    <cellStyle name="Currency 2 172" xfId="256" xr:uid="{00000000-0005-0000-0000-000064000000}"/>
    <cellStyle name="Currency 2 173" xfId="257" xr:uid="{00000000-0005-0000-0000-000065000000}"/>
    <cellStyle name="Currency 2 174" xfId="258" xr:uid="{00000000-0005-0000-0000-000066000000}"/>
    <cellStyle name="Currency 2 175" xfId="259" xr:uid="{00000000-0005-0000-0000-000067000000}"/>
    <cellStyle name="Currency 2 176" xfId="260" xr:uid="{00000000-0005-0000-0000-000068000000}"/>
    <cellStyle name="Currency 2 177" xfId="261" xr:uid="{00000000-0005-0000-0000-000069000000}"/>
    <cellStyle name="Currency 2 178" xfId="262" xr:uid="{00000000-0005-0000-0000-00006A000000}"/>
    <cellStyle name="Currency 2 179" xfId="263" xr:uid="{00000000-0005-0000-0000-00006B000000}"/>
    <cellStyle name="Currency 2 18" xfId="264" xr:uid="{00000000-0005-0000-0000-00006C000000}"/>
    <cellStyle name="Currency 2 180" xfId="265" xr:uid="{00000000-0005-0000-0000-00006D000000}"/>
    <cellStyle name="Currency 2 181" xfId="266" xr:uid="{00000000-0005-0000-0000-00006E000000}"/>
    <cellStyle name="Currency 2 182" xfId="267" xr:uid="{00000000-0005-0000-0000-00006F000000}"/>
    <cellStyle name="Currency 2 183" xfId="268" xr:uid="{00000000-0005-0000-0000-000070000000}"/>
    <cellStyle name="Currency 2 184" xfId="269" xr:uid="{00000000-0005-0000-0000-000071000000}"/>
    <cellStyle name="Currency 2 185" xfId="270" xr:uid="{00000000-0005-0000-0000-000072000000}"/>
    <cellStyle name="Currency 2 186" xfId="271" xr:uid="{00000000-0005-0000-0000-000073000000}"/>
    <cellStyle name="Currency 2 187" xfId="272" xr:uid="{00000000-0005-0000-0000-000074000000}"/>
    <cellStyle name="Currency 2 188" xfId="273" xr:uid="{00000000-0005-0000-0000-000075000000}"/>
    <cellStyle name="Currency 2 189" xfId="274" xr:uid="{00000000-0005-0000-0000-000076000000}"/>
    <cellStyle name="Currency 2 19" xfId="275" xr:uid="{00000000-0005-0000-0000-000077000000}"/>
    <cellStyle name="Currency 2 190" xfId="276" xr:uid="{00000000-0005-0000-0000-000078000000}"/>
    <cellStyle name="Currency 2 191" xfId="277" xr:uid="{00000000-0005-0000-0000-000079000000}"/>
    <cellStyle name="Currency 2 192" xfId="278" xr:uid="{00000000-0005-0000-0000-00007A000000}"/>
    <cellStyle name="Currency 2 193" xfId="279" xr:uid="{00000000-0005-0000-0000-00007B000000}"/>
    <cellStyle name="Currency 2 194" xfId="280" xr:uid="{00000000-0005-0000-0000-00007C000000}"/>
    <cellStyle name="Currency 2 195" xfId="281" xr:uid="{00000000-0005-0000-0000-00007D000000}"/>
    <cellStyle name="Currency 2 196" xfId="282" xr:uid="{00000000-0005-0000-0000-00007E000000}"/>
    <cellStyle name="Currency 2 197" xfId="283" xr:uid="{00000000-0005-0000-0000-00007F000000}"/>
    <cellStyle name="Currency 2 198" xfId="284" xr:uid="{00000000-0005-0000-0000-000080000000}"/>
    <cellStyle name="Currency 2 199" xfId="285" xr:uid="{00000000-0005-0000-0000-000081000000}"/>
    <cellStyle name="Currency 2 2" xfId="286" xr:uid="{00000000-0005-0000-0000-000082000000}"/>
    <cellStyle name="Currency 2 20" xfId="287" xr:uid="{00000000-0005-0000-0000-000083000000}"/>
    <cellStyle name="Currency 2 200" xfId="288" xr:uid="{00000000-0005-0000-0000-000084000000}"/>
    <cellStyle name="Currency 2 201" xfId="289" xr:uid="{00000000-0005-0000-0000-000085000000}"/>
    <cellStyle name="Currency 2 202" xfId="290" xr:uid="{00000000-0005-0000-0000-000086000000}"/>
    <cellStyle name="Currency 2 203" xfId="291" xr:uid="{00000000-0005-0000-0000-000087000000}"/>
    <cellStyle name="Currency 2 204" xfId="292" xr:uid="{00000000-0005-0000-0000-000088000000}"/>
    <cellStyle name="Currency 2 205" xfId="293" xr:uid="{00000000-0005-0000-0000-000089000000}"/>
    <cellStyle name="Currency 2 206" xfId="294" xr:uid="{00000000-0005-0000-0000-00008A000000}"/>
    <cellStyle name="Currency 2 207" xfId="295" xr:uid="{00000000-0005-0000-0000-00008B000000}"/>
    <cellStyle name="Currency 2 208" xfId="296" xr:uid="{00000000-0005-0000-0000-00008C000000}"/>
    <cellStyle name="Currency 2 209" xfId="297" xr:uid="{00000000-0005-0000-0000-00008D000000}"/>
    <cellStyle name="Currency 2 21" xfId="298" xr:uid="{00000000-0005-0000-0000-00008E000000}"/>
    <cellStyle name="Currency 2 210" xfId="299" xr:uid="{00000000-0005-0000-0000-00008F000000}"/>
    <cellStyle name="Currency 2 211" xfId="300" xr:uid="{00000000-0005-0000-0000-000090000000}"/>
    <cellStyle name="Currency 2 212" xfId="301" xr:uid="{00000000-0005-0000-0000-000091000000}"/>
    <cellStyle name="Currency 2 213" xfId="302" xr:uid="{00000000-0005-0000-0000-000092000000}"/>
    <cellStyle name="Currency 2 214" xfId="303" xr:uid="{00000000-0005-0000-0000-000093000000}"/>
    <cellStyle name="Currency 2 215" xfId="304" xr:uid="{00000000-0005-0000-0000-000094000000}"/>
    <cellStyle name="Currency 2 216" xfId="305" xr:uid="{00000000-0005-0000-0000-000095000000}"/>
    <cellStyle name="Currency 2 217" xfId="306" xr:uid="{00000000-0005-0000-0000-000096000000}"/>
    <cellStyle name="Currency 2 218" xfId="307" xr:uid="{00000000-0005-0000-0000-000097000000}"/>
    <cellStyle name="Currency 2 219" xfId="308" xr:uid="{00000000-0005-0000-0000-000098000000}"/>
    <cellStyle name="Currency 2 22" xfId="309" xr:uid="{00000000-0005-0000-0000-000099000000}"/>
    <cellStyle name="Currency 2 220" xfId="310" xr:uid="{00000000-0005-0000-0000-00009A000000}"/>
    <cellStyle name="Currency 2 221" xfId="311" xr:uid="{00000000-0005-0000-0000-00009B000000}"/>
    <cellStyle name="Currency 2 222" xfId="312" xr:uid="{00000000-0005-0000-0000-00009C000000}"/>
    <cellStyle name="Currency 2 223" xfId="313" xr:uid="{00000000-0005-0000-0000-00009D000000}"/>
    <cellStyle name="Currency 2 224" xfId="314" xr:uid="{00000000-0005-0000-0000-00009E000000}"/>
    <cellStyle name="Currency 2 225" xfId="315" xr:uid="{00000000-0005-0000-0000-00009F000000}"/>
    <cellStyle name="Currency 2 226" xfId="316" xr:uid="{00000000-0005-0000-0000-0000A0000000}"/>
    <cellStyle name="Currency 2 227" xfId="317" xr:uid="{00000000-0005-0000-0000-0000A1000000}"/>
    <cellStyle name="Currency 2 228" xfId="318" xr:uid="{00000000-0005-0000-0000-0000A2000000}"/>
    <cellStyle name="Currency 2 229" xfId="319" xr:uid="{00000000-0005-0000-0000-0000A3000000}"/>
    <cellStyle name="Currency 2 23" xfId="320" xr:uid="{00000000-0005-0000-0000-0000A4000000}"/>
    <cellStyle name="Currency 2 230" xfId="321" xr:uid="{00000000-0005-0000-0000-0000A5000000}"/>
    <cellStyle name="Currency 2 231" xfId="322" xr:uid="{00000000-0005-0000-0000-0000A6000000}"/>
    <cellStyle name="Currency 2 232" xfId="323" xr:uid="{00000000-0005-0000-0000-0000A7000000}"/>
    <cellStyle name="Currency 2 233" xfId="324" xr:uid="{00000000-0005-0000-0000-0000A8000000}"/>
    <cellStyle name="Currency 2 234" xfId="325" xr:uid="{00000000-0005-0000-0000-0000A9000000}"/>
    <cellStyle name="Currency 2 235" xfId="326" xr:uid="{00000000-0005-0000-0000-0000AA000000}"/>
    <cellStyle name="Currency 2 236" xfId="327" xr:uid="{00000000-0005-0000-0000-0000AB000000}"/>
    <cellStyle name="Currency 2 237" xfId="328" xr:uid="{00000000-0005-0000-0000-0000AC000000}"/>
    <cellStyle name="Currency 2 238" xfId="329" xr:uid="{00000000-0005-0000-0000-0000AD000000}"/>
    <cellStyle name="Currency 2 239" xfId="330" xr:uid="{00000000-0005-0000-0000-0000AE000000}"/>
    <cellStyle name="Currency 2 24" xfId="331" xr:uid="{00000000-0005-0000-0000-0000AF000000}"/>
    <cellStyle name="Currency 2 240" xfId="332" xr:uid="{00000000-0005-0000-0000-0000B0000000}"/>
    <cellStyle name="Currency 2 241" xfId="333" xr:uid="{00000000-0005-0000-0000-0000B1000000}"/>
    <cellStyle name="Currency 2 242" xfId="334" xr:uid="{00000000-0005-0000-0000-0000B2000000}"/>
    <cellStyle name="Currency 2 243" xfId="335" xr:uid="{00000000-0005-0000-0000-0000B3000000}"/>
    <cellStyle name="Currency 2 244" xfId="336" xr:uid="{00000000-0005-0000-0000-0000B4000000}"/>
    <cellStyle name="Currency 2 245" xfId="337" xr:uid="{00000000-0005-0000-0000-0000B5000000}"/>
    <cellStyle name="Currency 2 246" xfId="338" xr:uid="{00000000-0005-0000-0000-0000B6000000}"/>
    <cellStyle name="Currency 2 247" xfId="339" xr:uid="{00000000-0005-0000-0000-0000B7000000}"/>
    <cellStyle name="Currency 2 248" xfId="340" xr:uid="{00000000-0005-0000-0000-0000B8000000}"/>
    <cellStyle name="Currency 2 249" xfId="341" xr:uid="{00000000-0005-0000-0000-0000B9000000}"/>
    <cellStyle name="Currency 2 25" xfId="342" xr:uid="{00000000-0005-0000-0000-0000BA000000}"/>
    <cellStyle name="Currency 2 250" xfId="343" xr:uid="{00000000-0005-0000-0000-0000BB000000}"/>
    <cellStyle name="Currency 2 251" xfId="344" xr:uid="{00000000-0005-0000-0000-0000BC000000}"/>
    <cellStyle name="Currency 2 252" xfId="345" xr:uid="{00000000-0005-0000-0000-0000BD000000}"/>
    <cellStyle name="Currency 2 253" xfId="346" xr:uid="{00000000-0005-0000-0000-0000BE000000}"/>
    <cellStyle name="Currency 2 254" xfId="347" xr:uid="{00000000-0005-0000-0000-0000BF000000}"/>
    <cellStyle name="Currency 2 26" xfId="348" xr:uid="{00000000-0005-0000-0000-0000C0000000}"/>
    <cellStyle name="Currency 2 27" xfId="349" xr:uid="{00000000-0005-0000-0000-0000C1000000}"/>
    <cellStyle name="Currency 2 28" xfId="350" xr:uid="{00000000-0005-0000-0000-0000C2000000}"/>
    <cellStyle name="Currency 2 29" xfId="351" xr:uid="{00000000-0005-0000-0000-0000C3000000}"/>
    <cellStyle name="Currency 2 3" xfId="352" xr:uid="{00000000-0005-0000-0000-0000C4000000}"/>
    <cellStyle name="Currency 2 30" xfId="353" xr:uid="{00000000-0005-0000-0000-0000C5000000}"/>
    <cellStyle name="Currency 2 31" xfId="354" xr:uid="{00000000-0005-0000-0000-0000C6000000}"/>
    <cellStyle name="Currency 2 32" xfId="355" xr:uid="{00000000-0005-0000-0000-0000C7000000}"/>
    <cellStyle name="Currency 2 33" xfId="356" xr:uid="{00000000-0005-0000-0000-0000C8000000}"/>
    <cellStyle name="Currency 2 34" xfId="357" xr:uid="{00000000-0005-0000-0000-0000C9000000}"/>
    <cellStyle name="Currency 2 35" xfId="358" xr:uid="{00000000-0005-0000-0000-0000CA000000}"/>
    <cellStyle name="Currency 2 36" xfId="359" xr:uid="{00000000-0005-0000-0000-0000CB000000}"/>
    <cellStyle name="Currency 2 37" xfId="360" xr:uid="{00000000-0005-0000-0000-0000CC000000}"/>
    <cellStyle name="Currency 2 38" xfId="361" xr:uid="{00000000-0005-0000-0000-0000CD000000}"/>
    <cellStyle name="Currency 2 39" xfId="362" xr:uid="{00000000-0005-0000-0000-0000CE000000}"/>
    <cellStyle name="Currency 2 4" xfId="363" xr:uid="{00000000-0005-0000-0000-0000CF000000}"/>
    <cellStyle name="Currency 2 40" xfId="364" xr:uid="{00000000-0005-0000-0000-0000D0000000}"/>
    <cellStyle name="Currency 2 41" xfId="365" xr:uid="{00000000-0005-0000-0000-0000D1000000}"/>
    <cellStyle name="Currency 2 42" xfId="366" xr:uid="{00000000-0005-0000-0000-0000D2000000}"/>
    <cellStyle name="Currency 2 43" xfId="367" xr:uid="{00000000-0005-0000-0000-0000D3000000}"/>
    <cellStyle name="Currency 2 44" xfId="368" xr:uid="{00000000-0005-0000-0000-0000D4000000}"/>
    <cellStyle name="Currency 2 45" xfId="369" xr:uid="{00000000-0005-0000-0000-0000D5000000}"/>
    <cellStyle name="Currency 2 46" xfId="370" xr:uid="{00000000-0005-0000-0000-0000D6000000}"/>
    <cellStyle name="Currency 2 47" xfId="371" xr:uid="{00000000-0005-0000-0000-0000D7000000}"/>
    <cellStyle name="Currency 2 48" xfId="372" xr:uid="{00000000-0005-0000-0000-0000D8000000}"/>
    <cellStyle name="Currency 2 49" xfId="373" xr:uid="{00000000-0005-0000-0000-0000D9000000}"/>
    <cellStyle name="Currency 2 5" xfId="374" xr:uid="{00000000-0005-0000-0000-0000DA000000}"/>
    <cellStyle name="Currency 2 50" xfId="375" xr:uid="{00000000-0005-0000-0000-0000DB000000}"/>
    <cellStyle name="Currency 2 51" xfId="376" xr:uid="{00000000-0005-0000-0000-0000DC000000}"/>
    <cellStyle name="Currency 2 52" xfId="377" xr:uid="{00000000-0005-0000-0000-0000DD000000}"/>
    <cellStyle name="Currency 2 53" xfId="378" xr:uid="{00000000-0005-0000-0000-0000DE000000}"/>
    <cellStyle name="Currency 2 54" xfId="379" xr:uid="{00000000-0005-0000-0000-0000DF000000}"/>
    <cellStyle name="Currency 2 55" xfId="380" xr:uid="{00000000-0005-0000-0000-0000E0000000}"/>
    <cellStyle name="Currency 2 56" xfId="381" xr:uid="{00000000-0005-0000-0000-0000E1000000}"/>
    <cellStyle name="Currency 2 57" xfId="382" xr:uid="{00000000-0005-0000-0000-0000E2000000}"/>
    <cellStyle name="Currency 2 58" xfId="383" xr:uid="{00000000-0005-0000-0000-0000E3000000}"/>
    <cellStyle name="Currency 2 59" xfId="384" xr:uid="{00000000-0005-0000-0000-0000E4000000}"/>
    <cellStyle name="Currency 2 6" xfId="385" xr:uid="{00000000-0005-0000-0000-0000E5000000}"/>
    <cellStyle name="Currency 2 60" xfId="386" xr:uid="{00000000-0005-0000-0000-0000E6000000}"/>
    <cellStyle name="Currency 2 61" xfId="387" xr:uid="{00000000-0005-0000-0000-0000E7000000}"/>
    <cellStyle name="Currency 2 62" xfId="388" xr:uid="{00000000-0005-0000-0000-0000E8000000}"/>
    <cellStyle name="Currency 2 63" xfId="389" xr:uid="{00000000-0005-0000-0000-0000E9000000}"/>
    <cellStyle name="Currency 2 64" xfId="390" xr:uid="{00000000-0005-0000-0000-0000EA000000}"/>
    <cellStyle name="Currency 2 65" xfId="391" xr:uid="{00000000-0005-0000-0000-0000EB000000}"/>
    <cellStyle name="Currency 2 66" xfId="392" xr:uid="{00000000-0005-0000-0000-0000EC000000}"/>
    <cellStyle name="Currency 2 67" xfId="393" xr:uid="{00000000-0005-0000-0000-0000ED000000}"/>
    <cellStyle name="Currency 2 68" xfId="394" xr:uid="{00000000-0005-0000-0000-0000EE000000}"/>
    <cellStyle name="Currency 2 69" xfId="395" xr:uid="{00000000-0005-0000-0000-0000EF000000}"/>
    <cellStyle name="Currency 2 7" xfId="396" xr:uid="{00000000-0005-0000-0000-0000F0000000}"/>
    <cellStyle name="Currency 2 70" xfId="397" xr:uid="{00000000-0005-0000-0000-0000F1000000}"/>
    <cellStyle name="Currency 2 71" xfId="398" xr:uid="{00000000-0005-0000-0000-0000F2000000}"/>
    <cellStyle name="Currency 2 72" xfId="399" xr:uid="{00000000-0005-0000-0000-0000F3000000}"/>
    <cellStyle name="Currency 2 73" xfId="400" xr:uid="{00000000-0005-0000-0000-0000F4000000}"/>
    <cellStyle name="Currency 2 74" xfId="401" xr:uid="{00000000-0005-0000-0000-0000F5000000}"/>
    <cellStyle name="Currency 2 75" xfId="402" xr:uid="{00000000-0005-0000-0000-0000F6000000}"/>
    <cellStyle name="Currency 2 76" xfId="403" xr:uid="{00000000-0005-0000-0000-0000F7000000}"/>
    <cellStyle name="Currency 2 77" xfId="404" xr:uid="{00000000-0005-0000-0000-0000F8000000}"/>
    <cellStyle name="Currency 2 78" xfId="405" xr:uid="{00000000-0005-0000-0000-0000F9000000}"/>
    <cellStyle name="Currency 2 79" xfId="406" xr:uid="{00000000-0005-0000-0000-0000FA000000}"/>
    <cellStyle name="Currency 2 8" xfId="407" xr:uid="{00000000-0005-0000-0000-0000FB000000}"/>
    <cellStyle name="Currency 2 80" xfId="408" xr:uid="{00000000-0005-0000-0000-0000FC000000}"/>
    <cellStyle name="Currency 2 81" xfId="409" xr:uid="{00000000-0005-0000-0000-0000FD000000}"/>
    <cellStyle name="Currency 2 82" xfId="410" xr:uid="{00000000-0005-0000-0000-0000FE000000}"/>
    <cellStyle name="Currency 2 83" xfId="411" xr:uid="{00000000-0005-0000-0000-0000FF000000}"/>
    <cellStyle name="Currency 2 84" xfId="412" xr:uid="{00000000-0005-0000-0000-000000010000}"/>
    <cellStyle name="Currency 2 85" xfId="413" xr:uid="{00000000-0005-0000-0000-000001010000}"/>
    <cellStyle name="Currency 2 86" xfId="414" xr:uid="{00000000-0005-0000-0000-000002010000}"/>
    <cellStyle name="Currency 2 87" xfId="415" xr:uid="{00000000-0005-0000-0000-000003010000}"/>
    <cellStyle name="Currency 2 88" xfId="416" xr:uid="{00000000-0005-0000-0000-000004010000}"/>
    <cellStyle name="Currency 2 89" xfId="417" xr:uid="{00000000-0005-0000-0000-000005010000}"/>
    <cellStyle name="Currency 2 9" xfId="418" xr:uid="{00000000-0005-0000-0000-000006010000}"/>
    <cellStyle name="Currency 2 90" xfId="419" xr:uid="{00000000-0005-0000-0000-000007010000}"/>
    <cellStyle name="Currency 2 91" xfId="420" xr:uid="{00000000-0005-0000-0000-000008010000}"/>
    <cellStyle name="Currency 2 92" xfId="421" xr:uid="{00000000-0005-0000-0000-000009010000}"/>
    <cellStyle name="Currency 2 93" xfId="422" xr:uid="{00000000-0005-0000-0000-00000A010000}"/>
    <cellStyle name="Currency 2 94" xfId="423" xr:uid="{00000000-0005-0000-0000-00000B010000}"/>
    <cellStyle name="Currency 2 95" xfId="424" xr:uid="{00000000-0005-0000-0000-00000C010000}"/>
    <cellStyle name="Currency 2 96" xfId="425" xr:uid="{00000000-0005-0000-0000-00000D010000}"/>
    <cellStyle name="Currency 2 97" xfId="426" xr:uid="{00000000-0005-0000-0000-00000E010000}"/>
    <cellStyle name="Currency 2 98" xfId="427" xr:uid="{00000000-0005-0000-0000-00000F010000}"/>
    <cellStyle name="Currency 2 99" xfId="428" xr:uid="{00000000-0005-0000-0000-000010010000}"/>
    <cellStyle name="Currency 3" xfId="119" xr:uid="{00000000-0005-0000-0000-000011010000}"/>
    <cellStyle name="Currency 3 2" xfId="124" xr:uid="{00000000-0005-0000-0000-000012010000}"/>
    <cellStyle name="Currency 3 2 2" xfId="429" xr:uid="{00000000-0005-0000-0000-000013010000}"/>
    <cellStyle name="Currency 3 3" xfId="430" xr:uid="{00000000-0005-0000-0000-000014010000}"/>
    <cellStyle name="Currency 4" xfId="131" xr:uid="{00000000-0005-0000-0000-000015010000}"/>
    <cellStyle name="Currency 5" xfId="171" xr:uid="{00000000-0005-0000-0000-000016010000}"/>
    <cellStyle name="Date" xfId="431" xr:uid="{00000000-0005-0000-0000-000017010000}"/>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1" builtinId="9" hidden="1"/>
    <cellStyle name="Followed Hyperlink" xfId="167" builtinId="9" hidden="1"/>
    <cellStyle name="Followed Hyperlink" xfId="168" builtinId="9" hidden="1"/>
    <cellStyle name="Heading 2 2" xfId="432" xr:uid="{00000000-0005-0000-0000-00009D010000}"/>
    <cellStyle name="Heading 3 2" xfId="433" xr:uid="{00000000-0005-0000-0000-00009E010000}"/>
    <cellStyle name="Hyperlink 2" xfId="151" xr:uid="{00000000-0005-0000-0000-00009F010000}"/>
    <cellStyle name="Normal" xfId="0" builtinId="0"/>
    <cellStyle name="Normal - Style1" xfId="434" xr:uid="{00000000-0005-0000-0000-0000A1010000}"/>
    <cellStyle name="Normal 2" xfId="7" xr:uid="{00000000-0005-0000-0000-0000A2010000}"/>
    <cellStyle name="Normal 3" xfId="117" xr:uid="{00000000-0005-0000-0000-0000A3010000}"/>
    <cellStyle name="Normal 3 2" xfId="122" xr:uid="{00000000-0005-0000-0000-0000A4010000}"/>
    <cellStyle name="Normal 3 2 2" xfId="125" xr:uid="{00000000-0005-0000-0000-0000A5010000}"/>
    <cellStyle name="Normal 3 2 2 2" xfId="164" xr:uid="{00000000-0005-0000-0000-0000A6010000}"/>
    <cellStyle name="Normal 3 2 3" xfId="435" xr:uid="{00000000-0005-0000-0000-0000A7010000}"/>
    <cellStyle name="Normal 3 3" xfId="126" xr:uid="{00000000-0005-0000-0000-0000A8010000}"/>
    <cellStyle name="Normal 3 3 2" xfId="436" xr:uid="{00000000-0005-0000-0000-0000A9010000}"/>
    <cellStyle name="Normal 3 4" xfId="133" xr:uid="{00000000-0005-0000-0000-0000AA010000}"/>
    <cellStyle name="Normal 3 5" xfId="160" xr:uid="{00000000-0005-0000-0000-0000AB010000}"/>
    <cellStyle name="Normal 4" xfId="120" xr:uid="{00000000-0005-0000-0000-0000AC010000}"/>
    <cellStyle name="Normal 5" xfId="129" xr:uid="{00000000-0005-0000-0000-0000AD010000}"/>
    <cellStyle name="Normal 6" xfId="134" xr:uid="{00000000-0005-0000-0000-0000AE010000}"/>
    <cellStyle name="Normal 6 2" xfId="437" xr:uid="{00000000-0005-0000-0000-0000AF010000}"/>
    <cellStyle name="Normal 7" xfId="169" xr:uid="{00000000-0005-0000-0000-0000B0010000}"/>
    <cellStyle name="Percent" xfId="8" builtinId="5"/>
    <cellStyle name="Percent 2" xfId="9" xr:uid="{00000000-0005-0000-0000-0000B2010000}"/>
    <cellStyle name="Percent 3" xfId="132" xr:uid="{00000000-0005-0000-0000-0000B3010000}"/>
    <cellStyle name="Percent 4" xfId="135" xr:uid="{00000000-0005-0000-0000-0000B4010000}"/>
    <cellStyle name="Percent 4 2" xfId="438" xr:uid="{00000000-0005-0000-0000-0000B5010000}"/>
    <cellStyle name="Percent 5" xfId="172" xr:uid="{00000000-0005-0000-0000-0000B6010000}"/>
    <cellStyle name="Style 1" xfId="439" xr:uid="{00000000-0005-0000-0000-0000B7010000}"/>
    <cellStyle name="Volume" xfId="440" xr:uid="{00000000-0005-0000-0000-0000B8010000}"/>
  </cellStyles>
  <dxfs count="35">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
      <font>
        <b/>
        <i val="0"/>
        <strike val="0"/>
        <color rgb="FFFF0000"/>
      </font>
      <fill>
        <patternFill>
          <bgColor rgb="FFFFFF00"/>
        </patternFill>
      </fill>
    </dxf>
  </dxfs>
  <tableStyles count="0" defaultTableStyle="TableStyleMedium9" defaultPivotStyle="PivotStyleLight16"/>
  <colors>
    <mruColors>
      <color rgb="FFCCFFCC"/>
      <color rgb="FFFFFFCC"/>
      <color rgb="FFFFCCCC"/>
      <color rgb="FFFAEBA0"/>
      <color rgb="FFCCFFFF"/>
      <color rgb="FF99FF33"/>
      <color rgb="FFE6FEF6"/>
      <color rgb="FF3244F2"/>
      <color rgb="FFC0F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5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Ethernet transceiver market has three major customer segments</a:t>
            </a:r>
          </a:p>
        </c:rich>
      </c:tx>
      <c:overlay val="1"/>
    </c:title>
    <c:autoTitleDeleted val="0"/>
    <c:plotArea>
      <c:layout>
        <c:manualLayout>
          <c:layoutTarget val="inner"/>
          <c:xMode val="edge"/>
          <c:yMode val="edge"/>
          <c:x val="0.30308983410756801"/>
          <c:y val="0.297743172515953"/>
          <c:w val="0.31540559392624201"/>
          <c:h val="0.67565366266512505"/>
        </c:manualLayout>
      </c:layout>
      <c:pieChart>
        <c:varyColors val="1"/>
        <c:ser>
          <c:idx val="0"/>
          <c:order val="0"/>
          <c:dLbls>
            <c:dLbl>
              <c:idx val="0"/>
              <c:layout>
                <c:manualLayout>
                  <c:x val="4.04532143995412E-2"/>
                  <c:y val="5.6695201425014698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8BE-BA4D-B8B7-4DE6850AF434}"/>
                </c:ext>
              </c:extLst>
            </c:dLbl>
            <c:dLbl>
              <c:idx val="1"/>
              <c:layout>
                <c:manualLayout>
                  <c:x val="2.2222222222222199E-2"/>
                  <c:y val="-9.2592592592592601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BE-BA4D-B8B7-4DE6850AF434}"/>
                </c:ext>
              </c:extLst>
            </c:dLbl>
            <c:spPr>
              <a:noFill/>
              <a:ln>
                <a:noFill/>
              </a:ln>
              <a:effectLst/>
            </c:spPr>
            <c:txPr>
              <a:bodyPr/>
              <a:lstStyle/>
              <a:p>
                <a:pPr>
                  <a:defRPr sz="1400" b="1"/>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extLst>
          </c:dLbls>
          <c:cat>
            <c:strRef>
              <c:f>'Products x segment'!$B$32:$B$34</c:f>
              <c:strCache>
                <c:ptCount val="3"/>
                <c:pt idx="0">
                  <c:v>Telecom</c:v>
                </c:pt>
                <c:pt idx="1">
                  <c:v>Cloud</c:v>
                </c:pt>
                <c:pt idx="2">
                  <c:v>Enterprise</c:v>
                </c:pt>
              </c:strCache>
            </c:strRef>
          </c:cat>
          <c:val>
            <c:numRef>
              <c:f>'Products x segment'!$O$32:$O$34</c:f>
              <c:numCache>
                <c:formatCode>_(* #,##0_);_(* \(#,##0\);_(* "-"??_);_(@_)</c:formatCode>
                <c:ptCount val="3"/>
                <c:pt idx="0">
                  <c:v>0</c:v>
                </c:pt>
                <c:pt idx="1">
                  <c:v>0</c:v>
                </c:pt>
                <c:pt idx="2">
                  <c:v>0</c:v>
                </c:pt>
              </c:numCache>
            </c:numRef>
          </c:val>
          <c:extLst>
            <c:ext xmlns:c16="http://schemas.microsoft.com/office/drawing/2014/chart" uri="{C3380CC4-5D6E-409C-BE32-E72D297353CC}">
              <c16:uniqueId val="{00000002-28BE-BA4D-B8B7-4DE6850AF434}"/>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71050141584193"/>
          <c:y val="6.2015795685431342E-2"/>
          <c:w val="0.81279017520375507"/>
          <c:h val="0.83045118644786242"/>
        </c:manualLayout>
      </c:layout>
      <c:lineChart>
        <c:grouping val="standard"/>
        <c:varyColors val="0"/>
        <c:ser>
          <c:idx val="0"/>
          <c:order val="0"/>
          <c:tx>
            <c:strRef>
              <c:f>Summary!$B$365</c:f>
              <c:strCache>
                <c:ptCount val="1"/>
                <c:pt idx="0">
                  <c:v>100 m</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Summary!$C$365:$N$365</c:f>
              <c:numCache>
                <c:formatCode>_(* #,##0_);_(* \(#,##0\);_(* "-"??_);_(@_)</c:formatCode>
                <c:ptCount val="12"/>
                <c:pt idx="0">
                  <c:v>1254229</c:v>
                </c:pt>
                <c:pt idx="1">
                  <c:v>1544331</c:v>
                </c:pt>
                <c:pt idx="2">
                  <c:v>1554966.5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5A1-4040-A02F-85C09F091F79}"/>
            </c:ext>
          </c:extLst>
        </c:ser>
        <c:ser>
          <c:idx val="1"/>
          <c:order val="1"/>
          <c:tx>
            <c:strRef>
              <c:f>Summary!$B$366</c:f>
              <c:strCache>
                <c:ptCount val="1"/>
                <c:pt idx="0">
                  <c:v>300 m</c:v>
                </c:pt>
              </c:strCache>
            </c:strRef>
          </c:tx>
          <c:spPr>
            <a:ln>
              <a:solidFill>
                <a:schemeClr val="accent4"/>
              </a:solidFill>
            </a:ln>
          </c:spPr>
          <c:marker>
            <c:symbol val="square"/>
            <c:size val="5"/>
            <c:spPr>
              <a:solidFill>
                <a:schemeClr val="accent4"/>
              </a:solidFill>
              <a:ln>
                <a:solidFill>
                  <a:schemeClr val="accent4"/>
                </a:solidFill>
              </a:ln>
            </c:spPr>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Summary!$C$366:$N$366</c:f>
              <c:numCache>
                <c:formatCode>_(* #,##0_);_(* \(#,##0\);_(* "-"??_);_(@_)</c:formatCode>
                <c:ptCount val="12"/>
                <c:pt idx="0">
                  <c:v>275269</c:v>
                </c:pt>
                <c:pt idx="1">
                  <c:v>466535</c:v>
                </c:pt>
                <c:pt idx="2">
                  <c:v>491067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5A1-4040-A02F-85C09F091F79}"/>
            </c:ext>
          </c:extLst>
        </c:ser>
        <c:ser>
          <c:idx val="5"/>
          <c:order val="2"/>
          <c:tx>
            <c:strRef>
              <c:f>Summary!$B$367</c:f>
              <c:strCache>
                <c:ptCount val="1"/>
                <c:pt idx="0">
                  <c:v>500 m</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Summary!$C$367:$N$367</c:f>
              <c:numCache>
                <c:formatCode>_(* #,##0_);_(* \(#,##0\);_(* "-"??_);_(@_)</c:formatCode>
                <c:ptCount val="12"/>
                <c:pt idx="0">
                  <c:v>813790</c:v>
                </c:pt>
                <c:pt idx="1">
                  <c:v>613640</c:v>
                </c:pt>
                <c:pt idx="2">
                  <c:v>502708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5A1-4040-A02F-85C09F091F79}"/>
            </c:ext>
          </c:extLst>
        </c:ser>
        <c:ser>
          <c:idx val="2"/>
          <c:order val="3"/>
          <c:tx>
            <c:strRef>
              <c:f>Summary!$B$368</c:f>
              <c:strCache>
                <c:ptCount val="1"/>
                <c:pt idx="0">
                  <c:v>2 km</c:v>
                </c:pt>
              </c:strCache>
            </c:strRef>
          </c:tx>
          <c:spPr>
            <a:ln>
              <a:solidFill>
                <a:schemeClr val="accent2"/>
              </a:solidFill>
            </a:ln>
          </c:spPr>
          <c:marker>
            <c:spPr>
              <a:solidFill>
                <a:schemeClr val="accent2"/>
              </a:solidFill>
              <a:ln>
                <a:solidFill>
                  <a:schemeClr val="accent2"/>
                </a:solidFill>
              </a:ln>
            </c:spPr>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Summary!$C$368:$N$368</c:f>
              <c:numCache>
                <c:formatCode>_(* #,##0_);_(* \(#,##0\);_(* "-"??_);_(@_)</c:formatCode>
                <c:ptCount val="12"/>
                <c:pt idx="0">
                  <c:v>471000</c:v>
                </c:pt>
                <c:pt idx="1">
                  <c:v>807018</c:v>
                </c:pt>
                <c:pt idx="2">
                  <c:v>271821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E5A1-4040-A02F-85C09F091F79}"/>
            </c:ext>
          </c:extLst>
        </c:ser>
        <c:ser>
          <c:idx val="3"/>
          <c:order val="4"/>
          <c:tx>
            <c:strRef>
              <c:f>Summary!$B$369</c:f>
              <c:strCache>
                <c:ptCount val="1"/>
                <c:pt idx="0">
                  <c:v>10 km</c:v>
                </c:pt>
              </c:strCache>
            </c:strRef>
          </c:tx>
          <c:spPr>
            <a:ln>
              <a:solidFill>
                <a:schemeClr val="accent3"/>
              </a:solidFill>
            </a:ln>
          </c:spPr>
          <c:marker>
            <c:symbol val="x"/>
            <c:size val="5"/>
            <c:spPr>
              <a:solidFill>
                <a:schemeClr val="accent3"/>
              </a:solidFill>
              <a:ln>
                <a:solidFill>
                  <a:schemeClr val="accent3"/>
                </a:solidFill>
              </a:ln>
            </c:spPr>
          </c:marker>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Summary!$C$369:$N$369</c:f>
              <c:numCache>
                <c:formatCode>_(* #,##0_);_(* \(#,##0\);_(* "-"??_);_(@_)</c:formatCode>
                <c:ptCount val="12"/>
                <c:pt idx="0">
                  <c:v>333886</c:v>
                </c:pt>
                <c:pt idx="1">
                  <c:v>427204</c:v>
                </c:pt>
                <c:pt idx="2">
                  <c:v>269337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5A1-4040-A02F-85C09F091F79}"/>
            </c:ext>
          </c:extLst>
        </c:ser>
        <c:ser>
          <c:idx val="4"/>
          <c:order val="5"/>
          <c:tx>
            <c:strRef>
              <c:f>Summary!$B$370</c:f>
              <c:strCache>
                <c:ptCount val="1"/>
                <c:pt idx="0">
                  <c:v>40 km</c:v>
                </c:pt>
              </c:strCache>
            </c:strRef>
          </c:tx>
          <c:cat>
            <c:numRef>
              <c:f>Summary!$C$364:$N$364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Summary!$C$370:$N$370</c:f>
              <c:numCache>
                <c:formatCode>_(* #,##0_);_(* \(#,##0\);_(* "-"??_);_(@_)</c:formatCode>
                <c:ptCount val="12"/>
                <c:pt idx="0">
                  <c:v>4894</c:v>
                </c:pt>
                <c:pt idx="1">
                  <c:v>5432</c:v>
                </c:pt>
                <c:pt idx="2">
                  <c:v>8224</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E5A1-4040-A02F-85C09F091F79}"/>
            </c:ext>
          </c:extLst>
        </c:ser>
        <c:dLbls>
          <c:showLegendKey val="0"/>
          <c:showVal val="0"/>
          <c:showCatName val="0"/>
          <c:showSerName val="0"/>
          <c:showPercent val="0"/>
          <c:showBubbleSize val="0"/>
        </c:dLbls>
        <c:marker val="1"/>
        <c:smooth val="0"/>
        <c:axId val="124680448"/>
        <c:axId val="124682240"/>
      </c:lineChart>
      <c:catAx>
        <c:axId val="124680448"/>
        <c:scaling>
          <c:orientation val="minMax"/>
        </c:scaling>
        <c:delete val="0"/>
        <c:axPos val="b"/>
        <c:numFmt formatCode="General" sourceLinked="1"/>
        <c:majorTickMark val="out"/>
        <c:minorTickMark val="none"/>
        <c:tickLblPos val="nextTo"/>
        <c:txPr>
          <a:bodyPr/>
          <a:lstStyle/>
          <a:p>
            <a:pPr>
              <a:defRPr sz="1000"/>
            </a:pPr>
            <a:endParaRPr lang="en-US"/>
          </a:p>
        </c:txPr>
        <c:crossAx val="124682240"/>
        <c:crosses val="autoZero"/>
        <c:auto val="1"/>
        <c:lblAlgn val="ctr"/>
        <c:lblOffset val="100"/>
        <c:noMultiLvlLbl val="0"/>
      </c:catAx>
      <c:valAx>
        <c:axId val="124682240"/>
        <c:scaling>
          <c:orientation val="minMax"/>
          <c:max val="1600000"/>
        </c:scaling>
        <c:delete val="0"/>
        <c:axPos val="l"/>
        <c:majorGridlines/>
        <c:title>
          <c:tx>
            <c:rich>
              <a:bodyPr rot="-5400000" vert="horz"/>
              <a:lstStyle/>
              <a:p>
                <a:pPr>
                  <a:defRPr sz="1400"/>
                </a:pPr>
                <a:r>
                  <a:rPr lang="en-US" sz="1400"/>
                  <a:t>Annual shipments (Units)</a:t>
                </a:r>
              </a:p>
            </c:rich>
          </c:tx>
          <c:overlay val="0"/>
        </c:title>
        <c:numFmt formatCode="_(* #,##0_);_(* \(#,##0\);_(* &quot;-&quot;??_);_(@_)" sourceLinked="1"/>
        <c:majorTickMark val="out"/>
        <c:minorTickMark val="none"/>
        <c:tickLblPos val="nextTo"/>
        <c:txPr>
          <a:bodyPr/>
          <a:lstStyle/>
          <a:p>
            <a:pPr>
              <a:defRPr sz="1000"/>
            </a:pPr>
            <a:endParaRPr lang="en-US"/>
          </a:p>
        </c:txPr>
        <c:crossAx val="124680448"/>
        <c:crosses val="autoZero"/>
        <c:crossBetween val="between"/>
      </c:valAx>
    </c:plotArea>
    <c:legend>
      <c:legendPos val="t"/>
      <c:layout>
        <c:manualLayout>
          <c:xMode val="edge"/>
          <c:yMode val="edge"/>
          <c:x val="0.82648683899731656"/>
          <c:y val="6.3585545525659176E-2"/>
          <c:w val="0.15189796737783431"/>
          <c:h val="0.570623315339090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80654628726852"/>
          <c:y val="4.3952713374130495E-2"/>
          <c:w val="0.81527553424805821"/>
          <c:h val="0.86134541117128949"/>
        </c:manualLayout>
      </c:layout>
      <c:lineChart>
        <c:grouping val="standard"/>
        <c:varyColors val="0"/>
        <c:ser>
          <c:idx val="5"/>
          <c:order val="0"/>
          <c:tx>
            <c:strRef>
              <c:f>Summary!$B$443</c:f>
              <c:strCache>
                <c:ptCount val="1"/>
                <c:pt idx="0">
                  <c:v>500m 40G PSM4 QSFP+</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Summary!$C$443:$N$443</c:f>
              <c:numCache>
                <c:formatCode>_(* #,##0_);_(* \(#,##0\);_(* "-"??_);_(@_)</c:formatCode>
                <c:ptCount val="12"/>
                <c:pt idx="0">
                  <c:v>813790</c:v>
                </c:pt>
                <c:pt idx="1">
                  <c:v>613640</c:v>
                </c:pt>
                <c:pt idx="2">
                  <c:v>502708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CF4-5E4E-B425-604C7E3108CC}"/>
            </c:ext>
          </c:extLst>
        </c:ser>
        <c:ser>
          <c:idx val="0"/>
          <c:order val="1"/>
          <c:tx>
            <c:strRef>
              <c:f>Summary!$B$444</c:f>
              <c:strCache>
                <c:ptCount val="1"/>
                <c:pt idx="0">
                  <c:v>2 km  40G (FR) CFP</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Summary!$C$444:$N$444</c:f>
              <c:numCache>
                <c:formatCode>_(* #,##0_);_(* \(#,##0\);_(* "-"??_);_(@_)</c:formatCode>
                <c:ptCount val="12"/>
                <c:pt idx="0">
                  <c:v>791</c:v>
                </c:pt>
                <c:pt idx="1">
                  <c:v>402</c:v>
                </c:pt>
              </c:numCache>
            </c:numRef>
          </c:val>
          <c:smooth val="0"/>
          <c:extLst>
            <c:ext xmlns:c16="http://schemas.microsoft.com/office/drawing/2014/chart" uri="{C3380CC4-5D6E-409C-BE32-E72D297353CC}">
              <c16:uniqueId val="{00000001-1CF4-5E4E-B425-604C7E3108CC}"/>
            </c:ext>
          </c:extLst>
        </c:ser>
        <c:ser>
          <c:idx val="1"/>
          <c:order val="2"/>
          <c:tx>
            <c:strRef>
              <c:f>Summary!$B$445</c:f>
              <c:strCache>
                <c:ptCount val="1"/>
                <c:pt idx="0">
                  <c:v>2 km 40G LR4 subspec QSFP+</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Summary!$C$445:$N$445</c:f>
              <c:numCache>
                <c:formatCode>_(* #,##0_);_(* \(#,##0\);_(* "-"??_);_(@_)</c:formatCode>
                <c:ptCount val="12"/>
                <c:pt idx="0">
                  <c:v>470209</c:v>
                </c:pt>
                <c:pt idx="1">
                  <c:v>806616</c:v>
                </c:pt>
                <c:pt idx="2">
                  <c:v>271821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CF4-5E4E-B425-604C7E3108CC}"/>
            </c:ext>
          </c:extLst>
        </c:ser>
        <c:ser>
          <c:idx val="2"/>
          <c:order val="3"/>
          <c:tx>
            <c:strRef>
              <c:f>Summary!$B$446</c:f>
              <c:strCache>
                <c:ptCount val="1"/>
                <c:pt idx="0">
                  <c:v>10 km 40G CFP</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Summary!$C$446:$N$446</c:f>
              <c:numCache>
                <c:formatCode>_(* #,##0_);_(* \(#,##0\);_(* "-"??_);_(@_)</c:formatCode>
                <c:ptCount val="12"/>
                <c:pt idx="0">
                  <c:v>6655</c:v>
                </c:pt>
                <c:pt idx="1">
                  <c:v>2846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1CF4-5E4E-B425-604C7E3108CC}"/>
            </c:ext>
          </c:extLst>
        </c:ser>
        <c:ser>
          <c:idx val="3"/>
          <c:order val="4"/>
          <c:tx>
            <c:strRef>
              <c:f>Summary!$B$447</c:f>
              <c:strCache>
                <c:ptCount val="1"/>
                <c:pt idx="0">
                  <c:v>10 km  40G QSFP+</c:v>
                </c:pt>
              </c:strCache>
            </c:strRef>
          </c:tx>
          <c:marker>
            <c:symbol val="square"/>
            <c:size val="5"/>
          </c:marker>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Summary!$C$447:$N$447</c:f>
              <c:numCache>
                <c:formatCode>_(* #,##0_);_(* \(#,##0\);_(* "-"??_);_(@_)</c:formatCode>
                <c:ptCount val="12"/>
                <c:pt idx="0">
                  <c:v>327231</c:v>
                </c:pt>
                <c:pt idx="1">
                  <c:v>424358</c:v>
                </c:pt>
                <c:pt idx="2">
                  <c:v>269337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1CF4-5E4E-B425-604C7E3108CC}"/>
            </c:ext>
          </c:extLst>
        </c:ser>
        <c:ser>
          <c:idx val="4"/>
          <c:order val="5"/>
          <c:tx>
            <c:strRef>
              <c:f>Summary!$B$448</c:f>
              <c:strCache>
                <c:ptCount val="1"/>
                <c:pt idx="0">
                  <c:v>40 km 40G all</c:v>
                </c:pt>
              </c:strCache>
            </c:strRef>
          </c:tx>
          <c:cat>
            <c:numRef>
              <c:f>Summary!$C$442:$N$442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Summary!$C$448:$N$448</c:f>
              <c:numCache>
                <c:formatCode>_(* #,##0_);_(* \(#,##0\);_(* "-"??_);_(@_)</c:formatCode>
                <c:ptCount val="12"/>
                <c:pt idx="0">
                  <c:v>4894</c:v>
                </c:pt>
                <c:pt idx="1">
                  <c:v>5432</c:v>
                </c:pt>
                <c:pt idx="2">
                  <c:v>8224</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1CF4-5E4E-B425-604C7E3108CC}"/>
            </c:ext>
          </c:extLst>
        </c:ser>
        <c:dLbls>
          <c:showLegendKey val="0"/>
          <c:showVal val="0"/>
          <c:showCatName val="0"/>
          <c:showSerName val="0"/>
          <c:showPercent val="0"/>
          <c:showBubbleSize val="0"/>
        </c:dLbls>
        <c:marker val="1"/>
        <c:smooth val="0"/>
        <c:axId val="124754176"/>
        <c:axId val="124755968"/>
      </c:lineChart>
      <c:catAx>
        <c:axId val="124754176"/>
        <c:scaling>
          <c:orientation val="minMax"/>
        </c:scaling>
        <c:delete val="0"/>
        <c:axPos val="b"/>
        <c:numFmt formatCode="General" sourceLinked="1"/>
        <c:majorTickMark val="out"/>
        <c:minorTickMark val="none"/>
        <c:tickLblPos val="nextTo"/>
        <c:txPr>
          <a:bodyPr/>
          <a:lstStyle/>
          <a:p>
            <a:pPr>
              <a:defRPr sz="1050"/>
            </a:pPr>
            <a:endParaRPr lang="en-US"/>
          </a:p>
        </c:txPr>
        <c:crossAx val="124755968"/>
        <c:crosses val="autoZero"/>
        <c:auto val="1"/>
        <c:lblAlgn val="ctr"/>
        <c:lblOffset val="100"/>
        <c:noMultiLvlLbl val="0"/>
      </c:catAx>
      <c:valAx>
        <c:axId val="124755968"/>
        <c:scaling>
          <c:orientation val="minMax"/>
          <c:min val="0"/>
        </c:scaling>
        <c:delete val="0"/>
        <c:axPos val="l"/>
        <c:majorGridlines/>
        <c:title>
          <c:tx>
            <c:rich>
              <a:bodyPr rot="-5400000" vert="horz"/>
              <a:lstStyle/>
              <a:p>
                <a:pPr>
                  <a:defRPr sz="1400"/>
                </a:pPr>
                <a:r>
                  <a:rPr lang="en-US" sz="1400"/>
                  <a:t>Annual shipments</a:t>
                </a:r>
              </a:p>
            </c:rich>
          </c:tx>
          <c:overlay val="0"/>
        </c:title>
        <c:numFmt formatCode="#,##0" sourceLinked="0"/>
        <c:majorTickMark val="out"/>
        <c:minorTickMark val="none"/>
        <c:tickLblPos val="nextTo"/>
        <c:txPr>
          <a:bodyPr/>
          <a:lstStyle/>
          <a:p>
            <a:pPr>
              <a:defRPr sz="1100"/>
            </a:pPr>
            <a:endParaRPr lang="en-US"/>
          </a:p>
        </c:txPr>
        <c:crossAx val="124754176"/>
        <c:crosses val="autoZero"/>
        <c:crossBetween val="between"/>
      </c:valAx>
    </c:plotArea>
    <c:legend>
      <c:legendPos val="t"/>
      <c:layout>
        <c:manualLayout>
          <c:xMode val="edge"/>
          <c:yMode val="edge"/>
          <c:x val="0.66542919714521842"/>
          <c:y val="5.4345651718956473E-2"/>
          <c:w val="0.3238385731109733"/>
          <c:h val="0.44029319100870484"/>
        </c:manualLayout>
      </c:layout>
      <c:overlay val="0"/>
      <c:spPr>
        <a:solidFill>
          <a:schemeClr val="bg1"/>
        </a:solidFill>
        <a:ln>
          <a:solidFill>
            <a:schemeClr val="tx1"/>
          </a:solidFill>
        </a:ln>
      </c:spPr>
      <c:txPr>
        <a:bodyPr/>
        <a:lstStyle/>
        <a:p>
          <a:pPr>
            <a:defRPr lang="en-US"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35386850370981"/>
          <c:y val="3.2895576992769252E-2"/>
          <c:w val="0.76545195838128821"/>
          <c:h val="0.88129472991329527"/>
        </c:manualLayout>
      </c:layout>
      <c:lineChart>
        <c:grouping val="standard"/>
        <c:varyColors val="0"/>
        <c:ser>
          <c:idx val="0"/>
          <c:order val="0"/>
          <c:tx>
            <c:strRef>
              <c:f>Summary!$B$644</c:f>
              <c:strCache>
                <c:ptCount val="1"/>
                <c:pt idx="0">
                  <c:v>100G PSM4_500 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Summary!$C$644:$N$644</c:f>
              <c:numCache>
                <c:formatCode>_(* #,##0_);_(* \(#,##0\);_(* "-"??_);_(@_)</c:formatCode>
                <c:ptCount val="12"/>
                <c:pt idx="0">
                  <c:v>200861</c:v>
                </c:pt>
                <c:pt idx="1">
                  <c:v>710038</c:v>
                </c:pt>
                <c:pt idx="2">
                  <c:v>514311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742-FF43-B74E-AD72223D05C9}"/>
            </c:ext>
          </c:extLst>
        </c:ser>
        <c:ser>
          <c:idx val="7"/>
          <c:order val="1"/>
          <c:tx>
            <c:strRef>
              <c:f>Summary!$B$645</c:f>
              <c:strCache>
                <c:ptCount val="1"/>
                <c:pt idx="0">
                  <c:v>100G DR_500m_QSFP28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Summary!$C$645:$N$645</c:f>
              <c:numCache>
                <c:formatCode>_(* #,##0_);_(* \(#,##0\);_(* "-"??_);_(@_)</c:formatCode>
                <c:ptCount val="12"/>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EFC-0541-A2A8-6BE89802A05E}"/>
            </c:ext>
          </c:extLst>
        </c:ser>
        <c:ser>
          <c:idx val="8"/>
          <c:order val="2"/>
          <c:tx>
            <c:strRef>
              <c:f>Summary!$B$646</c:f>
              <c:strCache>
                <c:ptCount val="1"/>
                <c:pt idx="0">
                  <c:v>100G CWDM4-subspec_500 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Summary!$C$646:$N$646</c:f>
              <c:numCache>
                <c:formatCode>_(* #,##0_);_(* \(#,##0\);_(* "-"??_);_(@_)</c:formatCode>
                <c:ptCount val="12"/>
                <c:pt idx="0">
                  <c:v>88200.6</c:v>
                </c:pt>
                <c:pt idx="1">
                  <c:v>683412.1</c:v>
                </c:pt>
                <c:pt idx="2">
                  <c:v>1100000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EFC-0541-A2A8-6BE89802A05E}"/>
            </c:ext>
          </c:extLst>
        </c:ser>
        <c:ser>
          <c:idx val="5"/>
          <c:order val="3"/>
          <c:tx>
            <c:strRef>
              <c:f>Summary!$B$647</c:f>
              <c:strCache>
                <c:ptCount val="1"/>
                <c:pt idx="0">
                  <c:v>100G CWDM4_2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Summary!$C$647:$N$647</c:f>
              <c:numCache>
                <c:formatCode>_(* #,##0_);_(* \(#,##0\);_(* "-"??_);_(@_)</c:formatCode>
                <c:ptCount val="12"/>
                <c:pt idx="0">
                  <c:v>30989.399999999994</c:v>
                </c:pt>
                <c:pt idx="1">
                  <c:v>292890.90000000002</c:v>
                </c:pt>
                <c:pt idx="2">
                  <c:v>1866292.6190476189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0742-FF43-B74E-AD72223D05C9}"/>
            </c:ext>
          </c:extLst>
        </c:ser>
        <c:ser>
          <c:idx val="10"/>
          <c:order val="4"/>
          <c:tx>
            <c:strRef>
              <c:f>Summary!$B$648</c:f>
              <c:strCache>
                <c:ptCount val="1"/>
                <c:pt idx="0">
                  <c:v>100G FR, DR+_2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Summary!$C$648:$N$648</c:f>
              <c:numCache>
                <c:formatCode>_(* #,##0_);_(* \(#,##0\);_(* "-"??_);_(@_)</c:formatCode>
                <c:ptCount val="12"/>
                <c:pt idx="2">
                  <c:v>3000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EFC-0541-A2A8-6BE89802A05E}"/>
            </c:ext>
          </c:extLst>
        </c:ser>
        <c:ser>
          <c:idx val="1"/>
          <c:order val="5"/>
          <c:tx>
            <c:strRef>
              <c:f>Summary!$B$649</c:f>
              <c:strCache>
                <c:ptCount val="1"/>
                <c:pt idx="0">
                  <c:v>100G LR4_10 km_CFP</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Summary!$C$649:$N$649</c:f>
              <c:numCache>
                <c:formatCode>_(* #,##0_);_(* \(#,##0\);_(* "-"??_);_(@_)</c:formatCode>
                <c:ptCount val="12"/>
                <c:pt idx="0">
                  <c:v>109936</c:v>
                </c:pt>
                <c:pt idx="1">
                  <c:v>67349</c:v>
                </c:pt>
                <c:pt idx="2">
                  <c:v>38716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0742-FF43-B74E-AD72223D05C9}"/>
            </c:ext>
          </c:extLst>
        </c:ser>
        <c:ser>
          <c:idx val="2"/>
          <c:order val="6"/>
          <c:tx>
            <c:strRef>
              <c:f>Summary!$B$650</c:f>
              <c:strCache>
                <c:ptCount val="1"/>
                <c:pt idx="0">
                  <c:v>100G LR4_10 km_CFP2/4</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Summary!$C$650:$N$650</c:f>
              <c:numCache>
                <c:formatCode>_(* #,##0_);_(* \(#,##0\);_(* "-"??_);_(@_)</c:formatCode>
                <c:ptCount val="12"/>
                <c:pt idx="0">
                  <c:v>92243</c:v>
                </c:pt>
                <c:pt idx="1">
                  <c:v>78202</c:v>
                </c:pt>
                <c:pt idx="2">
                  <c:v>73797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0742-FF43-B74E-AD72223D05C9}"/>
            </c:ext>
          </c:extLst>
        </c:ser>
        <c:ser>
          <c:idx val="3"/>
          <c:order val="7"/>
          <c:tx>
            <c:strRef>
              <c:f>Summary!$B$651</c:f>
              <c:strCache>
                <c:ptCount val="1"/>
                <c:pt idx="0">
                  <c:v>100G LR4 and LR1_10 km_QSFP28</c:v>
                </c:pt>
              </c:strCache>
            </c:strRef>
          </c:tx>
          <c:marker>
            <c:symbol val="square"/>
            <c:size val="5"/>
          </c:marker>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Summary!$C$651:$N$651</c:f>
              <c:numCache>
                <c:formatCode>_(* #,##0_);_(* \(#,##0\);_(* "-"??_);_(@_)</c:formatCode>
                <c:ptCount val="12"/>
                <c:pt idx="0">
                  <c:v>90443</c:v>
                </c:pt>
                <c:pt idx="1">
                  <c:v>362352</c:v>
                </c:pt>
                <c:pt idx="2">
                  <c:v>397891.1176470588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0742-FF43-B74E-AD72223D05C9}"/>
            </c:ext>
          </c:extLst>
        </c:ser>
        <c:ser>
          <c:idx val="9"/>
          <c:order val="8"/>
          <c:tx>
            <c:strRef>
              <c:f>Summary!$B$652</c:f>
              <c:strCache>
                <c:ptCount val="1"/>
                <c:pt idx="0">
                  <c:v>100G 4WDM10_10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Summary!$C$652:$N$652</c:f>
              <c:numCache>
                <c:formatCode>_(* #,##0_);_(* \(#,##0\);_(* "-"??_);_(@_)</c:formatCode>
                <c:ptCount val="12"/>
                <c:pt idx="1">
                  <c:v>45000</c:v>
                </c:pt>
                <c:pt idx="2">
                  <c:v>100000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EFC-0541-A2A8-6BE89802A05E}"/>
            </c:ext>
          </c:extLst>
        </c:ser>
        <c:ser>
          <c:idx val="6"/>
          <c:order val="9"/>
          <c:tx>
            <c:strRef>
              <c:f>Summary!$B$653</c:f>
              <c:strCache>
                <c:ptCount val="1"/>
                <c:pt idx="0">
                  <c:v>100G 4WDM20_20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Summary!$C$653:$N$653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0742-FF43-B74E-AD72223D05C9}"/>
            </c:ext>
          </c:extLst>
        </c:ser>
        <c:ser>
          <c:idx val="4"/>
          <c:order val="10"/>
          <c:tx>
            <c:strRef>
              <c:f>Summary!$B$654</c:f>
              <c:strCache>
                <c:ptCount val="1"/>
                <c:pt idx="0">
                  <c:v>100G ER4-Lite_30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Summary!$C$654:$N$654</c:f>
              <c:numCache>
                <c:formatCode>_(* #,##0_);_(* \(#,##0\);_(* "-"??_);_(@_)</c:formatCode>
                <c:ptCount val="12"/>
                <c:pt idx="0">
                  <c:v>0</c:v>
                </c:pt>
                <c:pt idx="1">
                  <c:v>2000</c:v>
                </c:pt>
                <c:pt idx="2">
                  <c:v>6050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0742-FF43-B74E-AD72223D05C9}"/>
            </c:ext>
          </c:extLst>
        </c:ser>
        <c:ser>
          <c:idx val="11"/>
          <c:order val="11"/>
          <c:tx>
            <c:strRef>
              <c:f>Summary!$B$655</c:f>
              <c:strCache>
                <c:ptCount val="1"/>
                <c:pt idx="0">
                  <c:v>100G ER4_40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Summary!$C$655:$N$655</c:f>
              <c:numCache>
                <c:formatCode>_(* #,##0_);_(* \(#,##0\);_(* "-"??_);_(@_)</c:formatCode>
                <c:ptCount val="12"/>
                <c:pt idx="0">
                  <c:v>7456</c:v>
                </c:pt>
                <c:pt idx="1">
                  <c:v>8272</c:v>
                </c:pt>
                <c:pt idx="2">
                  <c:v>4050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84A-9049-8669-DA576F19C94E}"/>
            </c:ext>
          </c:extLst>
        </c:ser>
        <c:ser>
          <c:idx val="12"/>
          <c:order val="12"/>
          <c:tx>
            <c:strRef>
              <c:f>Summary!$B$656</c:f>
              <c:strCache>
                <c:ptCount val="1"/>
                <c:pt idx="0">
                  <c:v>100G ZR4_80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Summary!$C$656:$N$656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84A-9049-8669-DA576F19C94E}"/>
            </c:ext>
          </c:extLst>
        </c:ser>
        <c:dLbls>
          <c:showLegendKey val="0"/>
          <c:showVal val="0"/>
          <c:showCatName val="0"/>
          <c:showSerName val="0"/>
          <c:showPercent val="0"/>
          <c:showBubbleSize val="0"/>
        </c:dLbls>
        <c:marker val="1"/>
        <c:smooth val="0"/>
        <c:axId val="124902016"/>
        <c:axId val="124903808"/>
      </c:lineChart>
      <c:catAx>
        <c:axId val="124902016"/>
        <c:scaling>
          <c:orientation val="minMax"/>
        </c:scaling>
        <c:delete val="0"/>
        <c:axPos val="b"/>
        <c:numFmt formatCode="General" sourceLinked="1"/>
        <c:majorTickMark val="out"/>
        <c:minorTickMark val="none"/>
        <c:tickLblPos val="nextTo"/>
        <c:txPr>
          <a:bodyPr/>
          <a:lstStyle/>
          <a:p>
            <a:pPr>
              <a:defRPr sz="1050"/>
            </a:pPr>
            <a:endParaRPr lang="en-US"/>
          </a:p>
        </c:txPr>
        <c:crossAx val="124903808"/>
        <c:crosses val="autoZero"/>
        <c:auto val="1"/>
        <c:lblAlgn val="ctr"/>
        <c:lblOffset val="100"/>
        <c:noMultiLvlLbl val="0"/>
      </c:catAx>
      <c:valAx>
        <c:axId val="124903808"/>
        <c:scaling>
          <c:orientation val="minMax"/>
          <c:min val="0"/>
        </c:scaling>
        <c:delete val="0"/>
        <c:axPos val="l"/>
        <c:majorGridlines/>
        <c:title>
          <c:tx>
            <c:rich>
              <a:bodyPr rot="-5400000" vert="horz"/>
              <a:lstStyle/>
              <a:p>
                <a:pPr>
                  <a:defRPr sz="1400"/>
                </a:pPr>
                <a:r>
                  <a:rPr lang="en-US" sz="1400"/>
                  <a:t>Annual shipments
</a:t>
                </a:r>
              </a:p>
            </c:rich>
          </c:tx>
          <c:overlay val="0"/>
        </c:title>
        <c:numFmt formatCode="#,##0" sourceLinked="0"/>
        <c:majorTickMark val="out"/>
        <c:minorTickMark val="none"/>
        <c:tickLblPos val="nextTo"/>
        <c:txPr>
          <a:bodyPr/>
          <a:lstStyle/>
          <a:p>
            <a:pPr>
              <a:defRPr sz="1100"/>
            </a:pPr>
            <a:endParaRPr lang="en-US"/>
          </a:p>
        </c:txPr>
        <c:crossAx val="124902016"/>
        <c:crosses val="autoZero"/>
        <c:crossBetween val="between"/>
      </c:valAx>
    </c:plotArea>
    <c:legend>
      <c:legendPos val="t"/>
      <c:layout>
        <c:manualLayout>
          <c:xMode val="edge"/>
          <c:yMode val="edge"/>
          <c:x val="0.20178010540665142"/>
          <c:y val="5.1199495105133011E-2"/>
          <c:w val="0.71655703516995561"/>
          <c:h val="0.521401124320932"/>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75688679781172"/>
          <c:y val="4.2306270244038963E-2"/>
          <c:w val="0.82519515019078471"/>
          <c:h val="0.86289738655314385"/>
        </c:manualLayout>
      </c:layout>
      <c:lineChart>
        <c:grouping val="standard"/>
        <c:varyColors val="0"/>
        <c:ser>
          <c:idx val="0"/>
          <c:order val="0"/>
          <c:tx>
            <c:strRef>
              <c:f>Summary!$B$410</c:f>
              <c:strCache>
                <c:ptCount val="1"/>
                <c:pt idx="0">
                  <c:v>100 m  40G QSFP+</c:v>
                </c:pt>
              </c:strCache>
            </c:strRef>
          </c:tx>
          <c:cat>
            <c:numRef>
              <c:f>Summary!$C$409:$N$409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Summary!$C$410:$N$410</c:f>
              <c:numCache>
                <c:formatCode>_("$"* #,##0_);_("$"* \(#,##0\);_("$"* "-"??_);_(@_)</c:formatCode>
                <c:ptCount val="12"/>
                <c:pt idx="0">
                  <c:v>96.595063887564976</c:v>
                </c:pt>
                <c:pt idx="1">
                  <c:v>80.379797575925679</c:v>
                </c:pt>
                <c:pt idx="2">
                  <c:v>58.660264540622045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296-AD4C-8705-1C468C75B2C8}"/>
            </c:ext>
          </c:extLst>
        </c:ser>
        <c:ser>
          <c:idx val="2"/>
          <c:order val="1"/>
          <c:tx>
            <c:strRef>
              <c:f>Summary!$B$411</c:f>
              <c:strCache>
                <c:ptCount val="1"/>
                <c:pt idx="0">
                  <c:v>100 m  40G MM duplex</c:v>
                </c:pt>
              </c:strCache>
            </c:strRef>
          </c:tx>
          <c:cat>
            <c:numRef>
              <c:f>Summary!$C$409:$N$409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Summary!$C$411:$N$411</c:f>
              <c:numCache>
                <c:formatCode>_("$"* #,##0_);_("$"* \(#,##0\);_("$"* "-"??_);_(@_)</c:formatCode>
                <c:ptCount val="12"/>
                <c:pt idx="0">
                  <c:v>250</c:v>
                </c:pt>
                <c:pt idx="1">
                  <c:v>240</c:v>
                </c:pt>
                <c:pt idx="2">
                  <c:v>227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296-AD4C-8705-1C468C75B2C8}"/>
            </c:ext>
          </c:extLst>
        </c:ser>
        <c:ser>
          <c:idx val="1"/>
          <c:order val="2"/>
          <c:tx>
            <c:strRef>
              <c:f>Summary!$B$412</c:f>
              <c:strCache>
                <c:ptCount val="1"/>
                <c:pt idx="0">
                  <c:v>300 m  40 G eSR QSFP+</c:v>
                </c:pt>
              </c:strCache>
            </c:strRef>
          </c:tx>
          <c:cat>
            <c:numRef>
              <c:f>Summary!$C$409:$N$409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Summary!$C$412:$N$412</c:f>
              <c:numCache>
                <c:formatCode>_("$"* #,##0_);_("$"* \(#,##0\);_("$"* "-"??_);_(@_)</c:formatCode>
                <c:ptCount val="12"/>
                <c:pt idx="0">
                  <c:v>106.66614587912188</c:v>
                </c:pt>
                <c:pt idx="1">
                  <c:v>80.99928194026171</c:v>
                </c:pt>
                <c:pt idx="2">
                  <c:v>63.850920529241115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296-AD4C-8705-1C468C75B2C8}"/>
            </c:ext>
          </c:extLst>
        </c:ser>
        <c:dLbls>
          <c:showLegendKey val="0"/>
          <c:showVal val="0"/>
          <c:showCatName val="0"/>
          <c:showSerName val="0"/>
          <c:showPercent val="0"/>
          <c:showBubbleSize val="0"/>
        </c:dLbls>
        <c:marker val="1"/>
        <c:smooth val="0"/>
        <c:axId val="124817792"/>
        <c:axId val="124819328"/>
      </c:lineChart>
      <c:catAx>
        <c:axId val="124817792"/>
        <c:scaling>
          <c:orientation val="minMax"/>
        </c:scaling>
        <c:delete val="0"/>
        <c:axPos val="b"/>
        <c:numFmt formatCode="General" sourceLinked="1"/>
        <c:majorTickMark val="out"/>
        <c:minorTickMark val="none"/>
        <c:tickLblPos val="nextTo"/>
        <c:txPr>
          <a:bodyPr/>
          <a:lstStyle/>
          <a:p>
            <a:pPr>
              <a:defRPr sz="1050"/>
            </a:pPr>
            <a:endParaRPr lang="en-US"/>
          </a:p>
        </c:txPr>
        <c:crossAx val="124819328"/>
        <c:crosses val="autoZero"/>
        <c:auto val="1"/>
        <c:lblAlgn val="ctr"/>
        <c:lblOffset val="100"/>
        <c:noMultiLvlLbl val="0"/>
      </c:catAx>
      <c:valAx>
        <c:axId val="124819328"/>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4035855319214587E-2"/>
              <c:y val="0.40424722023588677"/>
            </c:manualLayout>
          </c:layout>
          <c:overlay val="0"/>
        </c:title>
        <c:numFmt formatCode="&quot;$&quot;#,##0" sourceLinked="0"/>
        <c:majorTickMark val="out"/>
        <c:minorTickMark val="none"/>
        <c:tickLblPos val="nextTo"/>
        <c:txPr>
          <a:bodyPr/>
          <a:lstStyle/>
          <a:p>
            <a:pPr>
              <a:defRPr sz="1200"/>
            </a:pPr>
            <a:endParaRPr lang="en-US"/>
          </a:p>
        </c:txPr>
        <c:crossAx val="124817792"/>
        <c:crosses val="autoZero"/>
        <c:crossBetween val="between"/>
      </c:valAx>
    </c:plotArea>
    <c:legend>
      <c:legendPos val="t"/>
      <c:layout>
        <c:manualLayout>
          <c:xMode val="edge"/>
          <c:yMode val="edge"/>
          <c:x val="0.59379916214148942"/>
          <c:y val="4.3385653130271255E-2"/>
          <c:w val="0.38604741795783842"/>
          <c:h val="0.233443090704270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58586214111809"/>
          <c:y val="3.5766284295518598E-2"/>
          <c:w val="0.82582543362373229"/>
          <c:h val="0.8523798229910875"/>
        </c:manualLayout>
      </c:layout>
      <c:lineChart>
        <c:grouping val="standard"/>
        <c:varyColors val="0"/>
        <c:ser>
          <c:idx val="2"/>
          <c:order val="0"/>
          <c:tx>
            <c:strRef>
              <c:f>Summary!$B$574</c:f>
              <c:strCache>
                <c:ptCount val="1"/>
                <c:pt idx="0">
                  <c:v>100 m  100G SR2, SR4  QSFP28</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Summary!$C$574:$N$574</c:f>
              <c:numCache>
                <c:formatCode>_("$"* #,##0_);_("$"* \(#,##0\);_("$"* "-"??_);_(@_)</c:formatCode>
                <c:ptCount val="12"/>
                <c:pt idx="0">
                  <c:v>258.09426618771823</c:v>
                </c:pt>
                <c:pt idx="1">
                  <c:v>182.02277386466108</c:v>
                </c:pt>
                <c:pt idx="2">
                  <c:v>113.54682982085136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5E2-914D-9780-0F3F5FB47860}"/>
            </c:ext>
          </c:extLst>
        </c:ser>
        <c:ser>
          <c:idx val="3"/>
          <c:order val="1"/>
          <c:tx>
            <c:strRef>
              <c:f>Summary!$B$575</c:f>
              <c:strCache>
                <c:ptCount val="1"/>
                <c:pt idx="0">
                  <c:v>100 m  100G QSFP28 MM Duplex</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Summary!$C$575:$N$575</c:f>
              <c:numCache>
                <c:formatCode>_("$"* #,##0_);_("$"* \(#,##0\);_("$"* "-"??_);_(@_)</c:formatCode>
                <c:ptCount val="12"/>
                <c:pt idx="1">
                  <c:v>0</c:v>
                </c:pt>
                <c:pt idx="2">
                  <c:v>170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65E2-914D-9780-0F3F5FB47860}"/>
            </c:ext>
          </c:extLst>
        </c:ser>
        <c:ser>
          <c:idx val="4"/>
          <c:order val="2"/>
          <c:tx>
            <c:strRef>
              <c:f>Summary!$B$576</c:f>
              <c:strCache>
                <c:ptCount val="1"/>
                <c:pt idx="0">
                  <c:v>300 m  100G QSFP28  eSR4</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Summary!$C$576:$N$576</c:f>
              <c:numCache>
                <c:formatCode>_("$"* #,##0_);_("$"* \(#,##0\);_("$"* "-"??_);_(@_)</c:formatCode>
                <c:ptCount val="12"/>
                <c:pt idx="2">
                  <c:v>150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65E2-914D-9780-0F3F5FB47860}"/>
            </c:ext>
          </c:extLst>
        </c:ser>
        <c:dLbls>
          <c:showLegendKey val="0"/>
          <c:showVal val="0"/>
          <c:showCatName val="0"/>
          <c:showSerName val="0"/>
          <c:showPercent val="0"/>
          <c:showBubbleSize val="0"/>
        </c:dLbls>
        <c:marker val="1"/>
        <c:smooth val="0"/>
        <c:axId val="125633280"/>
        <c:axId val="125634816"/>
      </c:lineChart>
      <c:catAx>
        <c:axId val="125633280"/>
        <c:scaling>
          <c:orientation val="minMax"/>
        </c:scaling>
        <c:delete val="0"/>
        <c:axPos val="b"/>
        <c:numFmt formatCode="General" sourceLinked="1"/>
        <c:majorTickMark val="out"/>
        <c:minorTickMark val="none"/>
        <c:tickLblPos val="nextTo"/>
        <c:txPr>
          <a:bodyPr/>
          <a:lstStyle/>
          <a:p>
            <a:pPr>
              <a:defRPr sz="1100"/>
            </a:pPr>
            <a:endParaRPr lang="en-US"/>
          </a:p>
        </c:txPr>
        <c:crossAx val="125634816"/>
        <c:crosses val="autoZero"/>
        <c:auto val="1"/>
        <c:lblAlgn val="ctr"/>
        <c:lblOffset val="100"/>
        <c:noMultiLvlLbl val="0"/>
      </c:catAx>
      <c:valAx>
        <c:axId val="125634816"/>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2.6878718658461209E-2"/>
              <c:y val="0.38912298227147679"/>
            </c:manualLayout>
          </c:layout>
          <c:overlay val="0"/>
        </c:title>
        <c:numFmt formatCode="&quot;$&quot;#,##0" sourceLinked="0"/>
        <c:majorTickMark val="out"/>
        <c:minorTickMark val="none"/>
        <c:tickLblPos val="nextTo"/>
        <c:txPr>
          <a:bodyPr/>
          <a:lstStyle/>
          <a:p>
            <a:pPr>
              <a:defRPr sz="1200"/>
            </a:pPr>
            <a:endParaRPr lang="en-US"/>
          </a:p>
        </c:txPr>
        <c:crossAx val="125633280"/>
        <c:crosses val="autoZero"/>
        <c:crossBetween val="between"/>
      </c:valAx>
    </c:plotArea>
    <c:legend>
      <c:legendPos val="t"/>
      <c:layout>
        <c:manualLayout>
          <c:xMode val="edge"/>
          <c:yMode val="edge"/>
          <c:x val="0.61847762549219165"/>
          <c:y val="4.6658610278654936E-2"/>
          <c:w val="0.35215332939678884"/>
          <c:h val="0.35953089786339548"/>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753722171427"/>
          <c:y val="4.3751040497572148E-2"/>
          <c:w val="0.83633763989259313"/>
          <c:h val="0.85713486951690254"/>
        </c:manualLayout>
      </c:layout>
      <c:lineChart>
        <c:grouping val="standard"/>
        <c:varyColors val="0"/>
        <c:ser>
          <c:idx val="0"/>
          <c:order val="0"/>
          <c:tx>
            <c:strRef>
              <c:f>Summary!$B$660</c:f>
              <c:strCache>
                <c:ptCount val="1"/>
                <c:pt idx="0">
                  <c:v>100G PSM4_500 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Summary!$C$660:$N$660</c:f>
              <c:numCache>
                <c:formatCode>_("$"* #,##0_);_("$"* \(#,##0\);_("$"* "-"??_);_(@_)</c:formatCode>
                <c:ptCount val="12"/>
                <c:pt idx="0">
                  <c:v>337.41687156790022</c:v>
                </c:pt>
                <c:pt idx="1">
                  <c:v>222.65569307558187</c:v>
                </c:pt>
                <c:pt idx="2">
                  <c:v>188.02033788894266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D455-2A45-B2C8-6267A3389E6C}"/>
            </c:ext>
          </c:extLst>
        </c:ser>
        <c:ser>
          <c:idx val="7"/>
          <c:order val="1"/>
          <c:tx>
            <c:strRef>
              <c:f>Summary!$B$661</c:f>
              <c:strCache>
                <c:ptCount val="1"/>
                <c:pt idx="0">
                  <c:v>100G DR_500m_QSFP28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Summary!$C$661:$N$661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6DB7-6449-97D8-C194F1CD0C91}"/>
            </c:ext>
          </c:extLst>
        </c:ser>
        <c:ser>
          <c:idx val="8"/>
          <c:order val="2"/>
          <c:tx>
            <c:strRef>
              <c:f>Summary!$B$662</c:f>
              <c:strCache>
                <c:ptCount val="1"/>
                <c:pt idx="0">
                  <c:v>100G CWDM4-subspec_500 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Summary!$C$662:$N$662</c:f>
              <c:numCache>
                <c:formatCode>_("$"* #,##0_);_("$"* \(#,##0\);_("$"* "-"??_);_(@_)</c:formatCode>
                <c:ptCount val="12"/>
                <c:pt idx="0">
                  <c:v>625</c:v>
                </c:pt>
                <c:pt idx="1">
                  <c:v>450</c:v>
                </c:pt>
                <c:pt idx="2">
                  <c:v>280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DB7-6449-97D8-C194F1CD0C91}"/>
            </c:ext>
          </c:extLst>
        </c:ser>
        <c:ser>
          <c:idx val="5"/>
          <c:order val="3"/>
          <c:tx>
            <c:strRef>
              <c:f>Summary!$B$663</c:f>
              <c:strCache>
                <c:ptCount val="1"/>
                <c:pt idx="0">
                  <c:v>100G CWDM4_2 km_QSFP28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Summary!$C$663:$N$663</c:f>
              <c:numCache>
                <c:formatCode>_("$"* #,##0_);_("$"* \(#,##0\);_("$"* "-"??_);_(@_)</c:formatCode>
                <c:ptCount val="12"/>
                <c:pt idx="0">
                  <c:v>825</c:v>
                </c:pt>
                <c:pt idx="1">
                  <c:v>650</c:v>
                </c:pt>
                <c:pt idx="2">
                  <c:v>490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D455-2A45-B2C8-6267A3389E6C}"/>
            </c:ext>
          </c:extLst>
        </c:ser>
        <c:ser>
          <c:idx val="9"/>
          <c:order val="4"/>
          <c:tx>
            <c:strRef>
              <c:f>Summary!$B$664</c:f>
              <c:strCache>
                <c:ptCount val="1"/>
                <c:pt idx="0">
                  <c:v>100G FR, DR+_2 km_QSFP28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Summary!$C$664:$N$664</c:f>
              <c:numCache>
                <c:formatCode>_("$"* #,##0_);_("$"* \(#,##0\);_("$"* "-"??_);_(@_)</c:formatCode>
                <c:ptCount val="12"/>
                <c:pt idx="0">
                  <c:v>0</c:v>
                </c:pt>
                <c:pt idx="1">
                  <c:v>0</c:v>
                </c:pt>
                <c:pt idx="2">
                  <c:v>400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6DB7-6449-97D8-C194F1CD0C91}"/>
            </c:ext>
          </c:extLst>
        </c:ser>
        <c:ser>
          <c:idx val="1"/>
          <c:order val="5"/>
          <c:tx>
            <c:strRef>
              <c:f>Summary!$B$665</c:f>
              <c:strCache>
                <c:ptCount val="1"/>
                <c:pt idx="0">
                  <c:v>100G LR4_10 km_CFP</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Summary!$C$665:$N$665</c:f>
              <c:numCache>
                <c:formatCode>_("$"* #,##0_);_("$"* \(#,##0\);_("$"* "-"??_);_(@_)</c:formatCode>
                <c:ptCount val="12"/>
                <c:pt idx="0">
                  <c:v>3527.8709620331333</c:v>
                </c:pt>
                <c:pt idx="1">
                  <c:v>2768.0701132780364</c:v>
                </c:pt>
                <c:pt idx="2">
                  <c:v>2103.9330552211131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455-2A45-B2C8-6267A3389E6C}"/>
            </c:ext>
          </c:extLst>
        </c:ser>
        <c:ser>
          <c:idx val="2"/>
          <c:order val="6"/>
          <c:tx>
            <c:strRef>
              <c:f>Summary!$B$666</c:f>
              <c:strCache>
                <c:ptCount val="1"/>
                <c:pt idx="0">
                  <c:v>100G LR4_10 km_CFP2/4</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Summary!$C$666:$N$666</c:f>
              <c:numCache>
                <c:formatCode>_("$"* #,##0_);_("$"* \(#,##0\);_("$"* "-"??_);_(@_)</c:formatCode>
                <c:ptCount val="12"/>
                <c:pt idx="0">
                  <c:v>2882.5268681316725</c:v>
                </c:pt>
                <c:pt idx="1">
                  <c:v>2140.3307221126156</c:v>
                </c:pt>
                <c:pt idx="2">
                  <c:v>1371.5324877705048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D455-2A45-B2C8-6267A3389E6C}"/>
            </c:ext>
          </c:extLst>
        </c:ser>
        <c:ser>
          <c:idx val="3"/>
          <c:order val="7"/>
          <c:tx>
            <c:strRef>
              <c:f>Summary!$B$667</c:f>
              <c:strCache>
                <c:ptCount val="1"/>
                <c:pt idx="0">
                  <c:v>100G LR4 and LR1_10 km_QSFP28</c:v>
                </c:pt>
              </c:strCache>
            </c:strRef>
          </c:tx>
          <c:marker>
            <c:symbol val="square"/>
            <c:size val="5"/>
          </c:marker>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Summary!$C$667:$N$667</c:f>
              <c:numCache>
                <c:formatCode>_("$"* #,##0_);_("$"* \(#,##0\);_("$"* "-"??_);_(@_)</c:formatCode>
                <c:ptCount val="12"/>
                <c:pt idx="0">
                  <c:v>1938.1501024552811</c:v>
                </c:pt>
                <c:pt idx="1">
                  <c:v>1200</c:v>
                </c:pt>
                <c:pt idx="2">
                  <c:v>833.83281288172873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D455-2A45-B2C8-6267A3389E6C}"/>
            </c:ext>
          </c:extLst>
        </c:ser>
        <c:ser>
          <c:idx val="10"/>
          <c:order val="8"/>
          <c:tx>
            <c:strRef>
              <c:f>Summary!$B$668</c:f>
              <c:strCache>
                <c:ptCount val="1"/>
                <c:pt idx="0">
                  <c:v>100G 4WDM10_10 km_QSFP28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Summary!$C$668:$N$668</c:f>
              <c:numCache>
                <c:formatCode>_("$"* #,##0_);_("$"* \(#,##0\);_("$"* "-"??_);_(@_)</c:formatCode>
                <c:ptCount val="12"/>
                <c:pt idx="0">
                  <c:v>0</c:v>
                </c:pt>
                <c:pt idx="1">
                  <c:v>500</c:v>
                </c:pt>
                <c:pt idx="2">
                  <c:v>300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6DB7-6449-97D8-C194F1CD0C91}"/>
            </c:ext>
          </c:extLst>
        </c:ser>
        <c:ser>
          <c:idx val="6"/>
          <c:order val="9"/>
          <c:tx>
            <c:strRef>
              <c:f>Summary!$B$669</c:f>
              <c:strCache>
                <c:ptCount val="1"/>
                <c:pt idx="0">
                  <c:v>100G 4WDM20_20 km_QSFP28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Summary!$C$669:$N$669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D455-2A45-B2C8-6267A3389E6C}"/>
            </c:ext>
          </c:extLst>
        </c:ser>
        <c:ser>
          <c:idx val="4"/>
          <c:order val="10"/>
          <c:tx>
            <c:strRef>
              <c:f>Summary!$B$670</c:f>
              <c:strCache>
                <c:ptCount val="1"/>
                <c:pt idx="0">
                  <c:v>100G ER4-Lite_30 km_QSFP28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Summary!$C$670:$N$670</c:f>
              <c:numCache>
                <c:formatCode>_("$"* #,##0_);_("$"* \(#,##0\);_("$"* "-"??_);_(@_)</c:formatCode>
                <c:ptCount val="12"/>
                <c:pt idx="0">
                  <c:v>0</c:v>
                </c:pt>
                <c:pt idx="1">
                  <c:v>3487.2423945044161</c:v>
                </c:pt>
                <c:pt idx="2">
                  <c:v>3113.2837037037034</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F05-E843-84B8-791173DE1B5D}"/>
            </c:ext>
          </c:extLst>
        </c:ser>
        <c:ser>
          <c:idx val="11"/>
          <c:order val="11"/>
          <c:tx>
            <c:strRef>
              <c:f>Summary!$B$671</c:f>
              <c:strCache>
                <c:ptCount val="1"/>
                <c:pt idx="0">
                  <c:v>100G ER4_40 km_QSFP28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Summary!$C$671:$N$671</c:f>
              <c:numCache>
                <c:formatCode>_("$"* #,##0_);_("$"* \(#,##0\);_("$"* "-"??_);_(@_)</c:formatCode>
                <c:ptCount val="12"/>
                <c:pt idx="0">
                  <c:v>8992.3604525403425</c:v>
                </c:pt>
                <c:pt idx="1">
                  <c:v>6675.4855675304152</c:v>
                </c:pt>
                <c:pt idx="2">
                  <c:v>4939.9288403201153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186-7847-86D2-43B0860D890F}"/>
            </c:ext>
          </c:extLst>
        </c:ser>
        <c:ser>
          <c:idx val="12"/>
          <c:order val="12"/>
          <c:tx>
            <c:strRef>
              <c:f>Summary!$B$672</c:f>
              <c:strCache>
                <c:ptCount val="1"/>
                <c:pt idx="0">
                  <c:v>100G ZR4_80 km_QSFP28</c:v>
                </c:pt>
              </c:strCache>
            </c:strRef>
          </c:tx>
          <c:cat>
            <c:numRef>
              <c:f>Summary!$C$659:$N$659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Summary!$C$672:$N$672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186-7847-86D2-43B0860D890F}"/>
            </c:ext>
          </c:extLst>
        </c:ser>
        <c:dLbls>
          <c:showLegendKey val="0"/>
          <c:showVal val="0"/>
          <c:showCatName val="0"/>
          <c:showSerName val="0"/>
          <c:showPercent val="0"/>
          <c:showBubbleSize val="0"/>
        </c:dLbls>
        <c:marker val="1"/>
        <c:smooth val="0"/>
        <c:axId val="125711488"/>
        <c:axId val="125713024"/>
      </c:lineChart>
      <c:catAx>
        <c:axId val="125711488"/>
        <c:scaling>
          <c:orientation val="minMax"/>
        </c:scaling>
        <c:delete val="0"/>
        <c:axPos val="b"/>
        <c:numFmt formatCode="General" sourceLinked="1"/>
        <c:majorTickMark val="out"/>
        <c:minorTickMark val="none"/>
        <c:tickLblPos val="nextTo"/>
        <c:txPr>
          <a:bodyPr/>
          <a:lstStyle/>
          <a:p>
            <a:pPr>
              <a:defRPr sz="1100"/>
            </a:pPr>
            <a:endParaRPr lang="en-US"/>
          </a:p>
        </c:txPr>
        <c:crossAx val="125713024"/>
        <c:crosses val="autoZero"/>
        <c:auto val="1"/>
        <c:lblAlgn val="ctr"/>
        <c:lblOffset val="100"/>
        <c:noMultiLvlLbl val="0"/>
      </c:catAx>
      <c:valAx>
        <c:axId val="125713024"/>
        <c:scaling>
          <c:orientation val="minMax"/>
          <c:min val="0"/>
        </c:scaling>
        <c:delete val="0"/>
        <c:axPos val="l"/>
        <c:majorGridlines/>
        <c:title>
          <c:tx>
            <c:rich>
              <a:bodyPr rot="-5400000" vert="horz"/>
              <a:lstStyle/>
              <a:p>
                <a:pPr>
                  <a:defRPr sz="1400"/>
                </a:pPr>
                <a:r>
                  <a:rPr lang="en-US" sz="1400"/>
                  <a:t>A.S.P.s</a:t>
                </a:r>
              </a:p>
            </c:rich>
          </c:tx>
          <c:overlay val="0"/>
        </c:title>
        <c:numFmt formatCode="&quot;$&quot;#,##0" sourceLinked="0"/>
        <c:majorTickMark val="out"/>
        <c:minorTickMark val="none"/>
        <c:tickLblPos val="nextTo"/>
        <c:txPr>
          <a:bodyPr/>
          <a:lstStyle/>
          <a:p>
            <a:pPr>
              <a:defRPr sz="1100"/>
            </a:pPr>
            <a:endParaRPr lang="en-US"/>
          </a:p>
        </c:txPr>
        <c:crossAx val="125711488"/>
        <c:crosses val="autoZero"/>
        <c:crossBetween val="between"/>
        <c:majorUnit val="1000"/>
      </c:valAx>
    </c:plotArea>
    <c:legend>
      <c:legendPos val="t"/>
      <c:layout>
        <c:manualLayout>
          <c:xMode val="edge"/>
          <c:yMode val="edge"/>
          <c:x val="0.46093466727330473"/>
          <c:y val="7.0469303553456417E-2"/>
          <c:w val="0.46953832325297468"/>
          <c:h val="0.59533248986263476"/>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567056913174"/>
          <c:y val="3.778602565976448E-2"/>
          <c:w val="0.82462256352084295"/>
          <c:h val="0.88510706586246157"/>
        </c:manualLayout>
      </c:layout>
      <c:lineChart>
        <c:grouping val="standard"/>
        <c:varyColors val="0"/>
        <c:ser>
          <c:idx val="4"/>
          <c:order val="0"/>
          <c:tx>
            <c:strRef>
              <c:f>Summary!$B$802</c:f>
              <c:strCache>
                <c:ptCount val="1"/>
                <c:pt idx="0">
                  <c:v>2x200 (400G-SR8)</c:v>
                </c:pt>
              </c:strCache>
            </c:strRef>
          </c:tx>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Summary!$E$802:$N$802</c:f>
              <c:numCache>
                <c:formatCode>_(* #,##0_);_(* \(#,##0\);_(* "-"??_);_(@_)</c:formatCode>
                <c:ptCount val="10"/>
                <c:pt idx="0">
                  <c:v>23000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9009-5347-B4AF-9FED4C00316F}"/>
            </c:ext>
          </c:extLst>
        </c:ser>
        <c:ser>
          <c:idx val="2"/>
          <c:order val="1"/>
          <c:tx>
            <c:strRef>
              <c:f>Summary!$B$803</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Summary!$E$803:$N$803</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CD4-1B4A-BF00-DACF0025900F}"/>
            </c:ext>
          </c:extLst>
        </c:ser>
        <c:ser>
          <c:idx val="0"/>
          <c:order val="2"/>
          <c:tx>
            <c:strRef>
              <c:f>Summary!$B$804</c:f>
              <c:strCache>
                <c:ptCount val="1"/>
                <c:pt idx="0">
                  <c:v>400G DR4</c:v>
                </c:pt>
              </c:strCache>
            </c:strRef>
          </c:tx>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Summary!$E$804:$N$804</c:f>
              <c:numCache>
                <c:formatCode>_(* #,##0_);_(* \(#,##0\);_(* "-"??_);_(@_)</c:formatCode>
                <c:ptCount val="10"/>
                <c:pt idx="0">
                  <c:v>2000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CD4-1B4A-BF00-DACF0025900F}"/>
            </c:ext>
          </c:extLst>
        </c:ser>
        <c:ser>
          <c:idx val="5"/>
          <c:order val="3"/>
          <c:tx>
            <c:strRef>
              <c:f>Summary!$B$805</c:f>
              <c:strCache>
                <c:ptCount val="1"/>
                <c:pt idx="0">
                  <c:v>2x(200G FR4)</c:v>
                </c:pt>
              </c:strCache>
            </c:strRef>
          </c:tx>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Summary!$E$805:$N$805</c:f>
              <c:numCache>
                <c:formatCode>_(* #,##0_);_(* \(#,##0\);_(* "-"??_);_(@_)</c:formatCode>
                <c:ptCount val="10"/>
                <c:pt idx="0">
                  <c:v>12000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9009-5347-B4AF-9FED4C00316F}"/>
            </c:ext>
          </c:extLst>
        </c:ser>
        <c:ser>
          <c:idx val="1"/>
          <c:order val="4"/>
          <c:tx>
            <c:strRef>
              <c:f>Summary!$B$806</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Summary!$E$806:$N$806</c:f>
              <c:numCache>
                <c:formatCode>_(* #,##0_);_(* \(#,##0\);_(* "-"??_);_(@_)</c:formatCode>
                <c:ptCount val="10"/>
                <c:pt idx="0">
                  <c:v>1000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DCD4-1B4A-BF00-DACF0025900F}"/>
            </c:ext>
          </c:extLst>
        </c:ser>
        <c:ser>
          <c:idx val="3"/>
          <c:order val="5"/>
          <c:tx>
            <c:strRef>
              <c:f>Summary!$B$807</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Summary!$E$801:$N$801</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Summary!$E$807:$N$807</c:f>
              <c:numCache>
                <c:formatCode>_(* #,##0_);_(* \(#,##0\);_(* "-"??_);_(@_)</c:formatCode>
                <c:ptCount val="10"/>
                <c:pt idx="0">
                  <c:v>1000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DCD4-1B4A-BF00-DACF0025900F}"/>
            </c:ext>
          </c:extLst>
        </c:ser>
        <c:dLbls>
          <c:showLegendKey val="0"/>
          <c:showVal val="0"/>
          <c:showCatName val="0"/>
          <c:showSerName val="0"/>
          <c:showPercent val="0"/>
          <c:showBubbleSize val="0"/>
        </c:dLbls>
        <c:marker val="1"/>
        <c:smooth val="0"/>
        <c:axId val="125768832"/>
        <c:axId val="125770752"/>
      </c:lineChart>
      <c:catAx>
        <c:axId val="125768832"/>
        <c:scaling>
          <c:orientation val="minMax"/>
        </c:scaling>
        <c:delete val="0"/>
        <c:axPos val="b"/>
        <c:numFmt formatCode="General" sourceLinked="1"/>
        <c:majorTickMark val="out"/>
        <c:minorTickMark val="none"/>
        <c:tickLblPos val="nextTo"/>
        <c:txPr>
          <a:bodyPr/>
          <a:lstStyle/>
          <a:p>
            <a:pPr>
              <a:defRPr sz="1000"/>
            </a:pPr>
            <a:endParaRPr lang="en-US"/>
          </a:p>
        </c:txPr>
        <c:crossAx val="125770752"/>
        <c:crosses val="autoZero"/>
        <c:auto val="1"/>
        <c:lblAlgn val="ctr"/>
        <c:lblOffset val="100"/>
        <c:noMultiLvlLbl val="0"/>
      </c:catAx>
      <c:valAx>
        <c:axId val="125770752"/>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25768832"/>
        <c:crosses val="autoZero"/>
        <c:crossBetween val="between"/>
        <c:majorUnit val="1000000"/>
      </c:valAx>
    </c:plotArea>
    <c:legend>
      <c:legendPos val="t"/>
      <c:layout>
        <c:manualLayout>
          <c:xMode val="edge"/>
          <c:yMode val="edge"/>
          <c:x val="0.20565082577760882"/>
          <c:y val="8.4609887847297921E-2"/>
          <c:w val="0.25886263461575026"/>
          <c:h val="0.51777205145169469"/>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23747343466249"/>
          <c:y val="3.9922824205911416E-2"/>
          <c:w val="0.80876257132657681"/>
          <c:h val="0.86312880721177543"/>
        </c:manualLayout>
      </c:layout>
      <c:lineChart>
        <c:grouping val="standard"/>
        <c:varyColors val="0"/>
        <c:ser>
          <c:idx val="2"/>
          <c:order val="0"/>
          <c:tx>
            <c:strRef>
              <c:f>Summary!$B$332</c:f>
              <c:strCache>
                <c:ptCount val="1"/>
                <c:pt idx="0">
                  <c:v>100 - 300 m</c:v>
                </c:pt>
              </c:strCache>
            </c:strRef>
          </c:tx>
          <c:spPr>
            <a:ln>
              <a:solidFill>
                <a:schemeClr val="accent2"/>
              </a:solidFill>
            </a:ln>
          </c:spPr>
          <c:marker>
            <c:spPr>
              <a:solidFill>
                <a:schemeClr val="accent2"/>
              </a:solidFill>
              <a:ln>
                <a:solidFill>
                  <a:schemeClr val="accent2"/>
                </a:solidFill>
              </a:ln>
            </c:spPr>
          </c:marker>
          <c:cat>
            <c:numRef>
              <c:f>Summary!$C$331:$N$331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Summary!$C$332:$N$332</c:f>
              <c:numCache>
                <c:formatCode>_(* #,##0_);_(* \(#,##0\);_(* "-"??_);_(@_)</c:formatCode>
                <c:ptCount val="12"/>
                <c:pt idx="0">
                  <c:v>7146</c:v>
                </c:pt>
                <c:pt idx="1">
                  <c:v>95865</c:v>
                </c:pt>
                <c:pt idx="2">
                  <c:v>318978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504-D143-A648-DC26B91E7A73}"/>
            </c:ext>
          </c:extLst>
        </c:ser>
        <c:ser>
          <c:idx val="0"/>
          <c:order val="1"/>
          <c:tx>
            <c:strRef>
              <c:f>Summary!$B$333</c:f>
              <c:strCache>
                <c:ptCount val="1"/>
                <c:pt idx="0">
                  <c:v>10 km</c:v>
                </c:pt>
              </c:strCache>
            </c:strRef>
          </c:tx>
          <c:cat>
            <c:numRef>
              <c:f>Summary!$C$331:$N$331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Summary!$C$333:$N$333</c:f>
              <c:numCache>
                <c:formatCode>_(* #,##0_);_(* \(#,##0\);_(* "-"??_);_(@_)</c:formatCode>
                <c:ptCount val="12"/>
                <c:pt idx="0">
                  <c:v>4548</c:v>
                </c:pt>
                <c:pt idx="1">
                  <c:v>17462</c:v>
                </c:pt>
                <c:pt idx="2">
                  <c:v>56709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504-D143-A648-DC26B91E7A73}"/>
            </c:ext>
          </c:extLst>
        </c:ser>
        <c:ser>
          <c:idx val="1"/>
          <c:order val="2"/>
          <c:tx>
            <c:strRef>
              <c:f>Summary!$B$334</c:f>
              <c:strCache>
                <c:ptCount val="1"/>
                <c:pt idx="0">
                  <c:v>40 km</c:v>
                </c:pt>
              </c:strCache>
            </c:strRef>
          </c:tx>
          <c:spPr>
            <a:ln>
              <a:solidFill>
                <a:schemeClr val="accent3"/>
              </a:solidFill>
            </a:ln>
          </c:spPr>
          <c:marker>
            <c:symbol val="square"/>
            <c:size val="5"/>
            <c:spPr>
              <a:solidFill>
                <a:schemeClr val="accent3"/>
              </a:solidFill>
              <a:ln>
                <a:solidFill>
                  <a:schemeClr val="accent3"/>
                </a:solidFill>
              </a:ln>
            </c:spPr>
          </c:marker>
          <c:cat>
            <c:numRef>
              <c:f>Summary!$C$331:$N$331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Summary!$C$334:$N$334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504-D143-A648-DC26B91E7A73}"/>
            </c:ext>
          </c:extLst>
        </c:ser>
        <c:dLbls>
          <c:showLegendKey val="0"/>
          <c:showVal val="0"/>
          <c:showCatName val="0"/>
          <c:showSerName val="0"/>
          <c:showPercent val="0"/>
          <c:showBubbleSize val="0"/>
        </c:dLbls>
        <c:marker val="1"/>
        <c:smooth val="0"/>
        <c:axId val="125801984"/>
        <c:axId val="125803904"/>
      </c:lineChart>
      <c:catAx>
        <c:axId val="125801984"/>
        <c:scaling>
          <c:orientation val="minMax"/>
        </c:scaling>
        <c:delete val="0"/>
        <c:axPos val="b"/>
        <c:numFmt formatCode="General" sourceLinked="1"/>
        <c:majorTickMark val="out"/>
        <c:minorTickMark val="none"/>
        <c:tickLblPos val="nextTo"/>
        <c:txPr>
          <a:bodyPr/>
          <a:lstStyle/>
          <a:p>
            <a:pPr>
              <a:defRPr sz="1200"/>
            </a:pPr>
            <a:endParaRPr lang="en-US"/>
          </a:p>
        </c:txPr>
        <c:crossAx val="125803904"/>
        <c:crosses val="autoZero"/>
        <c:auto val="1"/>
        <c:lblAlgn val="ctr"/>
        <c:lblOffset val="100"/>
        <c:noMultiLvlLbl val="0"/>
      </c:catAx>
      <c:valAx>
        <c:axId val="125803904"/>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7630028284793809E-2"/>
              <c:y val="6.4222104164403854E-2"/>
            </c:manualLayout>
          </c:layout>
          <c:overlay val="0"/>
        </c:title>
        <c:numFmt formatCode="_(* #,##0_);_(* \(#,##0\);_(* &quot;-&quot;??_);_(@_)" sourceLinked="1"/>
        <c:majorTickMark val="out"/>
        <c:minorTickMark val="none"/>
        <c:tickLblPos val="nextTo"/>
        <c:txPr>
          <a:bodyPr/>
          <a:lstStyle/>
          <a:p>
            <a:pPr>
              <a:defRPr sz="1200"/>
            </a:pPr>
            <a:endParaRPr lang="en-US"/>
          </a:p>
        </c:txPr>
        <c:crossAx val="125801984"/>
        <c:crosses val="autoZero"/>
        <c:crossBetween val="between"/>
      </c:valAx>
    </c:plotArea>
    <c:legend>
      <c:legendPos val="t"/>
      <c:layout>
        <c:manualLayout>
          <c:xMode val="edge"/>
          <c:yMode val="edge"/>
          <c:x val="0.20236670625872261"/>
          <c:y val="7.8465331694341306E-2"/>
          <c:w val="0.21480827916164602"/>
          <c:h val="0.40817648469829576"/>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242321290293454"/>
          <c:y val="0.18404227725592476"/>
          <c:w val="0.7873671252066341"/>
          <c:h val="0.72109136680229713"/>
        </c:manualLayout>
      </c:layout>
      <c:lineChart>
        <c:grouping val="standard"/>
        <c:varyColors val="0"/>
        <c:ser>
          <c:idx val="0"/>
          <c:order val="0"/>
          <c:tx>
            <c:strRef>
              <c:f>Summary!$B$222</c:f>
              <c:strCache>
                <c:ptCount val="1"/>
                <c:pt idx="0">
                  <c:v>10G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Summary!$C$222:$N$222</c:f>
              <c:numCache>
                <c:formatCode>_(* #,##0_);_(* \(#,##0\);_(* "-"??_);_(@_)</c:formatCode>
                <c:ptCount val="12"/>
                <c:pt idx="0">
                  <c:v>7045433</c:v>
                </c:pt>
                <c:pt idx="1">
                  <c:v>7253278.0999999996</c:v>
                </c:pt>
                <c:pt idx="2">
                  <c:v>7932741.0999999996</c:v>
                </c:pt>
              </c:numCache>
            </c:numRef>
          </c:val>
          <c:smooth val="0"/>
          <c:extLst>
            <c:ext xmlns:c16="http://schemas.microsoft.com/office/drawing/2014/chart" uri="{C3380CC4-5D6E-409C-BE32-E72D297353CC}">
              <c16:uniqueId val="{00000000-7A7E-4C49-8F73-1D034969DEF4}"/>
            </c:ext>
          </c:extLst>
        </c:ser>
        <c:ser>
          <c:idx val="2"/>
          <c:order val="1"/>
          <c:tx>
            <c:strRef>
              <c:f>Summary!$B$223</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Summary!$C$223:$N$223</c:f>
              <c:numCache>
                <c:formatCode>_(* #,##0_);_(* \(#,##0\);_(* "-"??_);_(@_)</c:formatCode>
                <c:ptCount val="12"/>
                <c:pt idx="0">
                  <c:v>4548</c:v>
                </c:pt>
                <c:pt idx="1">
                  <c:v>17462</c:v>
                </c:pt>
                <c:pt idx="2">
                  <c:v>56709</c:v>
                </c:pt>
              </c:numCache>
            </c:numRef>
          </c:val>
          <c:smooth val="0"/>
          <c:extLst>
            <c:ext xmlns:c16="http://schemas.microsoft.com/office/drawing/2014/chart" uri="{C3380CC4-5D6E-409C-BE32-E72D297353CC}">
              <c16:uniqueId val="{00000001-7A7E-4C49-8F73-1D034969DEF4}"/>
            </c:ext>
          </c:extLst>
        </c:ser>
        <c:ser>
          <c:idx val="3"/>
          <c:order val="2"/>
          <c:tx>
            <c:strRef>
              <c:f>Summary!$B$224</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Summary!$C$224:$N$224</c:f>
              <c:numCache>
                <c:formatCode>_(* #,##0_);_(* \(#,##0\);_(* "-"??_);_(@_)</c:formatCode>
                <c:ptCount val="12"/>
                <c:pt idx="0">
                  <c:v>1623570</c:v>
                </c:pt>
                <c:pt idx="1">
                  <c:v>1853294</c:v>
                </c:pt>
                <c:pt idx="2">
                  <c:v>1052090</c:v>
                </c:pt>
              </c:numCache>
            </c:numRef>
          </c:val>
          <c:smooth val="0"/>
          <c:extLst>
            <c:ext xmlns:c16="http://schemas.microsoft.com/office/drawing/2014/chart" uri="{C3380CC4-5D6E-409C-BE32-E72D297353CC}">
              <c16:uniqueId val="{00000002-7A7E-4C49-8F73-1D034969DEF4}"/>
            </c:ext>
          </c:extLst>
        </c:ser>
        <c:ser>
          <c:idx val="5"/>
          <c:order val="3"/>
          <c:tx>
            <c:strRef>
              <c:f>Summary!$B$225</c:f>
              <c:strCache>
                <c:ptCount val="1"/>
                <c:pt idx="0">
                  <c:v>50G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Summary!$C$225:$N$225</c:f>
              <c:numCache>
                <c:formatCode>_(* #,##0_);_(* \(#,##0\);_(* "-"??_);_(@_)</c:formatCode>
                <c:ptCount val="12"/>
                <c:pt idx="2">
                  <c:v>0</c:v>
                </c:pt>
              </c:numCache>
            </c:numRef>
          </c:val>
          <c:smooth val="0"/>
          <c:extLst>
            <c:ext xmlns:c16="http://schemas.microsoft.com/office/drawing/2014/chart" uri="{C3380CC4-5D6E-409C-BE32-E72D297353CC}">
              <c16:uniqueId val="{00000003-7A7E-4C49-8F73-1D034969DEF4}"/>
            </c:ext>
          </c:extLst>
        </c:ser>
        <c:ser>
          <c:idx val="1"/>
          <c:order val="4"/>
          <c:tx>
            <c:strRef>
              <c:f>Summary!$B$226</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Summary!$C$226:$N$226</c:f>
              <c:numCache>
                <c:formatCode>_(* #,##0_);_(* \(#,##0\);_(* "-"??_);_(@_)</c:formatCode>
                <c:ptCount val="12"/>
                <c:pt idx="0">
                  <c:v>620129</c:v>
                </c:pt>
                <c:pt idx="1">
                  <c:v>2249516</c:v>
                </c:pt>
                <c:pt idx="2">
                  <c:v>4104107.7366946777</c:v>
                </c:pt>
              </c:numCache>
            </c:numRef>
          </c:val>
          <c:smooth val="0"/>
          <c:extLst>
            <c:ext xmlns:c16="http://schemas.microsoft.com/office/drawing/2014/chart" uri="{C3380CC4-5D6E-409C-BE32-E72D297353CC}">
              <c16:uniqueId val="{00000004-7A7E-4C49-8F73-1D034969DEF4}"/>
            </c:ext>
          </c:extLst>
        </c:ser>
        <c:ser>
          <c:idx val="6"/>
          <c:order val="5"/>
          <c:tx>
            <c:strRef>
              <c:f>Summary!$B$227</c:f>
              <c:strCache>
                <c:ptCount val="1"/>
                <c:pt idx="0">
                  <c:v>200G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Summary!$C$227:$N$227</c:f>
              <c:numCache>
                <c:formatCode>_(* #,##0_);_(* \(#,##0\);_(* "-"??_);_(@_)</c:formatCode>
                <c:ptCount val="12"/>
                <c:pt idx="1">
                  <c:v>0</c:v>
                </c:pt>
                <c:pt idx="2">
                  <c:v>500</c:v>
                </c:pt>
              </c:numCache>
            </c:numRef>
          </c:val>
          <c:smooth val="0"/>
          <c:extLst>
            <c:ext xmlns:c16="http://schemas.microsoft.com/office/drawing/2014/chart" uri="{C3380CC4-5D6E-409C-BE32-E72D297353CC}">
              <c16:uniqueId val="{00000005-7A7E-4C49-8F73-1D034969DEF4}"/>
            </c:ext>
          </c:extLst>
        </c:ser>
        <c:ser>
          <c:idx val="4"/>
          <c:order val="6"/>
          <c:tx>
            <c:strRef>
              <c:f>Summary!$B$228</c:f>
              <c:strCache>
                <c:ptCount val="1"/>
                <c:pt idx="0">
                  <c:v>400G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Summary!$C$228:$N$228</c:f>
              <c:numCache>
                <c:formatCode>_(* #,##0_);_(* \(#,##0\);_(* "-"??_);_(@_)</c:formatCode>
                <c:ptCount val="12"/>
                <c:pt idx="1">
                  <c:v>89</c:v>
                </c:pt>
                <c:pt idx="2">
                  <c:v>16000</c:v>
                </c:pt>
              </c:numCache>
            </c:numRef>
          </c:val>
          <c:smooth val="0"/>
          <c:extLst>
            <c:ext xmlns:c16="http://schemas.microsoft.com/office/drawing/2014/chart" uri="{C3380CC4-5D6E-409C-BE32-E72D297353CC}">
              <c16:uniqueId val="{00000006-7A7E-4C49-8F73-1D034969DEF4}"/>
            </c:ext>
          </c:extLst>
        </c:ser>
        <c:ser>
          <c:idx val="7"/>
          <c:order val="7"/>
          <c:tx>
            <c:strRef>
              <c:f>Summary!$B$229</c:f>
              <c:strCache>
                <c:ptCount val="1"/>
                <c:pt idx="0">
                  <c:v>800G SMF</c:v>
                </c:pt>
              </c:strCache>
            </c:strRef>
          </c:tx>
          <c:spPr>
            <a:ln>
              <a:solidFill>
                <a:srgbClr val="00B050"/>
              </a:solidFill>
            </a:ln>
          </c:spPr>
          <c:marker>
            <c:spPr>
              <a:ln>
                <a:solidFill>
                  <a:srgbClr val="00B050"/>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Summary!$C$229:$N$229</c:f>
              <c:numCache>
                <c:formatCode>_(* #,##0_);_(* \(#,##0\);_(* "-"??_);_(@_)</c:formatCode>
                <c:ptCount val="12"/>
              </c:numCache>
            </c:numRef>
          </c:val>
          <c:smooth val="0"/>
          <c:extLst>
            <c:ext xmlns:c16="http://schemas.microsoft.com/office/drawing/2014/chart" uri="{C3380CC4-5D6E-409C-BE32-E72D297353CC}">
              <c16:uniqueId val="{00000000-ED1D-1745-83C4-6B6B5D37EAFC}"/>
            </c:ext>
          </c:extLst>
        </c:ser>
        <c:ser>
          <c:idx val="8"/>
          <c:order val="8"/>
          <c:tx>
            <c:strRef>
              <c:f>Summary!$B$230</c:f>
              <c:strCache>
                <c:ptCount val="1"/>
                <c:pt idx="0">
                  <c:v>1.6T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Summary!$C$230:$N$230</c:f>
              <c:numCache>
                <c:formatCode>_(* #,##0_);_(* \(#,##0\);_(* "-"??_);_(@_)</c:formatCode>
                <c:ptCount val="12"/>
              </c:numCache>
            </c:numRef>
          </c:val>
          <c:smooth val="0"/>
          <c:extLst>
            <c:ext xmlns:c16="http://schemas.microsoft.com/office/drawing/2014/chart" uri="{C3380CC4-5D6E-409C-BE32-E72D297353CC}">
              <c16:uniqueId val="{00000000-F5DC-614F-908B-6FA812754D1B}"/>
            </c:ext>
          </c:extLst>
        </c:ser>
        <c:dLbls>
          <c:showLegendKey val="0"/>
          <c:showVal val="0"/>
          <c:showCatName val="0"/>
          <c:showSerName val="0"/>
          <c:showPercent val="0"/>
          <c:showBubbleSize val="0"/>
        </c:dLbls>
        <c:marker val="1"/>
        <c:smooth val="0"/>
        <c:axId val="125420288"/>
        <c:axId val="125421824"/>
      </c:lineChart>
      <c:catAx>
        <c:axId val="125420288"/>
        <c:scaling>
          <c:orientation val="minMax"/>
        </c:scaling>
        <c:delete val="0"/>
        <c:axPos val="b"/>
        <c:numFmt formatCode="General" sourceLinked="1"/>
        <c:majorTickMark val="out"/>
        <c:minorTickMark val="none"/>
        <c:tickLblPos val="nextTo"/>
        <c:txPr>
          <a:bodyPr/>
          <a:lstStyle/>
          <a:p>
            <a:pPr>
              <a:defRPr sz="1000"/>
            </a:pPr>
            <a:endParaRPr lang="en-US"/>
          </a:p>
        </c:txPr>
        <c:crossAx val="125421824"/>
        <c:crosses val="autoZero"/>
        <c:auto val="1"/>
        <c:lblAlgn val="ctr"/>
        <c:lblOffset val="100"/>
        <c:noMultiLvlLbl val="0"/>
      </c:catAx>
      <c:valAx>
        <c:axId val="125421824"/>
        <c:scaling>
          <c:orientation val="minMax"/>
          <c:min val="0"/>
        </c:scaling>
        <c:delete val="0"/>
        <c:axPos val="l"/>
        <c:majorGridlines/>
        <c:title>
          <c:tx>
            <c:rich>
              <a:bodyPr/>
              <a:lstStyle/>
              <a:p>
                <a:pPr>
                  <a:defRPr sz="1200"/>
                </a:pPr>
                <a:r>
                  <a:rPr lang="en-US" sz="1200"/>
                  <a:t>Shipments (Units)</a:t>
                </a:r>
              </a:p>
            </c:rich>
          </c:tx>
          <c:layout>
            <c:manualLayout>
              <c:xMode val="edge"/>
              <c:yMode val="edge"/>
              <c:x val="2.3462327726077124E-2"/>
              <c:y val="0.28239084591574548"/>
            </c:manualLayout>
          </c:layout>
          <c:overlay val="0"/>
        </c:title>
        <c:numFmt formatCode="_(* #,##0_);_(* \(#,##0\);_(* &quot;-&quot;??_);_(@_)" sourceLinked="1"/>
        <c:majorTickMark val="out"/>
        <c:minorTickMark val="none"/>
        <c:tickLblPos val="nextTo"/>
        <c:txPr>
          <a:bodyPr/>
          <a:lstStyle/>
          <a:p>
            <a:pPr>
              <a:defRPr sz="1000"/>
            </a:pPr>
            <a:endParaRPr lang="en-US"/>
          </a:p>
        </c:txPr>
        <c:crossAx val="125420288"/>
        <c:crosses val="autoZero"/>
        <c:crossBetween val="between"/>
        <c:majorUnit val="2000000"/>
        <c:minorUnit val="40000"/>
      </c:valAx>
    </c:plotArea>
    <c:legend>
      <c:legendPos val="t"/>
      <c:layout>
        <c:manualLayout>
          <c:xMode val="edge"/>
          <c:yMode val="edge"/>
          <c:x val="0.22953034291704424"/>
          <c:y val="3.2017165564869429E-2"/>
          <c:w val="0.67262626110428281"/>
          <c:h val="0.136172693485781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54096058806194"/>
          <c:y val="5.6855167637838613E-2"/>
          <c:w val="0.847492240784677"/>
          <c:h val="0.85122126856446434"/>
        </c:manualLayout>
      </c:layout>
      <c:lineChart>
        <c:grouping val="standard"/>
        <c:varyColors val="0"/>
        <c:ser>
          <c:idx val="0"/>
          <c:order val="0"/>
          <c:tx>
            <c:strRef>
              <c:f>Summary!$B$295</c:f>
              <c:strCache>
                <c:ptCount val="1"/>
                <c:pt idx="0">
                  <c:v>&lt;10G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Summary!$C$295:$N$295</c:f>
              <c:numCache>
                <c:formatCode>0%</c:formatCode>
                <c:ptCount val="12"/>
                <c:pt idx="0">
                  <c:v>0.37511818939959324</c:v>
                </c:pt>
                <c:pt idx="1">
                  <c:v>0.2960701521301668</c:v>
                </c:pt>
                <c:pt idx="2">
                  <c:v>0.31133237180725382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81F-DA49-8B03-69DF76182AAB}"/>
            </c:ext>
          </c:extLst>
        </c:ser>
        <c:ser>
          <c:idx val="1"/>
          <c:order val="1"/>
          <c:tx>
            <c:strRef>
              <c:f>Summary!$B$296</c:f>
              <c:strCache>
                <c:ptCount val="1"/>
                <c:pt idx="0">
                  <c:v>10G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Summary!$C$296:$N$296</c:f>
              <c:numCache>
                <c:formatCode>0%</c:formatCode>
                <c:ptCount val="12"/>
                <c:pt idx="0">
                  <c:v>0.59913931153889233</c:v>
                </c:pt>
                <c:pt idx="1">
                  <c:v>0.62527752748127097</c:v>
                </c:pt>
                <c:pt idx="2">
                  <c:v>0.54530759764729331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81F-DA49-8B03-69DF76182AAB}"/>
            </c:ext>
          </c:extLst>
        </c:ser>
        <c:ser>
          <c:idx val="2"/>
          <c:order val="2"/>
          <c:tx>
            <c:strRef>
              <c:f>Summary!$B$297</c:f>
              <c:strCache>
                <c:ptCount val="1"/>
                <c:pt idx="0">
                  <c:v>25G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Summary!$C$297:$N$297</c:f>
              <c:numCache>
                <c:formatCode>0%</c:formatCode>
                <c:ptCount val="12"/>
                <c:pt idx="0">
                  <c:v>2.5742499061514355E-2</c:v>
                </c:pt>
                <c:pt idx="1">
                  <c:v>7.8649983067619847E-2</c:v>
                </c:pt>
                <c:pt idx="2">
                  <c:v>0.13923469058788696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1F-DA49-8B03-69DF76182AAB}"/>
            </c:ext>
          </c:extLst>
        </c:ser>
        <c:ser>
          <c:idx val="3"/>
          <c:order val="3"/>
          <c:tx>
            <c:strRef>
              <c:f>Summary!$B$298</c:f>
              <c:strCache>
                <c:ptCount val="1"/>
                <c:pt idx="0">
                  <c:v>50G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Summary!$C$298:$N$298</c:f>
              <c:numCache>
                <c:formatCode>0%</c:formatCode>
                <c:ptCount val="12"/>
                <c:pt idx="0">
                  <c:v>0</c:v>
                </c:pt>
                <c:pt idx="1">
                  <c:v>2.1534867110560769E-6</c:v>
                </c:pt>
                <c:pt idx="2">
                  <c:v>4.0602030108674754E-3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81F-DA49-8B03-69DF76182AAB}"/>
            </c:ext>
          </c:extLst>
        </c:ser>
        <c:ser>
          <c:idx val="4"/>
          <c:order val="4"/>
          <c:tx>
            <c:strRef>
              <c:f>Summary!$B$299</c:f>
              <c:strCache>
                <c:ptCount val="1"/>
                <c:pt idx="0">
                  <c:v>100G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Summary!$C$299:$N$299</c:f>
              <c:numCache>
                <c:formatCode>0%</c:formatCode>
                <c:ptCount val="12"/>
                <c:pt idx="0">
                  <c:v>0</c:v>
                </c:pt>
                <c:pt idx="1">
                  <c:v>1.8383423143161633E-7</c:v>
                </c:pt>
                <c:pt idx="2">
                  <c:v>6.5136946698408693E-5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8F2-DB4C-A0B8-52577B658713}"/>
            </c:ext>
          </c:extLst>
        </c:ser>
        <c:ser>
          <c:idx val="5"/>
          <c:order val="5"/>
          <c:tx>
            <c:strRef>
              <c:f>Summary!$B$300</c:f>
              <c:strCache>
                <c:ptCount val="1"/>
                <c:pt idx="0">
                  <c:v>200G</c:v>
                </c:pt>
              </c:strCache>
            </c:strRef>
          </c:tx>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Summary!$C$300:$N$300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5469-DA46-B293-8E7B7CD503C4}"/>
            </c:ext>
          </c:extLst>
        </c:ser>
        <c:dLbls>
          <c:showLegendKey val="0"/>
          <c:showVal val="0"/>
          <c:showCatName val="0"/>
          <c:showSerName val="0"/>
          <c:showPercent val="0"/>
          <c:showBubbleSize val="0"/>
        </c:dLbls>
        <c:marker val="1"/>
        <c:smooth val="0"/>
        <c:axId val="125473536"/>
        <c:axId val="125475072"/>
      </c:lineChart>
      <c:catAx>
        <c:axId val="125473536"/>
        <c:scaling>
          <c:orientation val="minMax"/>
        </c:scaling>
        <c:delete val="0"/>
        <c:axPos val="b"/>
        <c:numFmt formatCode="General" sourceLinked="1"/>
        <c:majorTickMark val="out"/>
        <c:minorTickMark val="none"/>
        <c:tickLblPos val="nextTo"/>
        <c:txPr>
          <a:bodyPr/>
          <a:lstStyle/>
          <a:p>
            <a:pPr>
              <a:defRPr sz="1200"/>
            </a:pPr>
            <a:endParaRPr lang="en-US"/>
          </a:p>
        </c:txPr>
        <c:crossAx val="125475072"/>
        <c:crosses val="autoZero"/>
        <c:auto val="1"/>
        <c:lblAlgn val="ctr"/>
        <c:lblOffset val="100"/>
        <c:noMultiLvlLbl val="0"/>
      </c:catAx>
      <c:valAx>
        <c:axId val="125475072"/>
        <c:scaling>
          <c:orientation val="minMax"/>
          <c:max val="0.75"/>
          <c:min val="0"/>
        </c:scaling>
        <c:delete val="0"/>
        <c:axPos val="l"/>
        <c:majorGridlines/>
        <c:title>
          <c:tx>
            <c:rich>
              <a:bodyPr rot="-5400000" vert="horz"/>
              <a:lstStyle/>
              <a:p>
                <a:pPr>
                  <a:defRPr sz="1200" b="1"/>
                </a:pPr>
                <a:r>
                  <a:rPr lang="en-US" sz="1200" b="1"/>
                  <a:t>Percent of Total Modules Shipped</a:t>
                </a:r>
              </a:p>
            </c:rich>
          </c:tx>
          <c:layout>
            <c:manualLayout>
              <c:xMode val="edge"/>
              <c:yMode val="edge"/>
              <c:x val="2.4329020275974299E-2"/>
              <c:y val="0.18415878595864901"/>
            </c:manualLayout>
          </c:layout>
          <c:overlay val="0"/>
        </c:title>
        <c:numFmt formatCode="0%" sourceLinked="1"/>
        <c:majorTickMark val="out"/>
        <c:minorTickMark val="none"/>
        <c:tickLblPos val="nextTo"/>
        <c:crossAx val="125473536"/>
        <c:crosses val="autoZero"/>
        <c:crossBetween val="between"/>
      </c:valAx>
    </c:plotArea>
    <c:legend>
      <c:legendPos val="t"/>
      <c:layout>
        <c:manualLayout>
          <c:xMode val="edge"/>
          <c:yMode val="edge"/>
          <c:x val="0.47255662561492601"/>
          <c:y val="4.0970565442059965E-2"/>
          <c:w val="0.52744337438507405"/>
          <c:h val="7.922980095716547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The 'Mega-DCI' market segment</a:t>
            </a:r>
          </a:p>
          <a:p>
            <a:pPr>
              <a:defRPr/>
            </a:pPr>
            <a:r>
              <a:rPr lang="en-US"/>
              <a:t>is part of the overall DWDM market </a:t>
            </a:r>
          </a:p>
        </c:rich>
      </c:tx>
      <c:overlay val="0"/>
    </c:title>
    <c:autoTitleDeleted val="0"/>
    <c:plotArea>
      <c:layout>
        <c:manualLayout>
          <c:layoutTarget val="inner"/>
          <c:xMode val="edge"/>
          <c:yMode val="edge"/>
          <c:x val="0.335553912794613"/>
          <c:y val="0.33331324079588798"/>
          <c:w val="0.34733540597424101"/>
          <c:h val="0.61576095894895"/>
        </c:manualLayout>
      </c:layout>
      <c:pieChart>
        <c:varyColors val="1"/>
        <c:ser>
          <c:idx val="0"/>
          <c:order val="0"/>
          <c:tx>
            <c:strRef>
              <c:f>Products!$P$25:$P$26</c:f>
              <c:strCache>
                <c:ptCount val="2"/>
                <c:pt idx="0">
                  <c:v>Rest of DWDM</c:v>
                </c:pt>
                <c:pt idx="1">
                  <c:v>DCI DWDM</c:v>
                </c:pt>
              </c:strCache>
            </c:strRef>
          </c:tx>
          <c:dLbls>
            <c:dLbl>
              <c:idx val="0"/>
              <c:layout>
                <c:manualLayout>
                  <c:x val="1.7268504872627599E-2"/>
                  <c:y val="-8.3776699788748896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70-CF40-8792-892946E88A5B}"/>
                </c:ext>
              </c:extLst>
            </c:dLbl>
            <c:dLbl>
              <c:idx val="1"/>
              <c:layout>
                <c:manualLayout>
                  <c:x val="-1.9794493758546701E-2"/>
                  <c:y val="-2.5758499941718301E-2"/>
                </c:manualLayout>
              </c:layout>
              <c:spPr/>
              <c:txPr>
                <a:bodyPr/>
                <a:lstStyle/>
                <a:p>
                  <a:pPr>
                    <a:defRPr sz="1200" b="1"/>
                  </a:pPr>
                  <a:endParaRPr lang="en-US"/>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70-CF40-8792-892946E88A5B}"/>
                </c:ext>
              </c:extLst>
            </c:dLbl>
            <c:spPr>
              <a:noFill/>
              <a:ln>
                <a:noFill/>
              </a:ln>
              <a:effectLst/>
            </c:spPr>
            <c:txPr>
              <a:bodyPr/>
              <a:lstStyle/>
              <a:p>
                <a:pPr>
                  <a:defRPr sz="1200"/>
                </a:pPr>
                <a:endParaRPr lang="en-US"/>
              </a:p>
            </c:txPr>
            <c:showLegendKey val="0"/>
            <c:showVal val="0"/>
            <c:showCatName val="1"/>
            <c:showSerName val="0"/>
            <c:showPercent val="0"/>
            <c:showBubbleSize val="0"/>
            <c:showLeaderLines val="0"/>
            <c:extLst>
              <c:ext xmlns:c15="http://schemas.microsoft.com/office/drawing/2012/chart" uri="{CE6537A1-D6FC-4f65-9D91-7224C49458BB}"/>
            </c:extLst>
          </c:dLbls>
          <c:cat>
            <c:strRef>
              <c:f>Products!$P$25:$P$26</c:f>
              <c:strCache>
                <c:ptCount val="2"/>
                <c:pt idx="0">
                  <c:v>Rest of DWDM</c:v>
                </c:pt>
                <c:pt idx="1">
                  <c:v>DCI DWDM</c:v>
                </c:pt>
              </c:strCache>
            </c:strRef>
          </c:cat>
          <c:val>
            <c:numRef>
              <c:f>'[10]WDM segments'!#REF!</c:f>
              <c:numCache>
                <c:formatCode>General</c:formatCode>
                <c:ptCount val="2"/>
                <c:pt idx="0">
                  <c:v>86448.937900865014</c:v>
                </c:pt>
                <c:pt idx="1">
                  <c:v>30625</c:v>
                </c:pt>
              </c:numCache>
            </c:numRef>
          </c:val>
          <c:extLst>
            <c:ext xmlns:c16="http://schemas.microsoft.com/office/drawing/2014/chart" uri="{C3380CC4-5D6E-409C-BE32-E72D297353CC}">
              <c16:uniqueId val="{00000002-8E70-CF40-8792-892946E88A5B}"/>
            </c:ext>
          </c:extLst>
        </c:ser>
        <c:dLbls>
          <c:showLegendKey val="0"/>
          <c:showVal val="1"/>
          <c:showCatName val="0"/>
          <c:showSerName val="0"/>
          <c:showPercent val="0"/>
          <c:showBubbleSize val="0"/>
          <c:showLeaderLines val="0"/>
        </c:dLbls>
        <c:firstSliceAng val="310"/>
      </c:pieChart>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6061791252883"/>
          <c:y val="4.8373313543863969E-2"/>
          <c:w val="0.82100719121111554"/>
          <c:h val="0.82641762366504312"/>
        </c:manualLayout>
      </c:layout>
      <c:lineChart>
        <c:grouping val="standard"/>
        <c:varyColors val="0"/>
        <c:ser>
          <c:idx val="2"/>
          <c:order val="0"/>
          <c:tx>
            <c:strRef>
              <c:f>Summary!$B$492</c:f>
              <c:strCache>
                <c:ptCount val="1"/>
                <c:pt idx="0">
                  <c:v>100 m</c:v>
                </c:pt>
              </c:strCache>
            </c:strRef>
          </c:tx>
          <c:spPr>
            <a:ln>
              <a:solidFill>
                <a:schemeClr val="accent2"/>
              </a:solidFill>
            </a:ln>
          </c:spPr>
          <c:marker>
            <c:spPr>
              <a:solidFill>
                <a:schemeClr val="accent2"/>
              </a:solidFill>
              <a:ln>
                <a:solidFill>
                  <a:schemeClr val="accent2"/>
                </a:solidFill>
              </a:ln>
            </c:spPr>
          </c:marker>
          <c:cat>
            <c:numRef>
              <c:f>Summary!$C$491:$N$491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Summary!$C$492:$N$492</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58D-3D48-A2D2-FCA817363A77}"/>
            </c:ext>
          </c:extLst>
        </c:ser>
        <c:ser>
          <c:idx val="0"/>
          <c:order val="1"/>
          <c:tx>
            <c:strRef>
              <c:f>Summary!$B$493</c:f>
              <c:strCache>
                <c:ptCount val="1"/>
                <c:pt idx="0">
                  <c:v>2 km</c:v>
                </c:pt>
              </c:strCache>
            </c:strRef>
          </c:tx>
          <c:cat>
            <c:numRef>
              <c:f>Summary!$C$491:$N$491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Summary!$C$493:$N$493</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58D-3D48-A2D2-FCA817363A77}"/>
            </c:ext>
          </c:extLst>
        </c:ser>
        <c:ser>
          <c:idx val="1"/>
          <c:order val="2"/>
          <c:tx>
            <c:strRef>
              <c:f>Summary!$B$494</c:f>
              <c:strCache>
                <c:ptCount val="1"/>
                <c:pt idx="0">
                  <c:v>10 km</c:v>
                </c:pt>
              </c:strCache>
            </c:strRef>
          </c:tx>
          <c:spPr>
            <a:ln>
              <a:solidFill>
                <a:schemeClr val="accent3"/>
              </a:solidFill>
            </a:ln>
          </c:spPr>
          <c:marker>
            <c:symbol val="square"/>
            <c:size val="5"/>
            <c:spPr>
              <a:solidFill>
                <a:schemeClr val="accent3"/>
              </a:solidFill>
              <a:ln>
                <a:solidFill>
                  <a:schemeClr val="accent3"/>
                </a:solidFill>
              </a:ln>
            </c:spPr>
          </c:marker>
          <c:cat>
            <c:numRef>
              <c:f>Summary!$C$491:$N$491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Summary!$C$494:$N$494</c:f>
              <c:numCache>
                <c:formatCode>_(* #,##0_);_(* \(#,##0\);_(* "-"??_);_(@_)</c:formatCode>
                <c:ptCount val="12"/>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58D-3D48-A2D2-FCA817363A77}"/>
            </c:ext>
          </c:extLst>
        </c:ser>
        <c:dLbls>
          <c:showLegendKey val="0"/>
          <c:showVal val="0"/>
          <c:showCatName val="0"/>
          <c:showSerName val="0"/>
          <c:showPercent val="0"/>
          <c:showBubbleSize val="0"/>
        </c:dLbls>
        <c:marker val="1"/>
        <c:smooth val="0"/>
        <c:axId val="126170240"/>
        <c:axId val="126172160"/>
      </c:lineChart>
      <c:catAx>
        <c:axId val="126170240"/>
        <c:scaling>
          <c:orientation val="minMax"/>
        </c:scaling>
        <c:delete val="0"/>
        <c:axPos val="b"/>
        <c:numFmt formatCode="General" sourceLinked="1"/>
        <c:majorTickMark val="out"/>
        <c:minorTickMark val="none"/>
        <c:tickLblPos val="nextTo"/>
        <c:txPr>
          <a:bodyPr/>
          <a:lstStyle/>
          <a:p>
            <a:pPr>
              <a:defRPr sz="1200"/>
            </a:pPr>
            <a:endParaRPr lang="en-US"/>
          </a:p>
        </c:txPr>
        <c:crossAx val="126172160"/>
        <c:crosses val="autoZero"/>
        <c:auto val="1"/>
        <c:lblAlgn val="ctr"/>
        <c:lblOffset val="100"/>
        <c:noMultiLvlLbl val="0"/>
      </c:catAx>
      <c:valAx>
        <c:axId val="126172160"/>
        <c:scaling>
          <c:orientation val="minMax"/>
          <c:min val="0"/>
        </c:scaling>
        <c:delete val="0"/>
        <c:axPos val="l"/>
        <c:majorGridlines/>
        <c:title>
          <c:tx>
            <c:rich>
              <a:bodyPr/>
              <a:lstStyle/>
              <a:p>
                <a:pPr>
                  <a:defRPr sz="1200"/>
                </a:pPr>
                <a:r>
                  <a:rPr lang="en-US" sz="1200"/>
                  <a:t>Annual Shipments (Units)</a:t>
                </a:r>
              </a:p>
            </c:rich>
          </c:tx>
          <c:layout>
            <c:manualLayout>
              <c:xMode val="edge"/>
              <c:yMode val="edge"/>
              <c:x val="1.9848694251447089E-2"/>
              <c:y val="0.1064368075450569"/>
            </c:manualLayout>
          </c:layout>
          <c:overlay val="0"/>
        </c:title>
        <c:numFmt formatCode="_(* #,##0_);_(* \(#,##0\);_(* &quot;-&quot;??_);_(@_)" sourceLinked="1"/>
        <c:majorTickMark val="out"/>
        <c:minorTickMark val="none"/>
        <c:tickLblPos val="nextTo"/>
        <c:txPr>
          <a:bodyPr/>
          <a:lstStyle/>
          <a:p>
            <a:pPr>
              <a:defRPr sz="1100"/>
            </a:pPr>
            <a:endParaRPr lang="en-US"/>
          </a:p>
        </c:txPr>
        <c:crossAx val="126170240"/>
        <c:crosses val="autoZero"/>
        <c:crossBetween val="between"/>
      </c:valAx>
    </c:plotArea>
    <c:legend>
      <c:legendPos val="t"/>
      <c:layout>
        <c:manualLayout>
          <c:xMode val="edge"/>
          <c:yMode val="edge"/>
          <c:x val="0.17223735526622808"/>
          <c:y val="7.2361652046543962E-2"/>
          <c:w val="0.17431087194538772"/>
          <c:h val="0.7256196556677444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19116978526157"/>
          <c:y val="4.2437647091752607E-2"/>
          <c:w val="0.84499471704530182"/>
          <c:h val="0.83264656323092701"/>
        </c:manualLayout>
      </c:layout>
      <c:lineChart>
        <c:grouping val="standard"/>
        <c:varyColors val="0"/>
        <c:ser>
          <c:idx val="2"/>
          <c:order val="0"/>
          <c:tx>
            <c:strRef>
              <c:f>Summary!$B$761</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Summary!$E$760:$N$760</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Summary!$E$761:$N$761</c:f>
              <c:numCache>
                <c:formatCode>_(* #,##0_);_(* \(#,##0\);_(* "-"??_);_(@_)</c:formatCode>
                <c:ptCount val="10"/>
                <c:pt idx="0">
                  <c:v>500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C1AA-FB41-BF06-38DEF12B2A04}"/>
            </c:ext>
          </c:extLst>
        </c:ser>
        <c:ser>
          <c:idx val="3"/>
          <c:order val="1"/>
          <c:tx>
            <c:strRef>
              <c:f>Summary!$B$762</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Summary!$E$760:$N$760</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Summary!$E$762:$N$762</c:f>
              <c:numCache>
                <c:formatCode>_(* #,##0_);_(* \(#,##0\);_(* "-"??_);_(@_)</c:formatCode>
                <c:ptCount val="10"/>
                <c:pt idx="0">
                  <c:v>500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C1AA-FB41-BF06-38DEF12B2A04}"/>
            </c:ext>
          </c:extLst>
        </c:ser>
        <c:dLbls>
          <c:showLegendKey val="0"/>
          <c:showVal val="0"/>
          <c:showCatName val="0"/>
          <c:showSerName val="0"/>
          <c:showPercent val="0"/>
          <c:showBubbleSize val="0"/>
        </c:dLbls>
        <c:marker val="1"/>
        <c:smooth val="0"/>
        <c:axId val="126198144"/>
        <c:axId val="126200064"/>
      </c:lineChart>
      <c:catAx>
        <c:axId val="126198144"/>
        <c:scaling>
          <c:orientation val="minMax"/>
        </c:scaling>
        <c:delete val="0"/>
        <c:axPos val="b"/>
        <c:numFmt formatCode="General" sourceLinked="1"/>
        <c:majorTickMark val="out"/>
        <c:minorTickMark val="none"/>
        <c:tickLblPos val="nextTo"/>
        <c:txPr>
          <a:bodyPr/>
          <a:lstStyle/>
          <a:p>
            <a:pPr>
              <a:defRPr sz="1000"/>
            </a:pPr>
            <a:endParaRPr lang="en-US"/>
          </a:p>
        </c:txPr>
        <c:crossAx val="126200064"/>
        <c:crosses val="autoZero"/>
        <c:auto val="1"/>
        <c:lblAlgn val="ctr"/>
        <c:lblOffset val="100"/>
        <c:noMultiLvlLbl val="0"/>
      </c:catAx>
      <c:valAx>
        <c:axId val="126200064"/>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_(* #,##0_);_(* \(#,##0\);_(* &quot;-&quot;??_);_(@_)" sourceLinked="1"/>
        <c:majorTickMark val="out"/>
        <c:minorTickMark val="none"/>
        <c:tickLblPos val="nextTo"/>
        <c:txPr>
          <a:bodyPr/>
          <a:lstStyle/>
          <a:p>
            <a:pPr>
              <a:defRPr sz="1000"/>
            </a:pPr>
            <a:endParaRPr lang="en-US"/>
          </a:p>
        </c:txPr>
        <c:crossAx val="126198144"/>
        <c:crosses val="autoZero"/>
        <c:crossBetween val="between"/>
        <c:majorUnit val="500000"/>
      </c:valAx>
    </c:plotArea>
    <c:legend>
      <c:legendPos val="t"/>
      <c:layout>
        <c:manualLayout>
          <c:xMode val="edge"/>
          <c:yMode val="edge"/>
          <c:x val="0.21665150585317014"/>
          <c:y val="0.10215844312590842"/>
          <c:w val="0.33482952626928653"/>
          <c:h val="0.2050348770477403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MMF vs SMF - All Modules</a:t>
            </a:r>
          </a:p>
        </c:rich>
      </c:tx>
      <c:overlay val="0"/>
    </c:title>
    <c:autoTitleDeleted val="0"/>
    <c:plotArea>
      <c:layout>
        <c:manualLayout>
          <c:layoutTarget val="inner"/>
          <c:xMode val="edge"/>
          <c:yMode val="edge"/>
          <c:x val="7.9823800076012461E-2"/>
          <c:y val="0.17144738361468323"/>
          <c:w val="0.90655526742312142"/>
          <c:h val="0.72018099405713021"/>
        </c:manualLayout>
      </c:layout>
      <c:barChart>
        <c:barDir val="col"/>
        <c:grouping val="percentStacked"/>
        <c:varyColors val="0"/>
        <c:ser>
          <c:idx val="1"/>
          <c:order val="0"/>
          <c:tx>
            <c:strRef>
              <c:f>Summary!$B$246</c:f>
              <c:strCache>
                <c:ptCount val="1"/>
                <c:pt idx="0">
                  <c:v>Percent  MMF</c:v>
                </c:pt>
              </c:strCache>
            </c:strRef>
          </c:tx>
          <c:spPr>
            <a:solidFill>
              <a:schemeClr val="accent1"/>
            </a:solidFill>
          </c:spPr>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Summary!$C$246:$N$246</c:f>
              <c:numCache>
                <c:formatCode>0%</c:formatCode>
                <c:ptCount val="12"/>
                <c:pt idx="0">
                  <c:v>0.49223811974149628</c:v>
                </c:pt>
                <c:pt idx="1">
                  <c:v>0.51759665005603139</c:v>
                </c:pt>
                <c:pt idx="2">
                  <c:v>0.51062985751886947</c:v>
                </c:pt>
              </c:numCache>
            </c:numRef>
          </c:val>
          <c:extLst>
            <c:ext xmlns:c16="http://schemas.microsoft.com/office/drawing/2014/chart" uri="{C3380CC4-5D6E-409C-BE32-E72D297353CC}">
              <c16:uniqueId val="{00000000-FC00-084B-B2B8-2C9898FD03FC}"/>
            </c:ext>
          </c:extLst>
        </c:ser>
        <c:ser>
          <c:idx val="0"/>
          <c:order val="1"/>
          <c:tx>
            <c:strRef>
              <c:f>Summary!$B$247</c:f>
              <c:strCache>
                <c:ptCount val="1"/>
                <c:pt idx="0">
                  <c:v>Percent  SMF</c:v>
                </c:pt>
              </c:strCache>
            </c:strRef>
          </c:tx>
          <c:spPr>
            <a:solidFill>
              <a:schemeClr val="accent2"/>
            </a:solidFill>
          </c:spPr>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Summary!$C$247:$N$247</c:f>
              <c:numCache>
                <c:formatCode>0%</c:formatCode>
                <c:ptCount val="12"/>
                <c:pt idx="0">
                  <c:v>0.50776188025850366</c:v>
                </c:pt>
                <c:pt idx="1">
                  <c:v>0.48240334994396855</c:v>
                </c:pt>
                <c:pt idx="2">
                  <c:v>0.48937014248113053</c:v>
                </c:pt>
              </c:numCache>
            </c:numRef>
          </c:val>
          <c:extLst>
            <c:ext xmlns:c16="http://schemas.microsoft.com/office/drawing/2014/chart" uri="{C3380CC4-5D6E-409C-BE32-E72D297353CC}">
              <c16:uniqueId val="{00000000-B0B7-6F4B-8ADD-64C8B9B91F16}"/>
            </c:ext>
          </c:extLst>
        </c:ser>
        <c:dLbls>
          <c:showLegendKey val="0"/>
          <c:showVal val="0"/>
          <c:showCatName val="0"/>
          <c:showSerName val="0"/>
          <c:showPercent val="0"/>
          <c:showBubbleSize val="0"/>
        </c:dLbls>
        <c:gapWidth val="150"/>
        <c:overlap val="100"/>
        <c:axId val="126112128"/>
        <c:axId val="126113664"/>
      </c:barChart>
      <c:catAx>
        <c:axId val="126112128"/>
        <c:scaling>
          <c:orientation val="minMax"/>
        </c:scaling>
        <c:delete val="0"/>
        <c:axPos val="b"/>
        <c:numFmt formatCode="General" sourceLinked="1"/>
        <c:majorTickMark val="out"/>
        <c:minorTickMark val="none"/>
        <c:tickLblPos val="nextTo"/>
        <c:crossAx val="126113664"/>
        <c:crosses val="autoZero"/>
        <c:auto val="1"/>
        <c:lblAlgn val="ctr"/>
        <c:lblOffset val="100"/>
        <c:noMultiLvlLbl val="0"/>
      </c:catAx>
      <c:valAx>
        <c:axId val="126113664"/>
        <c:scaling>
          <c:orientation val="minMax"/>
        </c:scaling>
        <c:delete val="0"/>
        <c:axPos val="l"/>
        <c:majorGridlines/>
        <c:numFmt formatCode="0%" sourceLinked="1"/>
        <c:majorTickMark val="out"/>
        <c:minorTickMark val="none"/>
        <c:tickLblPos val="nextTo"/>
        <c:crossAx val="126112128"/>
        <c:crosses val="autoZero"/>
        <c:crossBetween val="between"/>
      </c:valAx>
    </c:plotArea>
    <c:legend>
      <c:legendPos val="r"/>
      <c:layout>
        <c:manualLayout>
          <c:xMode val="edge"/>
          <c:yMode val="edge"/>
          <c:x val="0.73444548283958089"/>
          <c:y val="0.26182278739748632"/>
          <c:w val="0.15975129797235127"/>
          <c:h val="0.16551133042256366"/>
        </c:manualLayout>
      </c:layout>
      <c:overlay val="0"/>
      <c:spPr>
        <a:solidFill>
          <a:sysClr val="window" lastClr="FFFFFF"/>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81044258781"/>
          <c:y val="5.530659146732407E-2"/>
          <c:w val="0.74542245196449697"/>
          <c:h val="0.82930913938073236"/>
        </c:manualLayout>
      </c:layout>
      <c:barChart>
        <c:barDir val="col"/>
        <c:grouping val="percentStacked"/>
        <c:varyColors val="0"/>
        <c:ser>
          <c:idx val="0"/>
          <c:order val="0"/>
          <c:tx>
            <c:strRef>
              <c:f>Summary!$B$233</c:f>
              <c:strCache>
                <c:ptCount val="1"/>
                <c:pt idx="0">
                  <c:v>1G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Summary!$C$233:$N$233</c:f>
              <c:numCache>
                <c:formatCode>0%</c:formatCode>
                <c:ptCount val="12"/>
                <c:pt idx="0">
                  <c:v>0.37511818939959324</c:v>
                </c:pt>
                <c:pt idx="1">
                  <c:v>0.2960701521301668</c:v>
                </c:pt>
                <c:pt idx="2">
                  <c:v>0.31133237180725382</c:v>
                </c:pt>
              </c:numCache>
            </c:numRef>
          </c:val>
          <c:extLst>
            <c:ext xmlns:c16="http://schemas.microsoft.com/office/drawing/2014/chart" uri="{C3380CC4-5D6E-409C-BE32-E72D297353CC}">
              <c16:uniqueId val="{00000000-82D6-1E46-83C4-8721F7697AF7}"/>
            </c:ext>
          </c:extLst>
        </c:ser>
        <c:ser>
          <c:idx val="1"/>
          <c:order val="1"/>
          <c:tx>
            <c:strRef>
              <c:f>Summary!$B$234</c:f>
              <c:strCache>
                <c:ptCount val="1"/>
                <c:pt idx="0">
                  <c:v>10G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Summary!$C$234:$N$234</c:f>
              <c:numCache>
                <c:formatCode>0%</c:formatCode>
                <c:ptCount val="12"/>
                <c:pt idx="0">
                  <c:v>0.51196179202262815</c:v>
                </c:pt>
                <c:pt idx="1">
                  <c:v>0.52379682980572895</c:v>
                </c:pt>
                <c:pt idx="2">
                  <c:v>0.47804016255243081</c:v>
                </c:pt>
              </c:numCache>
            </c:numRef>
          </c:val>
          <c:extLst>
            <c:ext xmlns:c16="http://schemas.microsoft.com/office/drawing/2014/chart" uri="{C3380CC4-5D6E-409C-BE32-E72D297353CC}">
              <c16:uniqueId val="{00000001-82D6-1E46-83C4-8721F7697AF7}"/>
            </c:ext>
          </c:extLst>
        </c:ser>
        <c:ser>
          <c:idx val="2"/>
          <c:order val="2"/>
          <c:tx>
            <c:strRef>
              <c:f>Summary!$B$235</c:f>
              <c:strCache>
                <c:ptCount val="1"/>
                <c:pt idx="0">
                  <c:v>25G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Summary!$C$235:$N$235</c:f>
              <c:numCache>
                <c:formatCode>0%</c:formatCode>
                <c:ptCount val="12"/>
                <c:pt idx="0">
                  <c:v>3.2332125828659351E-4</c:v>
                </c:pt>
                <c:pt idx="1">
                  <c:v>2.976197420778683E-3</c:v>
                </c:pt>
                <c:pt idx="2">
                  <c:v>8.1570346980950233E-3</c:v>
                </c:pt>
              </c:numCache>
            </c:numRef>
          </c:val>
          <c:extLst>
            <c:ext xmlns:c16="http://schemas.microsoft.com/office/drawing/2014/chart" uri="{C3380CC4-5D6E-409C-BE32-E72D297353CC}">
              <c16:uniqueId val="{00000002-82D6-1E46-83C4-8721F7697AF7}"/>
            </c:ext>
          </c:extLst>
        </c:ser>
        <c:ser>
          <c:idx val="3"/>
          <c:order val="3"/>
          <c:tx>
            <c:strRef>
              <c:f>Summary!$B$236</c:f>
              <c:strCache>
                <c:ptCount val="1"/>
                <c:pt idx="0">
                  <c:v>40G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Summary!$C$236:$N$236</c:f>
              <c:numCache>
                <c:formatCode>0%</c:formatCode>
                <c:ptCount val="12"/>
                <c:pt idx="0">
                  <c:v>8.7177519516264138E-2</c:v>
                </c:pt>
                <c:pt idx="1">
                  <c:v>0.10148069767554208</c:v>
                </c:pt>
                <c:pt idx="2">
                  <c:v>6.7267435094862466E-2</c:v>
                </c:pt>
              </c:numCache>
            </c:numRef>
          </c:val>
          <c:extLst>
            <c:ext xmlns:c16="http://schemas.microsoft.com/office/drawing/2014/chart" uri="{C3380CC4-5D6E-409C-BE32-E72D297353CC}">
              <c16:uniqueId val="{00000003-82D6-1E46-83C4-8721F7697AF7}"/>
            </c:ext>
          </c:extLst>
        </c:ser>
        <c:ser>
          <c:idx val="4"/>
          <c:order val="4"/>
          <c:tx>
            <c:strRef>
              <c:f>Summary!$B$237</c:f>
              <c:strCache>
                <c:ptCount val="1"/>
                <c:pt idx="0">
                  <c:v>50G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Summary!$C$237:$N$237</c:f>
              <c:numCache>
                <c:formatCode>0%</c:formatCode>
                <c:ptCount val="12"/>
                <c:pt idx="0">
                  <c:v>0</c:v>
                </c:pt>
                <c:pt idx="1">
                  <c:v>0</c:v>
                </c:pt>
                <c:pt idx="2">
                  <c:v>0</c:v>
                </c:pt>
              </c:numCache>
            </c:numRef>
          </c:val>
          <c:extLst>
            <c:ext xmlns:c16="http://schemas.microsoft.com/office/drawing/2014/chart" uri="{C3380CC4-5D6E-409C-BE32-E72D297353CC}">
              <c16:uniqueId val="{00000004-82D6-1E46-83C4-8721F7697AF7}"/>
            </c:ext>
          </c:extLst>
        </c:ser>
        <c:ser>
          <c:idx val="5"/>
          <c:order val="5"/>
          <c:tx>
            <c:strRef>
              <c:f>Summary!$B$238</c:f>
              <c:strCache>
                <c:ptCount val="1"/>
                <c:pt idx="0">
                  <c:v>100G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Summary!$C$238:$N$238</c:f>
              <c:numCache>
                <c:formatCode>0%</c:formatCode>
                <c:ptCount val="12"/>
                <c:pt idx="0">
                  <c:v>2.5419177803227763E-2</c:v>
                </c:pt>
                <c:pt idx="1">
                  <c:v>7.5673785646841157E-2</c:v>
                </c:pt>
                <c:pt idx="2">
                  <c:v>0.13433450322471238</c:v>
                </c:pt>
              </c:numCache>
            </c:numRef>
          </c:val>
          <c:extLst>
            <c:ext xmlns:c16="http://schemas.microsoft.com/office/drawing/2014/chart" uri="{C3380CC4-5D6E-409C-BE32-E72D297353CC}">
              <c16:uniqueId val="{00000005-82D6-1E46-83C4-8721F7697AF7}"/>
            </c:ext>
          </c:extLst>
        </c:ser>
        <c:ser>
          <c:idx val="6"/>
          <c:order val="6"/>
          <c:tx>
            <c:strRef>
              <c:f>Summary!$B$239</c:f>
              <c:strCache>
                <c:ptCount val="1"/>
                <c:pt idx="0">
                  <c:v>200G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Summary!$C$239:$N$239</c:f>
              <c:numCache>
                <c:formatCode>0%</c:formatCode>
                <c:ptCount val="12"/>
                <c:pt idx="0">
                  <c:v>0</c:v>
                </c:pt>
                <c:pt idx="1">
                  <c:v>0</c:v>
                </c:pt>
                <c:pt idx="2">
                  <c:v>2.1712315566136232E-5</c:v>
                </c:pt>
              </c:numCache>
            </c:numRef>
          </c:val>
          <c:extLst>
            <c:ext xmlns:c16="http://schemas.microsoft.com/office/drawing/2014/chart" uri="{C3380CC4-5D6E-409C-BE32-E72D297353CC}">
              <c16:uniqueId val="{00000006-82D6-1E46-83C4-8721F7697AF7}"/>
            </c:ext>
          </c:extLst>
        </c:ser>
        <c:ser>
          <c:idx val="7"/>
          <c:order val="7"/>
          <c:tx>
            <c:strRef>
              <c:f>Summary!$B$240</c:f>
              <c:strCache>
                <c:ptCount val="1"/>
                <c:pt idx="0">
                  <c:v>400G </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Summary!$C$240:$N$240</c:f>
              <c:numCache>
                <c:formatCode>0%</c:formatCode>
                <c:ptCount val="12"/>
                <c:pt idx="0">
                  <c:v>0</c:v>
                </c:pt>
                <c:pt idx="1">
                  <c:v>2.3373209424876932E-6</c:v>
                </c:pt>
                <c:pt idx="2">
                  <c:v>8.4678030707931303E-4</c:v>
                </c:pt>
              </c:numCache>
            </c:numRef>
          </c:val>
          <c:extLst>
            <c:ext xmlns:c16="http://schemas.microsoft.com/office/drawing/2014/chart" uri="{C3380CC4-5D6E-409C-BE32-E72D297353CC}">
              <c16:uniqueId val="{00000007-82D6-1E46-83C4-8721F7697AF7}"/>
            </c:ext>
          </c:extLst>
        </c:ser>
        <c:ser>
          <c:idx val="8"/>
          <c:order val="8"/>
          <c:tx>
            <c:strRef>
              <c:f>Summary!$B$241</c:f>
              <c:strCache>
                <c:ptCount val="1"/>
                <c:pt idx="0">
                  <c:v>800G</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Summary!$C$241:$N$241</c:f>
              <c:numCache>
                <c:formatCode>0%</c:formatCode>
                <c:ptCount val="12"/>
                <c:pt idx="0">
                  <c:v>0</c:v>
                </c:pt>
                <c:pt idx="1">
                  <c:v>0</c:v>
                </c:pt>
                <c:pt idx="2">
                  <c:v>0</c:v>
                </c:pt>
              </c:numCache>
            </c:numRef>
          </c:val>
          <c:extLst>
            <c:ext xmlns:c16="http://schemas.microsoft.com/office/drawing/2014/chart" uri="{C3380CC4-5D6E-409C-BE32-E72D297353CC}">
              <c16:uniqueId val="{00000000-C0C2-D547-86B6-4B4FD9184421}"/>
            </c:ext>
          </c:extLst>
        </c:ser>
        <c:ser>
          <c:idx val="9"/>
          <c:order val="9"/>
          <c:tx>
            <c:strRef>
              <c:f>Summary!$B$242</c:f>
              <c:strCache>
                <c:ptCount val="1"/>
                <c:pt idx="0">
                  <c:v>1.6T</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Summary!$C$242:$N$242</c:f>
              <c:numCache>
                <c:formatCode>0.0%</c:formatCode>
                <c:ptCount val="12"/>
                <c:pt idx="0" formatCode="0%">
                  <c:v>0</c:v>
                </c:pt>
                <c:pt idx="1">
                  <c:v>0</c:v>
                </c:pt>
                <c:pt idx="2">
                  <c:v>0</c:v>
                </c:pt>
              </c:numCache>
            </c:numRef>
          </c:val>
          <c:extLst>
            <c:ext xmlns:c16="http://schemas.microsoft.com/office/drawing/2014/chart" uri="{C3380CC4-5D6E-409C-BE32-E72D297353CC}">
              <c16:uniqueId val="{00000000-A4E7-9246-82C6-0A1006443E18}"/>
            </c:ext>
          </c:extLst>
        </c:ser>
        <c:dLbls>
          <c:showLegendKey val="0"/>
          <c:showVal val="0"/>
          <c:showCatName val="0"/>
          <c:showSerName val="0"/>
          <c:showPercent val="0"/>
          <c:showBubbleSize val="0"/>
        </c:dLbls>
        <c:gapWidth val="150"/>
        <c:overlap val="100"/>
        <c:axId val="126260352"/>
        <c:axId val="126261888"/>
      </c:barChart>
      <c:catAx>
        <c:axId val="126260352"/>
        <c:scaling>
          <c:orientation val="minMax"/>
        </c:scaling>
        <c:delete val="0"/>
        <c:axPos val="b"/>
        <c:numFmt formatCode="0" sourceLinked="0"/>
        <c:majorTickMark val="out"/>
        <c:minorTickMark val="none"/>
        <c:tickLblPos val="nextTo"/>
        <c:crossAx val="126261888"/>
        <c:crosses val="autoZero"/>
        <c:auto val="1"/>
        <c:lblAlgn val="ctr"/>
        <c:lblOffset val="100"/>
        <c:noMultiLvlLbl val="0"/>
      </c:catAx>
      <c:valAx>
        <c:axId val="126261888"/>
        <c:scaling>
          <c:orientation val="minMax"/>
        </c:scaling>
        <c:delete val="0"/>
        <c:axPos val="l"/>
        <c:majorGridlines/>
        <c:title>
          <c:tx>
            <c:rich>
              <a:bodyPr rot="-5400000" vert="horz"/>
              <a:lstStyle/>
              <a:p>
                <a:pPr>
                  <a:defRPr/>
                </a:pPr>
                <a:r>
                  <a:rPr lang="en-US"/>
                  <a:t>Modules by speed, percent of total</a:t>
                </a:r>
              </a:p>
            </c:rich>
          </c:tx>
          <c:overlay val="0"/>
        </c:title>
        <c:numFmt formatCode="0%" sourceLinked="1"/>
        <c:majorTickMark val="out"/>
        <c:minorTickMark val="none"/>
        <c:tickLblPos val="nextTo"/>
        <c:crossAx val="126260352"/>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1" i="0" u="none" strike="noStrike" baseline="0">
                <a:effectLst/>
              </a:rPr>
              <a:t>MMF vs SMF - 100</a:t>
            </a:r>
            <a:r>
              <a:rPr lang="en-US" sz="1600"/>
              <a:t>G to 800G speed</a:t>
            </a:r>
            <a:r>
              <a:rPr lang="en-US" sz="1600" baseline="0"/>
              <a:t> modules only</a:t>
            </a:r>
            <a:endParaRPr lang="en-US" sz="1600"/>
          </a:p>
        </c:rich>
      </c:tx>
      <c:overlay val="0"/>
    </c:title>
    <c:autoTitleDeleted val="0"/>
    <c:plotArea>
      <c:layout>
        <c:manualLayout>
          <c:layoutTarget val="inner"/>
          <c:xMode val="edge"/>
          <c:yMode val="edge"/>
          <c:x val="8.5003368831769593E-2"/>
          <c:y val="0.13132858667616301"/>
          <c:w val="0.869650948803813"/>
          <c:h val="0.77758084531418303"/>
        </c:manualLayout>
      </c:layout>
      <c:barChart>
        <c:barDir val="col"/>
        <c:grouping val="percentStacked"/>
        <c:varyColors val="0"/>
        <c:ser>
          <c:idx val="0"/>
          <c:order val="0"/>
          <c:tx>
            <c:strRef>
              <c:f>Summary!$B$252</c:f>
              <c:strCache>
                <c:ptCount val="1"/>
                <c:pt idx="0">
                  <c:v>Percent  MMF</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Summary!$C$252:$N$252</c:f>
              <c:numCache>
                <c:formatCode>0%</c:formatCode>
                <c:ptCount val="12"/>
                <c:pt idx="0">
                  <c:v>0.32548484288153845</c:v>
                </c:pt>
                <c:pt idx="1">
                  <c:v>0.21931517407643517</c:v>
                </c:pt>
                <c:pt idx="2">
                  <c:v>0.33826957795827833</c:v>
                </c:pt>
              </c:numCache>
            </c:numRef>
          </c:val>
          <c:extLst>
            <c:ext xmlns:c16="http://schemas.microsoft.com/office/drawing/2014/chart" uri="{C3380CC4-5D6E-409C-BE32-E72D297353CC}">
              <c16:uniqueId val="{00000000-8F85-3040-B1A6-83576B3BDD17}"/>
            </c:ext>
          </c:extLst>
        </c:ser>
        <c:ser>
          <c:idx val="1"/>
          <c:order val="1"/>
          <c:tx>
            <c:strRef>
              <c:f>Summary!$B$253</c:f>
              <c:strCache>
                <c:ptCount val="1"/>
                <c:pt idx="0">
                  <c:v>Percent  SMF</c:v>
                </c:pt>
              </c:strCache>
            </c:strRef>
          </c:tx>
          <c:invertIfNegative val="0"/>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Summary!$C$253:$N$253</c:f>
              <c:numCache>
                <c:formatCode>0%</c:formatCode>
                <c:ptCount val="12"/>
                <c:pt idx="0">
                  <c:v>0.67451515711846155</c:v>
                </c:pt>
                <c:pt idx="1">
                  <c:v>0.78068482592356481</c:v>
                </c:pt>
                <c:pt idx="2">
                  <c:v>0.66173042204172172</c:v>
                </c:pt>
              </c:numCache>
            </c:numRef>
          </c:val>
          <c:extLst>
            <c:ext xmlns:c16="http://schemas.microsoft.com/office/drawing/2014/chart" uri="{C3380CC4-5D6E-409C-BE32-E72D297353CC}">
              <c16:uniqueId val="{00000001-8F85-3040-B1A6-83576B3BDD17}"/>
            </c:ext>
          </c:extLst>
        </c:ser>
        <c:dLbls>
          <c:showLegendKey val="0"/>
          <c:showVal val="0"/>
          <c:showCatName val="0"/>
          <c:showSerName val="0"/>
          <c:showPercent val="0"/>
          <c:showBubbleSize val="0"/>
        </c:dLbls>
        <c:gapWidth val="150"/>
        <c:overlap val="100"/>
        <c:axId val="125972864"/>
        <c:axId val="125974400"/>
      </c:barChart>
      <c:catAx>
        <c:axId val="125972864"/>
        <c:scaling>
          <c:orientation val="minMax"/>
        </c:scaling>
        <c:delete val="0"/>
        <c:axPos val="b"/>
        <c:numFmt formatCode="General" sourceLinked="1"/>
        <c:majorTickMark val="out"/>
        <c:minorTickMark val="none"/>
        <c:tickLblPos val="nextTo"/>
        <c:txPr>
          <a:bodyPr/>
          <a:lstStyle/>
          <a:p>
            <a:pPr>
              <a:defRPr sz="1050"/>
            </a:pPr>
            <a:endParaRPr lang="en-US"/>
          </a:p>
        </c:txPr>
        <c:crossAx val="125974400"/>
        <c:crosses val="autoZero"/>
        <c:auto val="1"/>
        <c:lblAlgn val="ctr"/>
        <c:lblOffset val="100"/>
        <c:noMultiLvlLbl val="0"/>
      </c:catAx>
      <c:valAx>
        <c:axId val="125974400"/>
        <c:scaling>
          <c:orientation val="minMax"/>
        </c:scaling>
        <c:delete val="0"/>
        <c:axPos val="l"/>
        <c:majorGridlines/>
        <c:numFmt formatCode="0%" sourceLinked="1"/>
        <c:majorTickMark val="out"/>
        <c:minorTickMark val="none"/>
        <c:tickLblPos val="nextTo"/>
        <c:crossAx val="125972864"/>
        <c:crosses val="autoZero"/>
        <c:crossBetween val="between"/>
      </c:valAx>
    </c:plotArea>
    <c:legend>
      <c:legendPos val="r"/>
      <c:layout>
        <c:manualLayout>
          <c:xMode val="edge"/>
          <c:yMode val="edge"/>
          <c:x val="0.69999467597689791"/>
          <c:y val="0.23764092121584685"/>
          <c:w val="0.20636986272358801"/>
          <c:h val="0.17449824091137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95132795036061E-2"/>
          <c:y val="4.2572879691112293E-2"/>
          <c:w val="0.75179531258835197"/>
          <c:h val="0.82513998304365133"/>
        </c:manualLayout>
      </c:layout>
      <c:lineChart>
        <c:grouping val="standard"/>
        <c:varyColors val="0"/>
        <c:ser>
          <c:idx val="0"/>
          <c:order val="0"/>
          <c:tx>
            <c:strRef>
              <c:f>Summary!$B$233</c:f>
              <c:strCache>
                <c:ptCount val="1"/>
                <c:pt idx="0">
                  <c:v>1G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Summary!$C$233:$N$233</c:f>
              <c:numCache>
                <c:formatCode>0%</c:formatCode>
                <c:ptCount val="12"/>
                <c:pt idx="0">
                  <c:v>0.37511818939959324</c:v>
                </c:pt>
                <c:pt idx="1">
                  <c:v>0.2960701521301668</c:v>
                </c:pt>
                <c:pt idx="2">
                  <c:v>0.31133237180725382</c:v>
                </c:pt>
              </c:numCache>
            </c:numRef>
          </c:val>
          <c:smooth val="0"/>
          <c:extLst>
            <c:ext xmlns:c16="http://schemas.microsoft.com/office/drawing/2014/chart" uri="{C3380CC4-5D6E-409C-BE32-E72D297353CC}">
              <c16:uniqueId val="{00000000-088D-964D-97E6-E2D2F0394620}"/>
            </c:ext>
          </c:extLst>
        </c:ser>
        <c:ser>
          <c:idx val="1"/>
          <c:order val="1"/>
          <c:tx>
            <c:strRef>
              <c:f>Summary!$B$234</c:f>
              <c:strCache>
                <c:ptCount val="1"/>
                <c:pt idx="0">
                  <c:v>10G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Summary!$C$234:$N$234</c:f>
              <c:numCache>
                <c:formatCode>0%</c:formatCode>
                <c:ptCount val="12"/>
                <c:pt idx="0">
                  <c:v>0.51196179202262815</c:v>
                </c:pt>
                <c:pt idx="1">
                  <c:v>0.52379682980572895</c:v>
                </c:pt>
                <c:pt idx="2">
                  <c:v>0.47804016255243081</c:v>
                </c:pt>
              </c:numCache>
            </c:numRef>
          </c:val>
          <c:smooth val="0"/>
          <c:extLst>
            <c:ext xmlns:c16="http://schemas.microsoft.com/office/drawing/2014/chart" uri="{C3380CC4-5D6E-409C-BE32-E72D297353CC}">
              <c16:uniqueId val="{00000001-088D-964D-97E6-E2D2F0394620}"/>
            </c:ext>
          </c:extLst>
        </c:ser>
        <c:ser>
          <c:idx val="2"/>
          <c:order val="2"/>
          <c:tx>
            <c:strRef>
              <c:f>Summary!$B$235</c:f>
              <c:strCache>
                <c:ptCount val="1"/>
                <c:pt idx="0">
                  <c:v>25G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Summary!$C$235:$N$235</c:f>
              <c:numCache>
                <c:formatCode>0%</c:formatCode>
                <c:ptCount val="12"/>
                <c:pt idx="0">
                  <c:v>3.2332125828659351E-4</c:v>
                </c:pt>
                <c:pt idx="1">
                  <c:v>2.976197420778683E-3</c:v>
                </c:pt>
                <c:pt idx="2">
                  <c:v>8.1570346980950233E-3</c:v>
                </c:pt>
              </c:numCache>
            </c:numRef>
          </c:val>
          <c:smooth val="0"/>
          <c:extLst>
            <c:ext xmlns:c16="http://schemas.microsoft.com/office/drawing/2014/chart" uri="{C3380CC4-5D6E-409C-BE32-E72D297353CC}">
              <c16:uniqueId val="{00000002-088D-964D-97E6-E2D2F0394620}"/>
            </c:ext>
          </c:extLst>
        </c:ser>
        <c:ser>
          <c:idx val="3"/>
          <c:order val="3"/>
          <c:tx>
            <c:strRef>
              <c:f>Summary!$B$236</c:f>
              <c:strCache>
                <c:ptCount val="1"/>
                <c:pt idx="0">
                  <c:v>40G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Summary!$C$236:$N$236</c:f>
              <c:numCache>
                <c:formatCode>0%</c:formatCode>
                <c:ptCount val="12"/>
                <c:pt idx="0">
                  <c:v>8.7177519516264138E-2</c:v>
                </c:pt>
                <c:pt idx="1">
                  <c:v>0.10148069767554208</c:v>
                </c:pt>
                <c:pt idx="2">
                  <c:v>6.7267435094862466E-2</c:v>
                </c:pt>
              </c:numCache>
            </c:numRef>
          </c:val>
          <c:smooth val="0"/>
          <c:extLst>
            <c:ext xmlns:c16="http://schemas.microsoft.com/office/drawing/2014/chart" uri="{C3380CC4-5D6E-409C-BE32-E72D297353CC}">
              <c16:uniqueId val="{00000003-088D-964D-97E6-E2D2F0394620}"/>
            </c:ext>
          </c:extLst>
        </c:ser>
        <c:ser>
          <c:idx val="4"/>
          <c:order val="4"/>
          <c:tx>
            <c:strRef>
              <c:f>Summary!$B$237</c:f>
              <c:strCache>
                <c:ptCount val="1"/>
                <c:pt idx="0">
                  <c:v>50G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Summary!$C$237:$N$237</c:f>
              <c:numCache>
                <c:formatCode>0%</c:formatCode>
                <c:ptCount val="12"/>
                <c:pt idx="0">
                  <c:v>0</c:v>
                </c:pt>
                <c:pt idx="1">
                  <c:v>0</c:v>
                </c:pt>
                <c:pt idx="2">
                  <c:v>0</c:v>
                </c:pt>
              </c:numCache>
            </c:numRef>
          </c:val>
          <c:smooth val="0"/>
          <c:extLst>
            <c:ext xmlns:c16="http://schemas.microsoft.com/office/drawing/2014/chart" uri="{C3380CC4-5D6E-409C-BE32-E72D297353CC}">
              <c16:uniqueId val="{00000004-088D-964D-97E6-E2D2F0394620}"/>
            </c:ext>
          </c:extLst>
        </c:ser>
        <c:ser>
          <c:idx val="5"/>
          <c:order val="5"/>
          <c:tx>
            <c:strRef>
              <c:f>Summary!$B$238</c:f>
              <c:strCache>
                <c:ptCount val="1"/>
                <c:pt idx="0">
                  <c:v>100G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Summary!$C$238:$N$238</c:f>
              <c:numCache>
                <c:formatCode>0%</c:formatCode>
                <c:ptCount val="12"/>
                <c:pt idx="0">
                  <c:v>2.5419177803227763E-2</c:v>
                </c:pt>
                <c:pt idx="1">
                  <c:v>7.5673785646841157E-2</c:v>
                </c:pt>
                <c:pt idx="2">
                  <c:v>0.13433450322471238</c:v>
                </c:pt>
              </c:numCache>
            </c:numRef>
          </c:val>
          <c:smooth val="0"/>
          <c:extLst>
            <c:ext xmlns:c16="http://schemas.microsoft.com/office/drawing/2014/chart" uri="{C3380CC4-5D6E-409C-BE32-E72D297353CC}">
              <c16:uniqueId val="{00000005-088D-964D-97E6-E2D2F0394620}"/>
            </c:ext>
          </c:extLst>
        </c:ser>
        <c:ser>
          <c:idx val="6"/>
          <c:order val="6"/>
          <c:tx>
            <c:strRef>
              <c:f>Summary!$B$239</c:f>
              <c:strCache>
                <c:ptCount val="1"/>
                <c:pt idx="0">
                  <c:v>200G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Summary!$C$239:$N$239</c:f>
              <c:numCache>
                <c:formatCode>0%</c:formatCode>
                <c:ptCount val="12"/>
                <c:pt idx="0">
                  <c:v>0</c:v>
                </c:pt>
                <c:pt idx="1">
                  <c:v>0</c:v>
                </c:pt>
                <c:pt idx="2">
                  <c:v>2.1712315566136232E-5</c:v>
                </c:pt>
              </c:numCache>
            </c:numRef>
          </c:val>
          <c:smooth val="0"/>
          <c:extLst>
            <c:ext xmlns:c16="http://schemas.microsoft.com/office/drawing/2014/chart" uri="{C3380CC4-5D6E-409C-BE32-E72D297353CC}">
              <c16:uniqueId val="{00000006-088D-964D-97E6-E2D2F0394620}"/>
            </c:ext>
          </c:extLst>
        </c:ser>
        <c:ser>
          <c:idx val="7"/>
          <c:order val="7"/>
          <c:tx>
            <c:strRef>
              <c:f>Summary!$B$240</c:f>
              <c:strCache>
                <c:ptCount val="1"/>
                <c:pt idx="0">
                  <c:v>400G </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Summary!$C$240:$N$240</c:f>
              <c:numCache>
                <c:formatCode>0%</c:formatCode>
                <c:ptCount val="12"/>
                <c:pt idx="0">
                  <c:v>0</c:v>
                </c:pt>
                <c:pt idx="1">
                  <c:v>2.3373209424876932E-6</c:v>
                </c:pt>
                <c:pt idx="2">
                  <c:v>8.4678030707931303E-4</c:v>
                </c:pt>
              </c:numCache>
            </c:numRef>
          </c:val>
          <c:smooth val="0"/>
          <c:extLst>
            <c:ext xmlns:c16="http://schemas.microsoft.com/office/drawing/2014/chart" uri="{C3380CC4-5D6E-409C-BE32-E72D297353CC}">
              <c16:uniqueId val="{00000007-088D-964D-97E6-E2D2F0394620}"/>
            </c:ext>
          </c:extLst>
        </c:ser>
        <c:ser>
          <c:idx val="8"/>
          <c:order val="8"/>
          <c:tx>
            <c:strRef>
              <c:f>Summary!$B$241</c:f>
              <c:strCache>
                <c:ptCount val="1"/>
                <c:pt idx="0">
                  <c:v>800G</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Summary!$C$241:$N$241</c:f>
              <c:numCache>
                <c:formatCode>0%</c:formatCode>
                <c:ptCount val="12"/>
                <c:pt idx="0">
                  <c:v>0</c:v>
                </c:pt>
                <c:pt idx="1">
                  <c:v>0</c:v>
                </c:pt>
                <c:pt idx="2">
                  <c:v>0</c:v>
                </c:pt>
              </c:numCache>
            </c:numRef>
          </c:val>
          <c:smooth val="0"/>
          <c:extLst>
            <c:ext xmlns:c16="http://schemas.microsoft.com/office/drawing/2014/chart" uri="{C3380CC4-5D6E-409C-BE32-E72D297353CC}">
              <c16:uniqueId val="{00000000-DFC4-0546-8C70-452B3502A0CF}"/>
            </c:ext>
          </c:extLst>
        </c:ser>
        <c:ser>
          <c:idx val="9"/>
          <c:order val="9"/>
          <c:tx>
            <c:strRef>
              <c:f>Summary!$B$242</c:f>
              <c:strCache>
                <c:ptCount val="1"/>
                <c:pt idx="0">
                  <c:v>1.6T</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Summary!$C$242:$N$242</c:f>
              <c:numCache>
                <c:formatCode>0.0%</c:formatCode>
                <c:ptCount val="12"/>
                <c:pt idx="0" formatCode="0%">
                  <c:v>0</c:v>
                </c:pt>
                <c:pt idx="1">
                  <c:v>0</c:v>
                </c:pt>
                <c:pt idx="2">
                  <c:v>0</c:v>
                </c:pt>
              </c:numCache>
            </c:numRef>
          </c:val>
          <c:smooth val="0"/>
          <c:extLst>
            <c:ext xmlns:c16="http://schemas.microsoft.com/office/drawing/2014/chart" uri="{C3380CC4-5D6E-409C-BE32-E72D297353CC}">
              <c16:uniqueId val="{00000000-3089-EA4B-9B0D-8209A0B27D8E}"/>
            </c:ext>
          </c:extLst>
        </c:ser>
        <c:dLbls>
          <c:showLegendKey val="0"/>
          <c:showVal val="0"/>
          <c:showCatName val="0"/>
          <c:showSerName val="0"/>
          <c:showPercent val="0"/>
          <c:showBubbleSize val="0"/>
        </c:dLbls>
        <c:marker val="1"/>
        <c:smooth val="0"/>
        <c:axId val="126022784"/>
        <c:axId val="126024320"/>
      </c:lineChart>
      <c:catAx>
        <c:axId val="126022784"/>
        <c:scaling>
          <c:orientation val="minMax"/>
        </c:scaling>
        <c:delete val="0"/>
        <c:axPos val="b"/>
        <c:numFmt formatCode="0" sourceLinked="0"/>
        <c:majorTickMark val="out"/>
        <c:minorTickMark val="none"/>
        <c:tickLblPos val="nextTo"/>
        <c:crossAx val="126024320"/>
        <c:crosses val="autoZero"/>
        <c:auto val="1"/>
        <c:lblAlgn val="ctr"/>
        <c:lblOffset val="100"/>
        <c:noMultiLvlLbl val="0"/>
      </c:catAx>
      <c:valAx>
        <c:axId val="126024320"/>
        <c:scaling>
          <c:orientation val="minMax"/>
        </c:scaling>
        <c:delete val="0"/>
        <c:axPos val="l"/>
        <c:majorGridlines/>
        <c:title>
          <c:tx>
            <c:rich>
              <a:bodyPr rot="-5400000" vert="horz"/>
              <a:lstStyle/>
              <a:p>
                <a:pPr>
                  <a:defRPr/>
                </a:pPr>
                <a:r>
                  <a:rPr lang="en-US"/>
                  <a:t>Modules by speed, percent of total</a:t>
                </a:r>
              </a:p>
            </c:rich>
          </c:tx>
          <c:layout>
            <c:manualLayout>
              <c:xMode val="edge"/>
              <c:yMode val="edge"/>
              <c:x val="5.6250002768208794E-3"/>
              <c:y val="0.10458267284761513"/>
            </c:manualLayout>
          </c:layout>
          <c:overlay val="0"/>
        </c:title>
        <c:numFmt formatCode="0%" sourceLinked="1"/>
        <c:majorTickMark val="out"/>
        <c:minorTickMark val="none"/>
        <c:tickLblPos val="nextTo"/>
        <c:crossAx val="126022784"/>
        <c:crosses val="autoZero"/>
        <c:crossBetween val="between"/>
      </c:valAx>
    </c:plotArea>
    <c:legend>
      <c:legendPos val="r"/>
      <c:overlay val="0"/>
      <c:spPr>
        <a:solidFill>
          <a:schemeClr val="bg1"/>
        </a:solidFill>
        <a:ln>
          <a:solidFill>
            <a:schemeClr val="tx1"/>
          </a:solidFill>
        </a:ln>
      </c:sp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latin typeface="Calibri"/>
                <a:cs typeface="Calibri"/>
              </a:rPr>
              <a:t>≥25G </a:t>
            </a:r>
            <a:r>
              <a:rPr lang="en-US" sz="1600"/>
              <a:t>SMF devices (0.5-10 km)</a:t>
            </a:r>
          </a:p>
        </c:rich>
      </c:tx>
      <c:overlay val="0"/>
    </c:title>
    <c:autoTitleDeleted val="0"/>
    <c:plotArea>
      <c:layout>
        <c:manualLayout>
          <c:layoutTarget val="inner"/>
          <c:xMode val="edge"/>
          <c:yMode val="edge"/>
          <c:x val="0.148080818756716"/>
          <c:y val="0.24784614310860401"/>
          <c:w val="0.82731068012471598"/>
          <c:h val="0.66288901323011695"/>
        </c:manualLayout>
      </c:layout>
      <c:lineChart>
        <c:grouping val="standard"/>
        <c:varyColors val="0"/>
        <c:ser>
          <c:idx val="2"/>
          <c:order val="0"/>
          <c:tx>
            <c:strRef>
              <c:f>Summary!$B$223</c:f>
              <c:strCache>
                <c:ptCount val="1"/>
                <c:pt idx="0">
                  <c:v>25G SMF</c:v>
                </c:pt>
              </c:strCache>
            </c:strRef>
          </c:tx>
          <c:spPr>
            <a:ln>
              <a:solidFill>
                <a:schemeClr val="accent2"/>
              </a:solidFill>
            </a:ln>
          </c:spPr>
          <c:marker>
            <c:spPr>
              <a:solidFill>
                <a:schemeClr val="accent2"/>
              </a:solidFill>
              <a:ln>
                <a:solidFill>
                  <a:schemeClr val="accent2"/>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Summary!$C$223:$N$223</c:f>
              <c:numCache>
                <c:formatCode>_(* #,##0_);_(* \(#,##0\);_(* "-"??_);_(@_)</c:formatCode>
                <c:ptCount val="12"/>
                <c:pt idx="0">
                  <c:v>4548</c:v>
                </c:pt>
                <c:pt idx="1">
                  <c:v>17462</c:v>
                </c:pt>
                <c:pt idx="2">
                  <c:v>56709</c:v>
                </c:pt>
              </c:numCache>
            </c:numRef>
          </c:val>
          <c:smooth val="0"/>
          <c:extLst>
            <c:ext xmlns:c16="http://schemas.microsoft.com/office/drawing/2014/chart" uri="{C3380CC4-5D6E-409C-BE32-E72D297353CC}">
              <c16:uniqueId val="{00000000-0B82-724A-AE02-29310F2735E3}"/>
            </c:ext>
          </c:extLst>
        </c:ser>
        <c:ser>
          <c:idx val="3"/>
          <c:order val="1"/>
          <c:tx>
            <c:strRef>
              <c:f>Summary!$B$224</c:f>
              <c:strCache>
                <c:ptCount val="1"/>
                <c:pt idx="0">
                  <c:v>40G SMF</c:v>
                </c:pt>
              </c:strCache>
            </c:strRef>
          </c:tx>
          <c:spPr>
            <a:ln>
              <a:solidFill>
                <a:schemeClr val="accent3"/>
              </a:solidFill>
            </a:ln>
          </c:spPr>
          <c:marker>
            <c:spPr>
              <a:solidFill>
                <a:schemeClr val="accent3"/>
              </a:solidFill>
              <a:ln>
                <a:solidFill>
                  <a:schemeClr val="accent3"/>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Summary!$C$224:$N$224</c:f>
              <c:numCache>
                <c:formatCode>_(* #,##0_);_(* \(#,##0\);_(* "-"??_);_(@_)</c:formatCode>
                <c:ptCount val="12"/>
                <c:pt idx="0">
                  <c:v>1623570</c:v>
                </c:pt>
                <c:pt idx="1">
                  <c:v>1853294</c:v>
                </c:pt>
                <c:pt idx="2">
                  <c:v>1052090</c:v>
                </c:pt>
              </c:numCache>
            </c:numRef>
          </c:val>
          <c:smooth val="0"/>
          <c:extLst>
            <c:ext xmlns:c16="http://schemas.microsoft.com/office/drawing/2014/chart" uri="{C3380CC4-5D6E-409C-BE32-E72D297353CC}">
              <c16:uniqueId val="{00000001-0B82-724A-AE02-29310F2735E3}"/>
            </c:ext>
          </c:extLst>
        </c:ser>
        <c:ser>
          <c:idx val="5"/>
          <c:order val="2"/>
          <c:tx>
            <c:strRef>
              <c:f>Summary!$B$225</c:f>
              <c:strCache>
                <c:ptCount val="1"/>
                <c:pt idx="0">
                  <c:v>50G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Summary!$C$225:$N$225</c:f>
              <c:numCache>
                <c:formatCode>_(* #,##0_);_(* \(#,##0\);_(* "-"??_);_(@_)</c:formatCode>
                <c:ptCount val="12"/>
                <c:pt idx="2">
                  <c:v>0</c:v>
                </c:pt>
              </c:numCache>
            </c:numRef>
          </c:val>
          <c:smooth val="0"/>
          <c:extLst>
            <c:ext xmlns:c16="http://schemas.microsoft.com/office/drawing/2014/chart" uri="{C3380CC4-5D6E-409C-BE32-E72D297353CC}">
              <c16:uniqueId val="{00000002-0B82-724A-AE02-29310F2735E3}"/>
            </c:ext>
          </c:extLst>
        </c:ser>
        <c:ser>
          <c:idx val="1"/>
          <c:order val="3"/>
          <c:tx>
            <c:strRef>
              <c:f>Summary!$B$226</c:f>
              <c:strCache>
                <c:ptCount val="1"/>
                <c:pt idx="0">
                  <c:v>100G SMF</c:v>
                </c:pt>
              </c:strCache>
            </c:strRef>
          </c:tx>
          <c:spPr>
            <a:ln>
              <a:solidFill>
                <a:schemeClr val="accent4"/>
              </a:solidFill>
            </a:ln>
          </c:spPr>
          <c:marker>
            <c:symbol val="square"/>
            <c:size val="5"/>
            <c:spPr>
              <a:solidFill>
                <a:schemeClr val="accent4"/>
              </a:solidFill>
              <a:ln>
                <a:solidFill>
                  <a:schemeClr val="accent4"/>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Summary!$C$226:$N$226</c:f>
              <c:numCache>
                <c:formatCode>_(* #,##0_);_(* \(#,##0\);_(* "-"??_);_(@_)</c:formatCode>
                <c:ptCount val="12"/>
                <c:pt idx="0">
                  <c:v>620129</c:v>
                </c:pt>
                <c:pt idx="1">
                  <c:v>2249516</c:v>
                </c:pt>
                <c:pt idx="2">
                  <c:v>4104107.7366946777</c:v>
                </c:pt>
              </c:numCache>
            </c:numRef>
          </c:val>
          <c:smooth val="0"/>
          <c:extLst>
            <c:ext xmlns:c16="http://schemas.microsoft.com/office/drawing/2014/chart" uri="{C3380CC4-5D6E-409C-BE32-E72D297353CC}">
              <c16:uniqueId val="{00000003-0B82-724A-AE02-29310F2735E3}"/>
            </c:ext>
          </c:extLst>
        </c:ser>
        <c:ser>
          <c:idx val="6"/>
          <c:order val="4"/>
          <c:tx>
            <c:strRef>
              <c:f>Summary!$B$227</c:f>
              <c:strCache>
                <c:ptCount val="1"/>
                <c:pt idx="0">
                  <c:v>200G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Summary!$C$227:$N$227</c:f>
              <c:numCache>
                <c:formatCode>_(* #,##0_);_(* \(#,##0\);_(* "-"??_);_(@_)</c:formatCode>
                <c:ptCount val="12"/>
                <c:pt idx="1">
                  <c:v>0</c:v>
                </c:pt>
                <c:pt idx="2">
                  <c:v>500</c:v>
                </c:pt>
              </c:numCache>
            </c:numRef>
          </c:val>
          <c:smooth val="0"/>
          <c:extLst>
            <c:ext xmlns:c16="http://schemas.microsoft.com/office/drawing/2014/chart" uri="{C3380CC4-5D6E-409C-BE32-E72D297353CC}">
              <c16:uniqueId val="{00000004-0B82-724A-AE02-29310F2735E3}"/>
            </c:ext>
          </c:extLst>
        </c:ser>
        <c:ser>
          <c:idx val="4"/>
          <c:order val="5"/>
          <c:tx>
            <c:strRef>
              <c:f>Summary!$B$228</c:f>
              <c:strCache>
                <c:ptCount val="1"/>
                <c:pt idx="0">
                  <c:v>400G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Summary!$C$228:$N$228</c:f>
              <c:numCache>
                <c:formatCode>_(* #,##0_);_(* \(#,##0\);_(* "-"??_);_(@_)</c:formatCode>
                <c:ptCount val="12"/>
                <c:pt idx="1">
                  <c:v>89</c:v>
                </c:pt>
                <c:pt idx="2">
                  <c:v>16000</c:v>
                </c:pt>
              </c:numCache>
            </c:numRef>
          </c:val>
          <c:smooth val="0"/>
          <c:extLst>
            <c:ext xmlns:c16="http://schemas.microsoft.com/office/drawing/2014/chart" uri="{C3380CC4-5D6E-409C-BE32-E72D297353CC}">
              <c16:uniqueId val="{00000005-0B82-724A-AE02-29310F2735E3}"/>
            </c:ext>
          </c:extLst>
        </c:ser>
        <c:ser>
          <c:idx val="0"/>
          <c:order val="6"/>
          <c:tx>
            <c:strRef>
              <c:f>Summary!$B$229</c:f>
              <c:strCache>
                <c:ptCount val="1"/>
                <c:pt idx="0">
                  <c:v>800G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Summary!$C$229:$N$229</c:f>
              <c:numCache>
                <c:formatCode>_(* #,##0_);_(* \(#,##0\);_(* "-"??_);_(@_)</c:formatCode>
                <c:ptCount val="12"/>
              </c:numCache>
            </c:numRef>
          </c:val>
          <c:smooth val="0"/>
          <c:extLst>
            <c:ext xmlns:c16="http://schemas.microsoft.com/office/drawing/2014/chart" uri="{C3380CC4-5D6E-409C-BE32-E72D297353CC}">
              <c16:uniqueId val="{00000000-153E-AA45-907F-17717762C452}"/>
            </c:ext>
          </c:extLst>
        </c:ser>
        <c:ser>
          <c:idx val="7"/>
          <c:order val="7"/>
          <c:tx>
            <c:strRef>
              <c:f>Summary!$B$230</c:f>
              <c:strCache>
                <c:ptCount val="1"/>
                <c:pt idx="0">
                  <c:v>1.6T SMF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Summary!$C$230:$N$230</c:f>
              <c:numCache>
                <c:formatCode>_(* #,##0_);_(* \(#,##0\);_(* "-"??_);_(@_)</c:formatCode>
                <c:ptCount val="12"/>
              </c:numCache>
            </c:numRef>
          </c:val>
          <c:smooth val="0"/>
          <c:extLst>
            <c:ext xmlns:c16="http://schemas.microsoft.com/office/drawing/2014/chart" uri="{C3380CC4-5D6E-409C-BE32-E72D297353CC}">
              <c16:uniqueId val="{00000000-AE8A-4240-9C05-BDEF50E5EE64}"/>
            </c:ext>
          </c:extLst>
        </c:ser>
        <c:dLbls>
          <c:showLegendKey val="0"/>
          <c:showVal val="0"/>
          <c:showCatName val="0"/>
          <c:showSerName val="0"/>
          <c:showPercent val="0"/>
          <c:showBubbleSize val="0"/>
        </c:dLbls>
        <c:marker val="1"/>
        <c:smooth val="0"/>
        <c:axId val="125959168"/>
        <c:axId val="126038784"/>
      </c:lineChart>
      <c:catAx>
        <c:axId val="125959168"/>
        <c:scaling>
          <c:orientation val="minMax"/>
        </c:scaling>
        <c:delete val="0"/>
        <c:axPos val="b"/>
        <c:numFmt formatCode="General" sourceLinked="1"/>
        <c:majorTickMark val="out"/>
        <c:minorTickMark val="none"/>
        <c:tickLblPos val="nextTo"/>
        <c:txPr>
          <a:bodyPr/>
          <a:lstStyle/>
          <a:p>
            <a:pPr>
              <a:defRPr sz="1200"/>
            </a:pPr>
            <a:endParaRPr lang="en-US"/>
          </a:p>
        </c:txPr>
        <c:crossAx val="126038784"/>
        <c:crosses val="autoZero"/>
        <c:auto val="1"/>
        <c:lblAlgn val="ctr"/>
        <c:lblOffset val="100"/>
        <c:noMultiLvlLbl val="0"/>
      </c:catAx>
      <c:valAx>
        <c:axId val="126038784"/>
        <c:scaling>
          <c:orientation val="minMax"/>
          <c:max val="10000000"/>
          <c:min val="0"/>
        </c:scaling>
        <c:delete val="0"/>
        <c:axPos val="l"/>
        <c:majorGridlines/>
        <c:numFmt formatCode="_(* #,##0_);_(* \(#,##0\);_(* &quot;-&quot;??_);_(@_)" sourceLinked="1"/>
        <c:majorTickMark val="out"/>
        <c:minorTickMark val="none"/>
        <c:tickLblPos val="nextTo"/>
        <c:txPr>
          <a:bodyPr/>
          <a:lstStyle/>
          <a:p>
            <a:pPr>
              <a:defRPr sz="1100"/>
            </a:pPr>
            <a:endParaRPr lang="en-US"/>
          </a:p>
        </c:txPr>
        <c:crossAx val="125959168"/>
        <c:crosses val="autoZero"/>
        <c:crossBetween val="between"/>
        <c:minorUnit val="40000"/>
      </c:valAx>
    </c:plotArea>
    <c:legend>
      <c:legendPos val="t"/>
      <c:layout>
        <c:manualLayout>
          <c:xMode val="edge"/>
          <c:yMode val="edge"/>
          <c:x val="2.7960346834581401E-2"/>
          <c:y val="0.100441950259303"/>
          <c:w val="0.89999997409761923"/>
          <c:h val="6.6175475796148589E-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69719582526474"/>
          <c:y val="6.920113871053149E-2"/>
          <c:w val="0.83187518923732107"/>
          <c:h val="0.81719705581124491"/>
        </c:manualLayout>
      </c:layout>
      <c:lineChart>
        <c:grouping val="standard"/>
        <c:varyColors val="0"/>
        <c:ser>
          <c:idx val="5"/>
          <c:order val="0"/>
          <c:tx>
            <c:strRef>
              <c:f>Summary!$B$461</c:f>
              <c:strCache>
                <c:ptCount val="1"/>
                <c:pt idx="0">
                  <c:v>500m 40G PSM4 QSFP+</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Summary!$C$461:$N$461</c:f>
              <c:numCache>
                <c:formatCode>_("$"* #,##0_);_("$"* \(#,##0\);_("$"* "-"??_);_(@_)</c:formatCode>
                <c:ptCount val="12"/>
                <c:pt idx="0">
                  <c:v>206.04404776999999</c:v>
                </c:pt>
                <c:pt idx="1">
                  <c:v>161.25879399999999</c:v>
                </c:pt>
                <c:pt idx="2">
                  <c:v>126.55715000000001</c:v>
                </c:pt>
                <c:pt idx="3">
                  <c:v>0</c:v>
                </c:pt>
                <c:pt idx="4">
                  <c:v>0</c:v>
                </c:pt>
                <c:pt idx="5">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numCache>
            </c:numRef>
          </c:val>
          <c:smooth val="0"/>
          <c:extLst>
            <c:ext xmlns:c16="http://schemas.microsoft.com/office/drawing/2014/chart" uri="{C3380CC4-5D6E-409C-BE32-E72D297353CC}">
              <c16:uniqueId val="{00000000-9104-2042-8C5D-ACBF7D6D2B12}"/>
            </c:ext>
          </c:extLst>
        </c:ser>
        <c:ser>
          <c:idx val="0"/>
          <c:order val="1"/>
          <c:tx>
            <c:strRef>
              <c:f>Summary!$B$462</c:f>
              <c:strCache>
                <c:ptCount val="1"/>
                <c:pt idx="0">
                  <c:v>2 km  40G (FR) CFP</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Summary!$C$462:$N$462</c:f>
              <c:numCache>
                <c:formatCode>_("$"* #,##0_);_("$"* \(#,##0\);_("$"* "-"??_);_(@_)</c:formatCode>
                <c:ptCount val="12"/>
                <c:pt idx="0">
                  <c:v>3.6147868986222087</c:v>
                </c:pt>
                <c:pt idx="1">
                  <c:v>2.1111758458730683</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104-2042-8C5D-ACBF7D6D2B12}"/>
            </c:ext>
          </c:extLst>
        </c:ser>
        <c:ser>
          <c:idx val="1"/>
          <c:order val="2"/>
          <c:tx>
            <c:strRef>
              <c:f>Summary!$B$463</c:f>
              <c:strCache>
                <c:ptCount val="1"/>
                <c:pt idx="0">
                  <c:v>2 km 40G LR4 subspec QSFP+</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Summary!$C$463:$N$463</c:f>
              <c:numCache>
                <c:formatCode>_("$"* #,##0_);_("$"* \(#,##0\);_("$"* "-"??_);_(@_)</c:formatCode>
                <c:ptCount val="12"/>
                <c:pt idx="0">
                  <c:v>177.55117799999999</c:v>
                </c:pt>
                <c:pt idx="1">
                  <c:v>277.09314268000003</c:v>
                </c:pt>
                <c:pt idx="2">
                  <c:v>82.548280259999999</c:v>
                </c:pt>
                <c:pt idx="3">
                  <c:v>0</c:v>
                </c:pt>
                <c:pt idx="4">
                  <c:v>0</c:v>
                </c:pt>
                <c:pt idx="5">
                  <c:v>0</c:v>
                </c:pt>
                <c:pt idx="6">
                  <c:v>0</c:v>
                </c:pt>
                <c:pt idx="7" formatCode="_(&quot;$&quot;* #,##0.0_);_(&quot;$&quot;* \(#,##0.0\);_(&quot;$&quot;* &quot;-&quot;??_);_(@_)">
                  <c:v>0</c:v>
                </c:pt>
                <c:pt idx="8">
                  <c:v>0</c:v>
                </c:pt>
                <c:pt idx="9">
                  <c:v>0</c:v>
                </c:pt>
                <c:pt idx="10">
                  <c:v>0</c:v>
                </c:pt>
                <c:pt idx="11">
                  <c:v>0</c:v>
                </c:pt>
              </c:numCache>
            </c:numRef>
          </c:val>
          <c:smooth val="0"/>
          <c:extLst>
            <c:ext xmlns:c16="http://schemas.microsoft.com/office/drawing/2014/chart" uri="{C3380CC4-5D6E-409C-BE32-E72D297353CC}">
              <c16:uniqueId val="{00000002-9104-2042-8C5D-ACBF7D6D2B12}"/>
            </c:ext>
          </c:extLst>
        </c:ser>
        <c:ser>
          <c:idx val="2"/>
          <c:order val="3"/>
          <c:tx>
            <c:strRef>
              <c:f>Summary!$B$464</c:f>
              <c:strCache>
                <c:ptCount val="1"/>
                <c:pt idx="0">
                  <c:v>10 km 40G CFP</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Summary!$C$464:$N$464</c:f>
              <c:numCache>
                <c:formatCode>_("$"* #,##0.0_);_("$"* \(#,##0.0\);_("$"* "-"??_);_(@_)</c:formatCode>
                <c:ptCount val="12"/>
                <c:pt idx="0">
                  <c:v>7.8193956068084791</c:v>
                </c:pt>
                <c:pt idx="1">
                  <c:v>3.8446607087985556</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104-2042-8C5D-ACBF7D6D2B12}"/>
            </c:ext>
          </c:extLst>
        </c:ser>
        <c:ser>
          <c:idx val="3"/>
          <c:order val="4"/>
          <c:tx>
            <c:strRef>
              <c:f>Summary!$B$465</c:f>
              <c:strCache>
                <c:ptCount val="1"/>
                <c:pt idx="0">
                  <c:v>10 km  40G QSFP+</c:v>
                </c:pt>
              </c:strCache>
            </c:strRef>
          </c:tx>
          <c:marker>
            <c:symbol val="square"/>
            <c:size val="5"/>
          </c:marker>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Summary!$C$465:$N$465</c:f>
              <c:numCache>
                <c:formatCode>_("$"* #,##0_);_("$"* \(#,##0\);_("$"* "-"??_);_(@_)</c:formatCode>
                <c:ptCount val="12"/>
                <c:pt idx="0">
                  <c:v>139.9656742823521</c:v>
                </c:pt>
                <c:pt idx="1">
                  <c:v>170.32318072539266</c:v>
                </c:pt>
                <c:pt idx="2">
                  <c:v>97.438304479999957</c:v>
                </c:pt>
                <c:pt idx="3">
                  <c:v>0</c:v>
                </c:pt>
                <c:pt idx="4">
                  <c:v>0</c:v>
                </c:pt>
                <c:pt idx="5">
                  <c:v>0</c:v>
                </c:pt>
                <c:pt idx="6" formatCode="_(&quot;$&quot;* #,##0.0_);_(&quot;$&quot;* \(#,##0.0\);_(&quot;$&quot;* &quot;-&quot;??_);_(@_)">
                  <c:v>0</c:v>
                </c:pt>
                <c:pt idx="7" formatCode="_(&quot;$&quot;* #,##0.0_);_(&quot;$&quot;* \(#,##0.0\);_(&quot;$&quot;* &quot;-&quot;??_);_(@_)">
                  <c:v>0</c:v>
                </c:pt>
                <c:pt idx="8" formatCode="_(&quot;$&quot;* #,##0.0_);_(&quot;$&quot;* \(#,##0.0\);_(&quot;$&quot;* &quot;-&quot;??_);_(@_)">
                  <c:v>0</c:v>
                </c:pt>
                <c:pt idx="9" formatCode="_(&quot;$&quot;* #,##0.0_);_(&quot;$&quot;* \(#,##0.0\);_(&quot;$&quot;* &quot;-&quot;??_);_(@_)">
                  <c:v>0</c:v>
                </c:pt>
                <c:pt idx="10" formatCode="_(&quot;$&quot;* #,##0.0_);_(&quot;$&quot;* \(#,##0.0\);_(&quot;$&quot;* &quot;-&quot;??_);_(@_)">
                  <c:v>0</c:v>
                </c:pt>
                <c:pt idx="11" formatCode="_(&quot;$&quot;* #,##0.0_);_(&quot;$&quot;* \(#,##0.0\);_(&quot;$&quot;* &quot;-&quot;??_);_(@_)">
                  <c:v>0</c:v>
                </c:pt>
              </c:numCache>
            </c:numRef>
          </c:val>
          <c:smooth val="0"/>
          <c:extLst>
            <c:ext xmlns:c16="http://schemas.microsoft.com/office/drawing/2014/chart" uri="{C3380CC4-5D6E-409C-BE32-E72D297353CC}">
              <c16:uniqueId val="{00000004-9104-2042-8C5D-ACBF7D6D2B12}"/>
            </c:ext>
          </c:extLst>
        </c:ser>
        <c:ser>
          <c:idx val="4"/>
          <c:order val="5"/>
          <c:tx>
            <c:strRef>
              <c:f>Summary!$B$466</c:f>
              <c:strCache>
                <c:ptCount val="1"/>
                <c:pt idx="0">
                  <c:v>40 km 40G all</c:v>
                </c:pt>
              </c:strCache>
            </c:strRef>
          </c:tx>
          <c:cat>
            <c:numRef>
              <c:f>Summary!$C$460:$N$460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Summary!$C$466:$N$466</c:f>
              <c:numCache>
                <c:formatCode>_("$"* #,##0.0_);_("$"* \(#,##0.0\);_("$"* "-"??_);_(@_)</c:formatCode>
                <c:ptCount val="12"/>
                <c:pt idx="0">
                  <c:v>8.1879420954829136</c:v>
                </c:pt>
                <c:pt idx="1">
                  <c:v>7.9265538087967364</c:v>
                </c:pt>
                <c:pt idx="2">
                  <c:v>10.321537999999995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9104-2042-8C5D-ACBF7D6D2B12}"/>
            </c:ext>
          </c:extLst>
        </c:ser>
        <c:dLbls>
          <c:showLegendKey val="0"/>
          <c:showVal val="0"/>
          <c:showCatName val="0"/>
          <c:showSerName val="0"/>
          <c:showPercent val="0"/>
          <c:showBubbleSize val="0"/>
        </c:dLbls>
        <c:marker val="1"/>
        <c:smooth val="0"/>
        <c:axId val="126082048"/>
        <c:axId val="126087936"/>
      </c:lineChart>
      <c:catAx>
        <c:axId val="126082048"/>
        <c:scaling>
          <c:orientation val="minMax"/>
        </c:scaling>
        <c:delete val="0"/>
        <c:axPos val="b"/>
        <c:numFmt formatCode="General" sourceLinked="1"/>
        <c:majorTickMark val="out"/>
        <c:minorTickMark val="none"/>
        <c:tickLblPos val="nextTo"/>
        <c:txPr>
          <a:bodyPr/>
          <a:lstStyle/>
          <a:p>
            <a:pPr>
              <a:defRPr sz="1000"/>
            </a:pPr>
            <a:endParaRPr lang="en-US"/>
          </a:p>
        </c:txPr>
        <c:crossAx val="126087936"/>
        <c:crosses val="autoZero"/>
        <c:auto val="1"/>
        <c:lblAlgn val="ctr"/>
        <c:lblOffset val="100"/>
        <c:noMultiLvlLbl val="0"/>
      </c:catAx>
      <c:valAx>
        <c:axId val="126087936"/>
        <c:scaling>
          <c:orientation val="minMax"/>
          <c:max val="300"/>
          <c:min val="0"/>
        </c:scaling>
        <c:delete val="0"/>
        <c:axPos val="l"/>
        <c:majorGridlines/>
        <c:title>
          <c:tx>
            <c:rich>
              <a:bodyPr rot="-5400000" vert="horz"/>
              <a:lstStyle/>
              <a:p>
                <a:pPr>
                  <a:defRPr sz="1400"/>
                </a:pPr>
                <a:r>
                  <a:rPr lang="en-US" sz="1400"/>
                  <a:t>Annual sales ($ mn)</a:t>
                </a:r>
              </a:p>
            </c:rich>
          </c:tx>
          <c:layout>
            <c:manualLayout>
              <c:xMode val="edge"/>
              <c:yMode val="edge"/>
              <c:x val="5.6883071135332723E-3"/>
              <c:y val="0.21878755012580425"/>
            </c:manualLayout>
          </c:layout>
          <c:overlay val="0"/>
        </c:title>
        <c:numFmt formatCode="&quot;$&quot;#,##0" sourceLinked="0"/>
        <c:majorTickMark val="out"/>
        <c:minorTickMark val="none"/>
        <c:tickLblPos val="nextTo"/>
        <c:txPr>
          <a:bodyPr/>
          <a:lstStyle/>
          <a:p>
            <a:pPr>
              <a:defRPr sz="1200"/>
            </a:pPr>
            <a:endParaRPr lang="en-US"/>
          </a:p>
        </c:txPr>
        <c:crossAx val="126082048"/>
        <c:crosses val="autoZero"/>
        <c:crossBetween val="between"/>
      </c:valAx>
    </c:plotArea>
    <c:legend>
      <c:legendPos val="t"/>
      <c:layout>
        <c:manualLayout>
          <c:xMode val="edge"/>
          <c:yMode val="edge"/>
          <c:x val="0.61949813609045967"/>
          <c:y val="2.1331319268709521E-2"/>
          <c:w val="0.37047906300621042"/>
          <c:h val="0.59516852315236557"/>
        </c:manualLayout>
      </c:layout>
      <c:overlay val="0"/>
      <c:spPr>
        <a:solidFill>
          <a:schemeClr val="bg1"/>
        </a:solidFill>
        <a:ln>
          <a:solidFill>
            <a:schemeClr val="tx1"/>
          </a:solidFill>
        </a:ln>
      </c:spPr>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6865616873221"/>
          <c:y val="5.3904170599872923E-2"/>
          <c:w val="0.79841987224125766"/>
          <c:h val="0.84795634682028431"/>
        </c:manualLayout>
      </c:layout>
      <c:lineChart>
        <c:grouping val="standard"/>
        <c:varyColors val="0"/>
        <c:ser>
          <c:idx val="5"/>
          <c:order val="0"/>
          <c:tx>
            <c:strRef>
              <c:f>Summary!$B$452</c:f>
              <c:strCache>
                <c:ptCount val="1"/>
                <c:pt idx="0">
                  <c:v>500m 40G PSM4 QSFP+</c:v>
                </c:pt>
              </c:strCache>
            </c:strRef>
          </c:tx>
          <c:cat>
            <c:numRef>
              <c:f>Summary!$C$451:$N$451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Summary!$C$452:$N$452</c:f>
              <c:numCache>
                <c:formatCode>_("$"* #,##0_);_("$"* \(#,##0\);_("$"* "-"??_);_(@_)</c:formatCode>
                <c:ptCount val="12"/>
                <c:pt idx="0">
                  <c:v>253.19068527507093</c:v>
                </c:pt>
                <c:pt idx="1">
                  <c:v>262.79055146339874</c:v>
                </c:pt>
                <c:pt idx="2">
                  <c:v>251.75081757202989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40F-C646-9EA3-1BC22BD6CA71}"/>
            </c:ext>
          </c:extLst>
        </c:ser>
        <c:ser>
          <c:idx val="1"/>
          <c:order val="1"/>
          <c:tx>
            <c:strRef>
              <c:f>Summary!$B$454</c:f>
              <c:strCache>
                <c:ptCount val="1"/>
                <c:pt idx="0">
                  <c:v>2 km 40G LR4 subspec QSFP+</c:v>
                </c:pt>
              </c:strCache>
            </c:strRef>
          </c:tx>
          <c:cat>
            <c:numRef>
              <c:f>Summary!$C$451:$N$451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Summary!$C$454:$N$454</c:f>
              <c:numCache>
                <c:formatCode>_("$"* #,##0_);_("$"* \(#,##0\);_("$"* "-"??_);_(@_)</c:formatCode>
                <c:ptCount val="12"/>
                <c:pt idx="0">
                  <c:v>377.60055209491952</c:v>
                </c:pt>
                <c:pt idx="1">
                  <c:v>343.5254726908467</c:v>
                </c:pt>
                <c:pt idx="2">
                  <c:v>303.68617678545809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140F-C646-9EA3-1BC22BD6CA71}"/>
            </c:ext>
          </c:extLst>
        </c:ser>
        <c:ser>
          <c:idx val="3"/>
          <c:order val="2"/>
          <c:tx>
            <c:strRef>
              <c:f>Summary!$B$456</c:f>
              <c:strCache>
                <c:ptCount val="1"/>
                <c:pt idx="0">
                  <c:v>10 km  40G QSFP+</c:v>
                </c:pt>
              </c:strCache>
            </c:strRef>
          </c:tx>
          <c:marker>
            <c:symbol val="square"/>
            <c:size val="5"/>
          </c:marker>
          <c:cat>
            <c:numRef>
              <c:f>Summary!$C$451:$N$451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Summary!$C$456:$N$456</c:f>
              <c:numCache>
                <c:formatCode>_("$"* #,##0_);_("$"* \(#,##0\);_("$"* "-"??_);_(@_)</c:formatCode>
                <c:ptCount val="12"/>
                <c:pt idx="0">
                  <c:v>427.72742888770347</c:v>
                </c:pt>
                <c:pt idx="1">
                  <c:v>401.36672508917627</c:v>
                </c:pt>
                <c:pt idx="2">
                  <c:v>361.77095787062291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140F-C646-9EA3-1BC22BD6CA71}"/>
            </c:ext>
          </c:extLst>
        </c:ser>
        <c:ser>
          <c:idx val="4"/>
          <c:order val="3"/>
          <c:tx>
            <c:strRef>
              <c:f>Summary!$B$457</c:f>
              <c:strCache>
                <c:ptCount val="1"/>
                <c:pt idx="0">
                  <c:v>40 km 40G all</c:v>
                </c:pt>
              </c:strCache>
            </c:strRef>
          </c:tx>
          <c:cat>
            <c:numRef>
              <c:f>Summary!$C$451:$N$451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Summary!$C$457:$N$457</c:f>
              <c:numCache>
                <c:formatCode>_("$"* #,##0_);_("$"* \(#,##0\);_("$"* "-"??_);_(@_)</c:formatCode>
                <c:ptCount val="12"/>
                <c:pt idx="0">
                  <c:v>1673.0572324239708</c:v>
                </c:pt>
                <c:pt idx="1">
                  <c:v>1459.2330281290015</c:v>
                </c:pt>
                <c:pt idx="2">
                  <c:v>1255.0508268482483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4F2-7D4F-B40B-4FFD83BA682A}"/>
            </c:ext>
          </c:extLst>
        </c:ser>
        <c:dLbls>
          <c:showLegendKey val="0"/>
          <c:showVal val="0"/>
          <c:showCatName val="0"/>
          <c:showSerName val="0"/>
          <c:showPercent val="0"/>
          <c:showBubbleSize val="0"/>
        </c:dLbls>
        <c:marker val="1"/>
        <c:smooth val="0"/>
        <c:axId val="126317312"/>
        <c:axId val="126318848"/>
      </c:lineChart>
      <c:catAx>
        <c:axId val="126317312"/>
        <c:scaling>
          <c:orientation val="minMax"/>
        </c:scaling>
        <c:delete val="0"/>
        <c:axPos val="b"/>
        <c:numFmt formatCode="General" sourceLinked="1"/>
        <c:majorTickMark val="out"/>
        <c:minorTickMark val="none"/>
        <c:tickLblPos val="nextTo"/>
        <c:txPr>
          <a:bodyPr/>
          <a:lstStyle/>
          <a:p>
            <a:pPr>
              <a:defRPr sz="1000"/>
            </a:pPr>
            <a:endParaRPr lang="en-US"/>
          </a:p>
        </c:txPr>
        <c:crossAx val="126318848"/>
        <c:crosses val="autoZero"/>
        <c:auto val="1"/>
        <c:lblAlgn val="ctr"/>
        <c:lblOffset val="100"/>
        <c:noMultiLvlLbl val="0"/>
      </c:catAx>
      <c:valAx>
        <c:axId val="126318848"/>
        <c:scaling>
          <c:orientation val="minMax"/>
          <c:min val="0"/>
        </c:scaling>
        <c:delete val="0"/>
        <c:axPos val="l"/>
        <c:majorGridlines/>
        <c:title>
          <c:tx>
            <c:rich>
              <a:bodyPr rot="-5400000" vert="horz"/>
              <a:lstStyle/>
              <a:p>
                <a:pPr>
                  <a:defRPr sz="1400"/>
                </a:pPr>
                <a:r>
                  <a:rPr lang="en-US" sz="1400"/>
                  <a:t>A.S.P.s</a:t>
                </a:r>
              </a:p>
            </c:rich>
          </c:tx>
          <c:layout>
            <c:manualLayout>
              <c:xMode val="edge"/>
              <c:yMode val="edge"/>
              <c:x val="4.122041908712356E-5"/>
              <c:y val="0.38174302469497584"/>
            </c:manualLayout>
          </c:layout>
          <c:overlay val="0"/>
        </c:title>
        <c:numFmt formatCode="&quot;$&quot;#,##0" sourceLinked="0"/>
        <c:majorTickMark val="out"/>
        <c:minorTickMark val="none"/>
        <c:tickLblPos val="nextTo"/>
        <c:txPr>
          <a:bodyPr/>
          <a:lstStyle/>
          <a:p>
            <a:pPr>
              <a:defRPr sz="1200"/>
            </a:pPr>
            <a:endParaRPr lang="en-US"/>
          </a:p>
        </c:txPr>
        <c:crossAx val="126317312"/>
        <c:crosses val="autoZero"/>
        <c:crossBetween val="between"/>
      </c:valAx>
    </c:plotArea>
    <c:legend>
      <c:legendPos val="t"/>
      <c:layout>
        <c:manualLayout>
          <c:xMode val="edge"/>
          <c:yMode val="edge"/>
          <c:x val="0.59240512901289555"/>
          <c:y val="8.8893298109569363E-2"/>
          <c:w val="0.40759487098710451"/>
          <c:h val="0.35615167948589765"/>
        </c:manualLayout>
      </c:layout>
      <c:overlay val="0"/>
      <c:spPr>
        <a:solidFill>
          <a:schemeClr val="bg1"/>
        </a:solidFill>
        <a:ln>
          <a:solidFill>
            <a:schemeClr val="tx1"/>
          </a:solidFill>
        </a:ln>
      </c:spPr>
      <c:txPr>
        <a:bodyPr/>
        <a:lstStyle/>
        <a:p>
          <a:pPr>
            <a:defRPr lang="en-US"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62092972767905"/>
          <c:y val="5.5229706246193985E-2"/>
          <c:w val="0.84000969962279437"/>
          <c:h val="0.85007295922032933"/>
        </c:manualLayout>
      </c:layout>
      <c:lineChart>
        <c:grouping val="standard"/>
        <c:varyColors val="0"/>
        <c:ser>
          <c:idx val="1"/>
          <c:order val="0"/>
          <c:tx>
            <c:strRef>
              <c:f>Summary!$B$585</c:f>
              <c:strCache>
                <c:ptCount val="1"/>
                <c:pt idx="0">
                  <c:v>100G Short Reach</c:v>
                </c:pt>
              </c:strCache>
            </c:strRef>
          </c:tx>
          <c:marker>
            <c:symbol val="none"/>
          </c:marker>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Summary!$C$585:$N$585</c:f>
              <c:numCache>
                <c:formatCode>_("$"* #,##0_);_("$"* \(#,##0\);_("$"* "-"??_);_(@_)</c:formatCode>
                <c:ptCount val="12"/>
                <c:pt idx="0">
                  <c:v>98.621345999999988</c:v>
                </c:pt>
                <c:pt idx="1">
                  <c:v>124.64446038072001</c:v>
                </c:pt>
                <c:pt idx="2">
                  <c:v>251.93335254689399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B05-294D-BBA7-9DD36A8D680F}"/>
            </c:ext>
          </c:extLst>
        </c:ser>
        <c:ser>
          <c:idx val="0"/>
          <c:order val="1"/>
          <c:tx>
            <c:strRef>
              <c:f>Summary!$B$689</c:f>
              <c:strCache>
                <c:ptCount val="1"/>
                <c:pt idx="0">
                  <c:v>100G Long Reach</c:v>
                </c:pt>
              </c:strCache>
            </c:strRef>
          </c:tx>
          <c:marker>
            <c:symbol val="none"/>
          </c:marker>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Summary!$C$689:$N$689</c:f>
              <c:numCache>
                <c:formatCode>_("$"* #,##0_);_("$"* \(#,##0\);_("$"* "-"??_);_(@_)</c:formatCode>
                <c:ptCount val="12"/>
                <c:pt idx="0">
                  <c:v>1044.5376174696482</c:v>
                </c:pt>
                <c:pt idx="1">
                  <c:v>1529.3299315934335</c:v>
                </c:pt>
                <c:pt idx="2">
                  <c:v>1903.6719145582795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B05-294D-BBA7-9DD36A8D680F}"/>
            </c:ext>
          </c:extLst>
        </c:ser>
        <c:dLbls>
          <c:showLegendKey val="0"/>
          <c:showVal val="0"/>
          <c:showCatName val="0"/>
          <c:showSerName val="0"/>
          <c:showPercent val="0"/>
          <c:showBubbleSize val="0"/>
        </c:dLbls>
        <c:smooth val="0"/>
        <c:axId val="126353408"/>
        <c:axId val="126354944"/>
      </c:lineChart>
      <c:catAx>
        <c:axId val="126353408"/>
        <c:scaling>
          <c:orientation val="minMax"/>
        </c:scaling>
        <c:delete val="0"/>
        <c:axPos val="b"/>
        <c:numFmt formatCode="General" sourceLinked="1"/>
        <c:majorTickMark val="out"/>
        <c:minorTickMark val="none"/>
        <c:tickLblPos val="nextTo"/>
        <c:txPr>
          <a:bodyPr/>
          <a:lstStyle/>
          <a:p>
            <a:pPr>
              <a:defRPr sz="1200"/>
            </a:pPr>
            <a:endParaRPr lang="en-US"/>
          </a:p>
        </c:txPr>
        <c:crossAx val="126354944"/>
        <c:crosses val="autoZero"/>
        <c:auto val="1"/>
        <c:lblAlgn val="ctr"/>
        <c:lblOffset val="100"/>
        <c:noMultiLvlLbl val="0"/>
      </c:catAx>
      <c:valAx>
        <c:axId val="126354944"/>
        <c:scaling>
          <c:orientation val="minMax"/>
        </c:scaling>
        <c:delete val="0"/>
        <c:axPos val="l"/>
        <c:majorGridlines/>
        <c:title>
          <c:tx>
            <c:rich>
              <a:bodyPr rot="-5400000" vert="horz"/>
              <a:lstStyle/>
              <a:p>
                <a:pPr>
                  <a:defRPr sz="1400"/>
                </a:pPr>
                <a:r>
                  <a:rPr lang="en-US" sz="1400"/>
                  <a:t>Annual sales ($ mn)</a:t>
                </a:r>
              </a:p>
            </c:rich>
          </c:tx>
          <c:overlay val="0"/>
        </c:title>
        <c:numFmt formatCode="_(&quot;$&quot;* #,##0_);_(&quot;$&quot;* \(#,##0\);_(&quot;$&quot;* &quot;-&quot;??_);_(@_)" sourceLinked="1"/>
        <c:majorTickMark val="out"/>
        <c:minorTickMark val="none"/>
        <c:tickLblPos val="nextTo"/>
        <c:txPr>
          <a:bodyPr/>
          <a:lstStyle/>
          <a:p>
            <a:pPr>
              <a:defRPr sz="1200"/>
            </a:pPr>
            <a:endParaRPr lang="en-US"/>
          </a:p>
        </c:txPr>
        <c:crossAx val="126353408"/>
        <c:crosses val="autoZero"/>
        <c:crossBetween val="between"/>
      </c:valAx>
    </c:plotArea>
    <c:legend>
      <c:legendPos val="t"/>
      <c:layout>
        <c:manualLayout>
          <c:xMode val="edge"/>
          <c:yMode val="edge"/>
          <c:x val="0.77237994378860397"/>
          <c:y val="5.7644107012843976E-2"/>
          <c:w val="0.21457438169303722"/>
          <c:h val="0.18831863617866273"/>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2557123126461"/>
          <c:y val="4.9886318107985946E-2"/>
          <c:w val="0.87758099037323589"/>
          <c:h val="0.86620914310300245"/>
        </c:manualLayout>
      </c:layout>
      <c:lineChart>
        <c:grouping val="standard"/>
        <c:varyColors val="0"/>
        <c:ser>
          <c:idx val="0"/>
          <c:order val="0"/>
          <c:tx>
            <c:strRef>
              <c:f>Summary!$B$137</c:f>
              <c:strCache>
                <c:ptCount val="1"/>
                <c:pt idx="0">
                  <c:v>1G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Summary!$C$137:$N$137</c:f>
              <c:numCache>
                <c:formatCode>_("$"* #,##0_);_("$"* \(#,##0\);_("$"* "-"??_);_(@_)</c:formatCode>
                <c:ptCount val="12"/>
                <c:pt idx="0">
                  <c:v>154.16513112975395</c:v>
                </c:pt>
                <c:pt idx="1">
                  <c:v>110.62740763127242</c:v>
                </c:pt>
                <c:pt idx="2">
                  <c:v>131.91376511999999</c:v>
                </c:pt>
              </c:numCache>
            </c:numRef>
          </c:val>
          <c:smooth val="0"/>
          <c:extLst>
            <c:ext xmlns:c16="http://schemas.microsoft.com/office/drawing/2014/chart" uri="{C3380CC4-5D6E-409C-BE32-E72D297353CC}">
              <c16:uniqueId val="{00000000-547B-AE46-A98C-233E0A537257}"/>
            </c:ext>
          </c:extLst>
        </c:ser>
        <c:ser>
          <c:idx val="1"/>
          <c:order val="1"/>
          <c:tx>
            <c:strRef>
              <c:f>Summary!$B$138</c:f>
              <c:strCache>
                <c:ptCount val="1"/>
                <c:pt idx="0">
                  <c:v>10G</c:v>
                </c:pt>
              </c:strCache>
            </c:strRef>
          </c:tx>
          <c:marker>
            <c:symbol val="squar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Summary!$C$138:$N$138</c:f>
              <c:numCache>
                <c:formatCode>_("$"* #,##0_);_("$"* \(#,##0\);_("$"* "-"??_);_(@_)</c:formatCode>
                <c:ptCount val="12"/>
                <c:pt idx="0">
                  <c:v>588.89972784362988</c:v>
                </c:pt>
                <c:pt idx="1">
                  <c:v>486.60483553423245</c:v>
                </c:pt>
                <c:pt idx="2">
                  <c:v>471.41983653865219</c:v>
                </c:pt>
              </c:numCache>
            </c:numRef>
          </c:val>
          <c:smooth val="0"/>
          <c:extLst>
            <c:ext xmlns:c16="http://schemas.microsoft.com/office/drawing/2014/chart" uri="{C3380CC4-5D6E-409C-BE32-E72D297353CC}">
              <c16:uniqueId val="{00000001-547B-AE46-A98C-233E0A537257}"/>
            </c:ext>
          </c:extLst>
        </c:ser>
        <c:ser>
          <c:idx val="4"/>
          <c:order val="2"/>
          <c:tx>
            <c:strRef>
              <c:f>Summary!$B$139</c:f>
              <c:strCache>
                <c:ptCount val="1"/>
                <c:pt idx="0">
                  <c:v>25G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Summary!$C$139:$M$139</c:f>
              <c:numCache>
                <c:formatCode>_("$"* #,##0_);_("$"* \(#,##0\);_("$"* "-"??_);_(@_)</c:formatCode>
                <c:ptCount val="11"/>
                <c:pt idx="0" formatCode="_(&quot;$&quot;* #,##0.0_);_(&quot;$&quot;* \(#,##0.0\);_(&quot;$&quot;* &quot;-&quot;??_);_(@_)">
                  <c:v>3.4123060000000001</c:v>
                </c:pt>
                <c:pt idx="1">
                  <c:v>19.187075306914231</c:v>
                </c:pt>
                <c:pt idx="2">
                  <c:v>38.882710120000013</c:v>
                </c:pt>
              </c:numCache>
            </c:numRef>
          </c:val>
          <c:smooth val="0"/>
          <c:extLst>
            <c:ext xmlns:c16="http://schemas.microsoft.com/office/drawing/2014/chart" uri="{C3380CC4-5D6E-409C-BE32-E72D297353CC}">
              <c16:uniqueId val="{00000002-547B-AE46-A98C-233E0A537257}"/>
            </c:ext>
          </c:extLst>
        </c:ser>
        <c:ser>
          <c:idx val="2"/>
          <c:order val="3"/>
          <c:tx>
            <c:strRef>
              <c:f>Summary!$B$140</c:f>
              <c:strCache>
                <c:ptCount val="1"/>
                <c:pt idx="0">
                  <c:v>40G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Summary!$C$140:$N$140</c:f>
              <c:numCache>
                <c:formatCode>_("$"* #,##0_);_("$"* \(#,##0\);_("$"* "-"??_);_(@_)</c:formatCode>
                <c:ptCount val="12"/>
                <c:pt idx="0">
                  <c:v>787.93297017215446</c:v>
                </c:pt>
                <c:pt idx="1">
                  <c:v>904.27751564220159</c:v>
                </c:pt>
                <c:pt idx="2">
                  <c:v>539.48394892970373</c:v>
                </c:pt>
              </c:numCache>
            </c:numRef>
          </c:val>
          <c:smooth val="0"/>
          <c:extLst>
            <c:ext xmlns:c16="http://schemas.microsoft.com/office/drawing/2014/chart" uri="{C3380CC4-5D6E-409C-BE32-E72D297353CC}">
              <c16:uniqueId val="{00000003-547B-AE46-A98C-233E0A537257}"/>
            </c:ext>
          </c:extLst>
        </c:ser>
        <c:ser>
          <c:idx val="7"/>
          <c:order val="4"/>
          <c:tx>
            <c:strRef>
              <c:f>Summary!$B$141</c:f>
              <c:strCache>
                <c:ptCount val="1"/>
                <c:pt idx="0">
                  <c:v>50G</c:v>
                </c:pt>
              </c:strCache>
            </c:strRef>
          </c:tx>
          <c:marker>
            <c:symbol val="plus"/>
            <c:size val="7"/>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Summary!$C$141:$M$141</c:f>
              <c:numCache>
                <c:formatCode>_("$"* #,##0_);_("$"* \(#,##0\);_("$"* "-"??_);_(@_)</c:formatCode>
                <c:ptCount val="11"/>
                <c:pt idx="2">
                  <c:v>0</c:v>
                </c:pt>
              </c:numCache>
            </c:numRef>
          </c:val>
          <c:smooth val="0"/>
          <c:extLst>
            <c:ext xmlns:c16="http://schemas.microsoft.com/office/drawing/2014/chart" uri="{C3380CC4-5D6E-409C-BE32-E72D297353CC}">
              <c16:uniqueId val="{00000004-547B-AE46-A98C-233E0A537257}"/>
            </c:ext>
          </c:extLst>
        </c:ser>
        <c:ser>
          <c:idx val="3"/>
          <c:order val="5"/>
          <c:tx>
            <c:strRef>
              <c:f>Summary!$B$142</c:f>
              <c:strCache>
                <c:ptCount val="1"/>
                <c:pt idx="0">
                  <c:v>100G</c:v>
                </c:pt>
              </c:strCache>
            </c:strRef>
          </c:tx>
          <c:marker>
            <c:symbol val="circl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Summary!$C$142:$N$142</c:f>
              <c:numCache>
                <c:formatCode>_("$"* #,##0_);_("$"* \(#,##0\);_("$"* "-"??_);_(@_)</c:formatCode>
                <c:ptCount val="12"/>
                <c:pt idx="0">
                  <c:v>1143.1589634696481</c:v>
                </c:pt>
                <c:pt idx="1">
                  <c:v>1653.9743919741536</c:v>
                </c:pt>
                <c:pt idx="2">
                  <c:v>2155.6052671051739</c:v>
                </c:pt>
              </c:numCache>
            </c:numRef>
          </c:val>
          <c:smooth val="0"/>
          <c:extLst>
            <c:ext xmlns:c16="http://schemas.microsoft.com/office/drawing/2014/chart" uri="{C3380CC4-5D6E-409C-BE32-E72D297353CC}">
              <c16:uniqueId val="{00000005-547B-AE46-A98C-233E0A537257}"/>
            </c:ext>
          </c:extLst>
        </c:ser>
        <c:ser>
          <c:idx val="6"/>
          <c:order val="6"/>
          <c:tx>
            <c:strRef>
              <c:f>Summary!$B$143</c:f>
              <c:strCache>
                <c:ptCount val="1"/>
                <c:pt idx="0">
                  <c:v>200G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Summary!$C$143:$N$143</c:f>
              <c:numCache>
                <c:formatCode>_("$"* #,##0.0_);_("$"* \(#,##0.0\);_("$"* "-"??_);_(@_)</c:formatCode>
                <c:ptCount val="12"/>
                <c:pt idx="2" formatCode="_(&quot;$&quot;* #,##0_);_(&quot;$&quot;* \(#,##0\);_(&quot;$&quot;* &quot;-&quot;??_);_(@_)">
                  <c:v>1.1000000000000001</c:v>
                </c:pt>
              </c:numCache>
            </c:numRef>
          </c:val>
          <c:smooth val="0"/>
          <c:extLst>
            <c:ext xmlns:c16="http://schemas.microsoft.com/office/drawing/2014/chart" uri="{C3380CC4-5D6E-409C-BE32-E72D297353CC}">
              <c16:uniqueId val="{00000006-547B-AE46-A98C-233E0A537257}"/>
            </c:ext>
          </c:extLst>
        </c:ser>
        <c:ser>
          <c:idx val="5"/>
          <c:order val="7"/>
          <c:tx>
            <c:strRef>
              <c:f>Summary!$B$144</c:f>
              <c:strCache>
                <c:ptCount val="1"/>
                <c:pt idx="0">
                  <c:v>400G</c:v>
                </c:pt>
              </c:strCache>
            </c:strRef>
          </c:tx>
          <c:marker>
            <c:symbol val="circl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Summary!$C$144:$N$144</c:f>
              <c:numCache>
                <c:formatCode>_("$"* #,##0_);_("$"* \(#,##0\);_("$"* "-"??_);_(@_)</c:formatCode>
                <c:ptCount val="12"/>
                <c:pt idx="1">
                  <c:v>1.3482999999999998</c:v>
                </c:pt>
                <c:pt idx="2">
                  <c:v>49.212000000000003</c:v>
                </c:pt>
              </c:numCache>
            </c:numRef>
          </c:val>
          <c:smooth val="0"/>
          <c:extLst>
            <c:ext xmlns:c16="http://schemas.microsoft.com/office/drawing/2014/chart" uri="{C3380CC4-5D6E-409C-BE32-E72D297353CC}">
              <c16:uniqueId val="{00000007-547B-AE46-A98C-233E0A537257}"/>
            </c:ext>
          </c:extLst>
        </c:ser>
        <c:ser>
          <c:idx val="8"/>
          <c:order val="8"/>
          <c:tx>
            <c:strRef>
              <c:f>Summary!$B$145</c:f>
              <c:strCache>
                <c:ptCount val="1"/>
                <c:pt idx="0">
                  <c:v>800G</c:v>
                </c:pt>
              </c:strCache>
            </c:strRef>
          </c:tx>
          <c:spPr>
            <a:ln>
              <a:solidFill>
                <a:srgbClr val="00B050"/>
              </a:solidFill>
            </a:ln>
          </c:spPr>
          <c:marker>
            <c:spPr>
              <a:ln>
                <a:solidFill>
                  <a:srgbClr val="00B050"/>
                </a:solidFill>
              </a:ln>
            </c:spPr>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numCache>
            </c:numRef>
          </c:val>
          <c:smooth val="0"/>
          <c:extLst>
            <c:ext xmlns:c16="http://schemas.microsoft.com/office/drawing/2014/chart" uri="{C3380CC4-5D6E-409C-BE32-E72D297353CC}">
              <c16:uniqueId val="{00000000-39BF-9C49-9DC9-C031F2F3D5A6}"/>
            </c:ext>
          </c:extLst>
        </c:ser>
        <c:ser>
          <c:idx val="9"/>
          <c:order val="9"/>
          <c:tx>
            <c:strRef>
              <c:f>Summary!$B$146</c:f>
              <c:strCache>
                <c:ptCount val="1"/>
                <c:pt idx="0">
                  <c:v>1.6T</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numCache>
            </c:numRef>
          </c:val>
          <c:smooth val="0"/>
          <c:extLst>
            <c:ext xmlns:c16="http://schemas.microsoft.com/office/drawing/2014/chart" uri="{C3380CC4-5D6E-409C-BE32-E72D297353CC}">
              <c16:uniqueId val="{00000000-CE07-EA4F-9D90-B6713314BB7F}"/>
            </c:ext>
          </c:extLst>
        </c:ser>
        <c:dLbls>
          <c:showLegendKey val="0"/>
          <c:showVal val="0"/>
          <c:showCatName val="0"/>
          <c:showSerName val="0"/>
          <c:showPercent val="0"/>
          <c:showBubbleSize val="0"/>
        </c:dLbls>
        <c:marker val="1"/>
        <c:smooth val="0"/>
        <c:axId val="124405632"/>
        <c:axId val="124407168"/>
      </c:lineChart>
      <c:catAx>
        <c:axId val="124405632"/>
        <c:scaling>
          <c:orientation val="minMax"/>
        </c:scaling>
        <c:delete val="0"/>
        <c:axPos val="b"/>
        <c:numFmt formatCode="General" sourceLinked="1"/>
        <c:majorTickMark val="out"/>
        <c:minorTickMark val="none"/>
        <c:tickLblPos val="nextTo"/>
        <c:txPr>
          <a:bodyPr/>
          <a:lstStyle/>
          <a:p>
            <a:pPr>
              <a:defRPr sz="1000"/>
            </a:pPr>
            <a:endParaRPr lang="en-US"/>
          </a:p>
        </c:txPr>
        <c:crossAx val="124407168"/>
        <c:crosses val="autoZero"/>
        <c:auto val="1"/>
        <c:lblAlgn val="ctr"/>
        <c:lblOffset val="100"/>
        <c:noMultiLvlLbl val="0"/>
      </c:catAx>
      <c:valAx>
        <c:axId val="124407168"/>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2989953841976652E-2"/>
              <c:y val="0.29664731908511432"/>
            </c:manualLayout>
          </c:layout>
          <c:overlay val="0"/>
        </c:title>
        <c:numFmt formatCode="&quot;$&quot;#,##0" sourceLinked="0"/>
        <c:majorTickMark val="out"/>
        <c:minorTickMark val="none"/>
        <c:tickLblPos val="nextTo"/>
        <c:txPr>
          <a:bodyPr/>
          <a:lstStyle/>
          <a:p>
            <a:pPr>
              <a:defRPr sz="1000"/>
            </a:pPr>
            <a:endParaRPr lang="en-US"/>
          </a:p>
        </c:txPr>
        <c:crossAx val="124405632"/>
        <c:crosses val="autoZero"/>
        <c:crossBetween val="between"/>
      </c:valAx>
    </c:plotArea>
    <c:legend>
      <c:legendPos val="t"/>
      <c:layout>
        <c:manualLayout>
          <c:xMode val="edge"/>
          <c:yMode val="edge"/>
          <c:x val="0.14274339528478736"/>
          <c:y val="2.8516512568415336E-2"/>
          <c:w val="0.81341358819314558"/>
          <c:h val="7.6744384127754139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5112669101194"/>
          <c:y val="4.8926798303271499E-2"/>
          <c:w val="0.84329278936412511"/>
          <c:h val="0.83523387724274645"/>
        </c:manualLayout>
      </c:layout>
      <c:lineChart>
        <c:grouping val="standard"/>
        <c:varyColors val="0"/>
        <c:ser>
          <c:idx val="0"/>
          <c:order val="0"/>
          <c:tx>
            <c:strRef>
              <c:f>Summary!$B$467</c:f>
              <c:strCache>
                <c:ptCount val="1"/>
                <c:pt idx="0">
                  <c:v>40G Long Reach</c:v>
                </c:pt>
              </c:strCache>
            </c:strRef>
          </c:tx>
          <c:marker>
            <c:symbol val="none"/>
          </c:marker>
          <c:cat>
            <c:multiLvlStrRef>
              <c:f>Summary!$C$658:$N$659</c:f>
              <c:multiLvlStrCache>
                <c:ptCount val="12"/>
                <c:lvl>
                  <c:pt idx="0">
                    <c:v>2016</c:v>
                  </c:pt>
                  <c:pt idx="1">
                    <c:v>2017</c:v>
                  </c:pt>
                  <c:pt idx="2">
                    <c:v>2018</c:v>
                  </c:pt>
                  <c:pt idx="3">
                    <c:v>2019</c:v>
                  </c:pt>
                  <c:pt idx="4">
                    <c:v>2020</c:v>
                  </c:pt>
                  <c:pt idx="5">
                    <c:v>2021</c:v>
                  </c:pt>
                  <c:pt idx="6">
                    <c:v>2022</c:v>
                  </c:pt>
                  <c:pt idx="7">
                    <c:v>2023</c:v>
                  </c:pt>
                  <c:pt idx="8">
                    <c:v>2024</c:v>
                  </c:pt>
                  <c:pt idx="9">
                    <c:v>2025</c:v>
                  </c:pt>
                  <c:pt idx="10">
                    <c:v>2026</c:v>
                  </c:pt>
                  <c:pt idx="11">
                    <c:v>2027</c:v>
                  </c:pt>
                </c:lvl>
                <c:lvl>
                  <c:pt idx="0">
                    <c:v> -   </c:v>
                  </c:pt>
                  <c:pt idx="1">
                    <c:v> -   </c:v>
                  </c:pt>
                  <c:pt idx="2">
                    <c:v> -   </c:v>
                  </c:pt>
                  <c:pt idx="3">
                    <c:v> -   </c:v>
                  </c:pt>
                  <c:pt idx="4">
                    <c:v> -   </c:v>
                  </c:pt>
                  <c:pt idx="5">
                    <c:v> -   </c:v>
                  </c:pt>
                  <c:pt idx="6">
                    <c:v> -   </c:v>
                  </c:pt>
                  <c:pt idx="7">
                    <c:v> -   </c:v>
                  </c:pt>
                  <c:pt idx="8">
                    <c:v> -   </c:v>
                  </c:pt>
                  <c:pt idx="9">
                    <c:v> -   </c:v>
                  </c:pt>
                  <c:pt idx="10">
                    <c:v> -   </c:v>
                  </c:pt>
                  <c:pt idx="11">
                    <c:v> -   </c:v>
                  </c:pt>
                </c:lvl>
              </c:multiLvlStrCache>
            </c:multiLvlStrRef>
          </c:cat>
          <c:val>
            <c:numRef>
              <c:f>Summary!$C$467:$N$467</c:f>
              <c:numCache>
                <c:formatCode>_("$"* #,##0_);_("$"* \(#,##0\);_("$"* "-"??_);_(@_)</c:formatCode>
                <c:ptCount val="12"/>
                <c:pt idx="0">
                  <c:v>543.18302465326565</c:v>
                </c:pt>
                <c:pt idx="1">
                  <c:v>622.557507768861</c:v>
                </c:pt>
                <c:pt idx="2">
                  <c:v>316.86527273999991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CA1-244F-B3B8-DA25374BEE5C}"/>
            </c:ext>
          </c:extLst>
        </c:ser>
        <c:ser>
          <c:idx val="1"/>
          <c:order val="1"/>
          <c:tx>
            <c:strRef>
              <c:f>Summary!$B$418</c:f>
              <c:strCache>
                <c:ptCount val="1"/>
                <c:pt idx="0">
                  <c:v>40G Short Reach</c:v>
                </c:pt>
              </c:strCache>
            </c:strRef>
          </c:tx>
          <c:marker>
            <c:symbol val="none"/>
          </c:marker>
          <c:cat>
            <c:multiLvlStrRef>
              <c:f>Summary!$C$658:$N$659</c:f>
              <c:multiLvlStrCache>
                <c:ptCount val="12"/>
                <c:lvl>
                  <c:pt idx="0">
                    <c:v>2016</c:v>
                  </c:pt>
                  <c:pt idx="1">
                    <c:v>2017</c:v>
                  </c:pt>
                  <c:pt idx="2">
                    <c:v>2018</c:v>
                  </c:pt>
                  <c:pt idx="3">
                    <c:v>2019</c:v>
                  </c:pt>
                  <c:pt idx="4">
                    <c:v>2020</c:v>
                  </c:pt>
                  <c:pt idx="5">
                    <c:v>2021</c:v>
                  </c:pt>
                  <c:pt idx="6">
                    <c:v>2022</c:v>
                  </c:pt>
                  <c:pt idx="7">
                    <c:v>2023</c:v>
                  </c:pt>
                  <c:pt idx="8">
                    <c:v>2024</c:v>
                  </c:pt>
                  <c:pt idx="9">
                    <c:v>2025</c:v>
                  </c:pt>
                  <c:pt idx="10">
                    <c:v>2026</c:v>
                  </c:pt>
                  <c:pt idx="11">
                    <c:v>2027</c:v>
                  </c:pt>
                </c:lvl>
                <c:lvl>
                  <c:pt idx="0">
                    <c:v> -   </c:v>
                  </c:pt>
                  <c:pt idx="1">
                    <c:v> -   </c:v>
                  </c:pt>
                  <c:pt idx="2">
                    <c:v> -   </c:v>
                  </c:pt>
                  <c:pt idx="3">
                    <c:v> -   </c:v>
                  </c:pt>
                  <c:pt idx="4">
                    <c:v> -   </c:v>
                  </c:pt>
                  <c:pt idx="5">
                    <c:v> -   </c:v>
                  </c:pt>
                  <c:pt idx="6">
                    <c:v> -   </c:v>
                  </c:pt>
                  <c:pt idx="7">
                    <c:v> -   </c:v>
                  </c:pt>
                  <c:pt idx="8">
                    <c:v> -   </c:v>
                  </c:pt>
                  <c:pt idx="9">
                    <c:v> -   </c:v>
                  </c:pt>
                  <c:pt idx="10">
                    <c:v> -   </c:v>
                  </c:pt>
                  <c:pt idx="11">
                    <c:v> -   </c:v>
                  </c:pt>
                </c:lvl>
              </c:multiLvlStrCache>
            </c:multiLvlStrRef>
          </c:cat>
          <c:val>
            <c:numRef>
              <c:f>Summary!$C$418:$N$418</c:f>
              <c:numCache>
                <c:formatCode>_("$"* #,##0_);_("$"* \(#,##0\);_("$"* "-"??_);_(@_)</c:formatCode>
                <c:ptCount val="12"/>
                <c:pt idx="0">
                  <c:v>244.74994551888886</c:v>
                </c:pt>
                <c:pt idx="1">
                  <c:v>281.72000787334071</c:v>
                </c:pt>
                <c:pt idx="2">
                  <c:v>222.61867618970373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CA1-244F-B3B8-DA25374BEE5C}"/>
            </c:ext>
          </c:extLst>
        </c:ser>
        <c:dLbls>
          <c:showLegendKey val="0"/>
          <c:showVal val="0"/>
          <c:showCatName val="0"/>
          <c:showSerName val="0"/>
          <c:showPercent val="0"/>
          <c:showBubbleSize val="0"/>
        </c:dLbls>
        <c:smooth val="0"/>
        <c:axId val="126401536"/>
        <c:axId val="126403328"/>
      </c:lineChart>
      <c:catAx>
        <c:axId val="126401536"/>
        <c:scaling>
          <c:orientation val="minMax"/>
        </c:scaling>
        <c:delete val="0"/>
        <c:axPos val="b"/>
        <c:numFmt formatCode="General" sourceLinked="1"/>
        <c:majorTickMark val="out"/>
        <c:minorTickMark val="none"/>
        <c:tickLblPos val="nextTo"/>
        <c:txPr>
          <a:bodyPr/>
          <a:lstStyle/>
          <a:p>
            <a:pPr>
              <a:defRPr sz="1200"/>
            </a:pPr>
            <a:endParaRPr lang="en-US"/>
          </a:p>
        </c:txPr>
        <c:crossAx val="126403328"/>
        <c:crosses val="autoZero"/>
        <c:auto val="1"/>
        <c:lblAlgn val="ctr"/>
        <c:lblOffset val="100"/>
        <c:noMultiLvlLbl val="0"/>
      </c:catAx>
      <c:valAx>
        <c:axId val="126403328"/>
        <c:scaling>
          <c:orientation val="minMax"/>
        </c:scaling>
        <c:delete val="0"/>
        <c:axPos val="l"/>
        <c:majorGridlines/>
        <c:title>
          <c:tx>
            <c:rich>
              <a:bodyPr rot="-5400000" vert="horz"/>
              <a:lstStyle/>
              <a:p>
                <a:pPr>
                  <a:defRPr sz="1400"/>
                </a:pPr>
                <a:r>
                  <a:rPr lang="en-US" sz="1400"/>
                  <a:t>Annual sales ($ mn)</a:t>
                </a:r>
              </a:p>
            </c:rich>
          </c:tx>
          <c:overlay val="0"/>
        </c:title>
        <c:numFmt formatCode="_(&quot;$&quot;* #,##0_);_(&quot;$&quot;* \(#,##0\);_(&quot;$&quot;* &quot;-&quot;??_);_(@_)" sourceLinked="1"/>
        <c:majorTickMark val="out"/>
        <c:minorTickMark val="none"/>
        <c:tickLblPos val="nextTo"/>
        <c:txPr>
          <a:bodyPr/>
          <a:lstStyle/>
          <a:p>
            <a:pPr>
              <a:defRPr sz="1200"/>
            </a:pPr>
            <a:endParaRPr lang="en-US"/>
          </a:p>
        </c:txPr>
        <c:crossAx val="126401536"/>
        <c:crosses val="autoZero"/>
        <c:crossBetween val="between"/>
      </c:valAx>
    </c:plotArea>
    <c:legend>
      <c:legendPos val="t"/>
      <c:layout>
        <c:manualLayout>
          <c:xMode val="edge"/>
          <c:yMode val="edge"/>
          <c:x val="0.73765449114890003"/>
          <c:y val="7.9436647585129722E-2"/>
          <c:w val="0.23424604621235548"/>
          <c:h val="0.167895964086886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9029725003974"/>
          <c:y val="0.11812196098229642"/>
          <c:w val="0.82741332345511853"/>
          <c:h val="0.77350437990119836"/>
        </c:manualLayout>
      </c:layout>
      <c:lineChart>
        <c:grouping val="standard"/>
        <c:varyColors val="0"/>
        <c:ser>
          <c:idx val="0"/>
          <c:order val="0"/>
          <c:tx>
            <c:strRef>
              <c:f>Summary!$B$119</c:f>
              <c:strCache>
                <c:ptCount val="1"/>
                <c:pt idx="0">
                  <c:v>1G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13567410.105</c:v>
                </c:pt>
                <c:pt idx="1">
                  <c:v>11273695.050000001</c:v>
                </c:pt>
                <c:pt idx="2">
                  <c:v>14338976</c:v>
                </c:pt>
              </c:numCache>
            </c:numRef>
          </c:val>
          <c:smooth val="0"/>
          <c:extLs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18516818.93</c:v>
                </c:pt>
                <c:pt idx="1">
                  <c:v>19945022.100000001</c:v>
                </c:pt>
                <c:pt idx="2">
                  <c:v>22017005.100000001</c:v>
                </c:pt>
              </c:numCache>
            </c:numRef>
          </c:val>
          <c:smooth val="0"/>
          <c:extLst>
            <c:ext xmlns:c16="http://schemas.microsoft.com/office/drawing/2014/chart" uri="{C3380CC4-5D6E-409C-BE32-E72D297353CC}">
              <c16:uniqueId val="{00000001-563D-9542-A559-C232ED949B76}"/>
            </c:ext>
          </c:extLst>
        </c:ser>
        <c:ser>
          <c:idx val="4"/>
          <c:order val="2"/>
          <c:tx>
            <c:strRef>
              <c:f>Summary!$B$121</c:f>
              <c:strCache>
                <c:ptCount val="1"/>
                <c:pt idx="0">
                  <c:v>25G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11694</c:v>
                </c:pt>
                <c:pt idx="1">
                  <c:v>113327</c:v>
                </c:pt>
                <c:pt idx="2">
                  <c:v>375687</c:v>
                </c:pt>
              </c:numCache>
            </c:numRef>
          </c:val>
          <c:smooth val="0"/>
          <c:extLst>
            <c:ext xmlns:c16="http://schemas.microsoft.com/office/drawing/2014/chart" uri="{C3380CC4-5D6E-409C-BE32-E72D297353CC}">
              <c16:uniqueId val="{00000002-563D-9542-A559-C232ED949B76}"/>
            </c:ext>
          </c:extLst>
        </c:ser>
        <c:ser>
          <c:idx val="2"/>
          <c:order val="3"/>
          <c:tx>
            <c:strRef>
              <c:f>Summary!$B$122</c:f>
              <c:strCache>
                <c:ptCount val="1"/>
                <c:pt idx="0">
                  <c:v>40G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3153068</c:v>
                </c:pt>
                <c:pt idx="1">
                  <c:v>3864160</c:v>
                </c:pt>
                <c:pt idx="2">
                  <c:v>3098123.5</c:v>
                </c:pt>
              </c:numCache>
            </c:numRef>
          </c:val>
          <c:smooth val="0"/>
          <c:extLst>
            <c:ext xmlns:c16="http://schemas.microsoft.com/office/drawing/2014/chart" uri="{C3380CC4-5D6E-409C-BE32-E72D297353CC}">
              <c16:uniqueId val="{00000003-563D-9542-A559-C232ED949B76}"/>
            </c:ext>
          </c:extLst>
        </c:ser>
        <c:ser>
          <c:idx val="6"/>
          <c:order val="4"/>
          <c:tx>
            <c:strRef>
              <c:f>Summary!$B$123</c:f>
              <c:strCache>
                <c:ptCount val="1"/>
                <c:pt idx="0">
                  <c:v>50G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2">
                  <c:v>0</c:v>
                </c:pt>
              </c:numCache>
            </c:numRef>
          </c:val>
          <c:smooth val="0"/>
          <c:extLst>
            <c:ext xmlns:c16="http://schemas.microsoft.com/office/drawing/2014/chart" uri="{C3380CC4-5D6E-409C-BE32-E72D297353CC}">
              <c16:uniqueId val="{00000004-563D-9542-A559-C232ED949B76}"/>
            </c:ext>
          </c:extLst>
        </c:ser>
        <c:ser>
          <c:idx val="3"/>
          <c:order val="5"/>
          <c:tx>
            <c:strRef>
              <c:f>Summary!$B$124</c:f>
              <c:strCache>
                <c:ptCount val="1"/>
                <c:pt idx="0">
                  <c:v>100G</c:v>
                </c:pt>
              </c:strCache>
            </c:strRef>
          </c:tx>
          <c:marker>
            <c:symbol val="circle"/>
            <c:size val="5"/>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919370</c:v>
                </c:pt>
                <c:pt idx="1">
                  <c:v>2881490</c:v>
                </c:pt>
                <c:pt idx="2">
                  <c:v>6187018.7366946787</c:v>
                </c:pt>
              </c:numCache>
            </c:numRef>
          </c:val>
          <c:smooth val="0"/>
          <c:extLst>
            <c:ext xmlns:c16="http://schemas.microsoft.com/office/drawing/2014/chart" uri="{C3380CC4-5D6E-409C-BE32-E72D297353CC}">
              <c16:uniqueId val="{00000005-563D-9542-A559-C232ED949B76}"/>
            </c:ext>
          </c:extLst>
        </c:ser>
        <c:ser>
          <c:idx val="7"/>
          <c:order val="6"/>
          <c:tx>
            <c:strRef>
              <c:f>Summary!$B$125</c:f>
              <c:strCache>
                <c:ptCount val="1"/>
                <c:pt idx="0">
                  <c:v>200G</c:v>
                </c:pt>
              </c:strCache>
            </c:strRef>
          </c:tx>
          <c:marker>
            <c:symbol val="plus"/>
            <c:size val="7"/>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2">
                  <c:v>1000</c:v>
                </c:pt>
              </c:numCache>
            </c:numRef>
          </c:val>
          <c:smooth val="0"/>
          <c:extLst>
            <c:ext xmlns:c16="http://schemas.microsoft.com/office/drawing/2014/chart" uri="{C3380CC4-5D6E-409C-BE32-E72D297353CC}">
              <c16:uniqueId val="{00000006-563D-9542-A559-C232ED949B76}"/>
            </c:ext>
          </c:extLst>
        </c:ser>
        <c:ser>
          <c:idx val="5"/>
          <c:order val="7"/>
          <c:tx>
            <c:strRef>
              <c:f>Summary!$B$126</c:f>
              <c:strCache>
                <c:ptCount val="1"/>
                <c:pt idx="0">
                  <c:v>400G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1">
                  <c:v>89</c:v>
                </c:pt>
                <c:pt idx="2">
                  <c:v>39000</c:v>
                </c:pt>
              </c:numCache>
            </c:numRef>
          </c:val>
          <c:smooth val="0"/>
          <c:extLst>
            <c:ext xmlns:c16="http://schemas.microsoft.com/office/drawing/2014/chart" uri="{C3380CC4-5D6E-409C-BE32-E72D297353CC}">
              <c16:uniqueId val="{00000007-563D-9542-A559-C232ED949B76}"/>
            </c:ext>
          </c:extLst>
        </c:ser>
        <c:ser>
          <c:idx val="8"/>
          <c:order val="8"/>
          <c:tx>
            <c:strRef>
              <c:f>Summary!$B$127</c:f>
              <c:strCache>
                <c:ptCount val="1"/>
                <c:pt idx="0">
                  <c:v>800G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numCache>
            </c:numRef>
          </c:val>
          <c:smooth val="0"/>
          <c:extLst>
            <c:ext xmlns:c16="http://schemas.microsoft.com/office/drawing/2014/chart" uri="{C3380CC4-5D6E-409C-BE32-E72D297353CC}">
              <c16:uniqueId val="{00000000-D6E9-C844-9D3A-CB9DAF54EC16}"/>
            </c:ext>
          </c:extLst>
        </c:ser>
        <c:ser>
          <c:idx val="9"/>
          <c:order val="9"/>
          <c:tx>
            <c:strRef>
              <c:f>Summary!$B$128</c:f>
              <c:strCache>
                <c:ptCount val="1"/>
                <c:pt idx="0">
                  <c:v>1.6T</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numCache>
            </c:numRef>
          </c:val>
          <c:smooth val="0"/>
          <c:extLst>
            <c:ext xmlns:c16="http://schemas.microsoft.com/office/drawing/2014/chart" uri="{C3380CC4-5D6E-409C-BE32-E72D297353CC}">
              <c16:uniqueId val="{00000000-21AD-6846-A175-68A9D68BFFA2}"/>
            </c:ext>
          </c:extLst>
        </c:ser>
        <c:dLbls>
          <c:showLegendKey val="0"/>
          <c:showVal val="0"/>
          <c:showCatName val="0"/>
          <c:showSerName val="0"/>
          <c:showPercent val="0"/>
          <c:showBubbleSize val="0"/>
        </c:dLbls>
        <c:marker val="1"/>
        <c:smooth val="0"/>
        <c:axId val="126533632"/>
        <c:axId val="126535168"/>
      </c:lineChart>
      <c:catAx>
        <c:axId val="126533632"/>
        <c:scaling>
          <c:orientation val="minMax"/>
        </c:scaling>
        <c:delete val="0"/>
        <c:axPos val="b"/>
        <c:numFmt formatCode="General" sourceLinked="1"/>
        <c:majorTickMark val="out"/>
        <c:minorTickMark val="none"/>
        <c:tickLblPos val="nextTo"/>
        <c:txPr>
          <a:bodyPr/>
          <a:lstStyle/>
          <a:p>
            <a:pPr>
              <a:defRPr sz="1000"/>
            </a:pPr>
            <a:endParaRPr lang="en-US"/>
          </a:p>
        </c:txPr>
        <c:crossAx val="126535168"/>
        <c:crosses val="autoZero"/>
        <c:auto val="1"/>
        <c:lblAlgn val="ctr"/>
        <c:lblOffset val="100"/>
        <c:noMultiLvlLbl val="0"/>
      </c:catAx>
      <c:valAx>
        <c:axId val="126535168"/>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5106068934745209E-2"/>
              <c:y val="0.262001642180476"/>
            </c:manualLayout>
          </c:layout>
          <c:overlay val="0"/>
        </c:title>
        <c:numFmt formatCode="_(* #,##0_);_(* \(#,##0\);_(* &quot;-&quot;_);_(@_)" sourceLinked="0"/>
        <c:majorTickMark val="out"/>
        <c:minorTickMark val="none"/>
        <c:tickLblPos val="nextTo"/>
        <c:txPr>
          <a:bodyPr/>
          <a:lstStyle/>
          <a:p>
            <a:pPr>
              <a:defRPr sz="1000"/>
            </a:pPr>
            <a:endParaRPr lang="en-US"/>
          </a:p>
        </c:txPr>
        <c:crossAx val="126533632"/>
        <c:crosses val="autoZero"/>
        <c:crossBetween val="between"/>
      </c:valAx>
    </c:plotArea>
    <c:legend>
      <c:legendPos val="t"/>
      <c:layout>
        <c:manualLayout>
          <c:xMode val="edge"/>
          <c:yMode val="edge"/>
          <c:x val="9.999314266019918E-2"/>
          <c:y val="1.9047613334049245E-2"/>
          <c:w val="0.88742567816286511"/>
          <c:h val="7.8108712978263814E-2"/>
        </c:manualLayout>
      </c:layout>
      <c:overlay val="0"/>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67539166800949"/>
          <c:y val="4.6898830746455497E-2"/>
          <c:w val="0.8122107487950615"/>
          <c:h val="0.85993743319851479"/>
        </c:manualLayout>
      </c:layout>
      <c:lineChart>
        <c:grouping val="standard"/>
        <c:varyColors val="0"/>
        <c:ser>
          <c:idx val="4"/>
          <c:order val="0"/>
          <c:tx>
            <c:strRef>
              <c:f>Summary!$B$121</c:f>
              <c:strCache>
                <c:ptCount val="1"/>
                <c:pt idx="0">
                  <c:v>25G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11694</c:v>
                </c:pt>
                <c:pt idx="1">
                  <c:v>113327</c:v>
                </c:pt>
                <c:pt idx="2">
                  <c:v>375687</c:v>
                </c:pt>
              </c:numCache>
            </c:numRef>
          </c:val>
          <c:smooth val="0"/>
          <c:extLst>
            <c:ext xmlns:c16="http://schemas.microsoft.com/office/drawing/2014/chart" uri="{C3380CC4-5D6E-409C-BE32-E72D297353CC}">
              <c16:uniqueId val="{00000000-94BA-0B4D-98E0-07C373C646A1}"/>
            </c:ext>
          </c:extLst>
        </c:ser>
        <c:ser>
          <c:idx val="2"/>
          <c:order val="1"/>
          <c:tx>
            <c:strRef>
              <c:f>Summary!$B$122</c:f>
              <c:strCache>
                <c:ptCount val="1"/>
                <c:pt idx="0">
                  <c:v>40G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3153068</c:v>
                </c:pt>
                <c:pt idx="1">
                  <c:v>3864160</c:v>
                </c:pt>
                <c:pt idx="2">
                  <c:v>3098123.5</c:v>
                </c:pt>
              </c:numCache>
            </c:numRef>
          </c:val>
          <c:smooth val="0"/>
          <c:extLst>
            <c:ext xmlns:c16="http://schemas.microsoft.com/office/drawing/2014/chart" uri="{C3380CC4-5D6E-409C-BE32-E72D297353CC}">
              <c16:uniqueId val="{00000001-94BA-0B4D-98E0-07C373C646A1}"/>
            </c:ext>
          </c:extLst>
        </c:ser>
        <c:ser>
          <c:idx val="6"/>
          <c:order val="2"/>
          <c:tx>
            <c:strRef>
              <c:f>Summary!$B$123</c:f>
              <c:strCache>
                <c:ptCount val="1"/>
                <c:pt idx="0">
                  <c:v>50G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2">
                  <c:v>0</c:v>
                </c:pt>
              </c:numCache>
            </c:numRef>
          </c:val>
          <c:smooth val="0"/>
          <c:extLst>
            <c:ext xmlns:c16="http://schemas.microsoft.com/office/drawing/2014/chart" uri="{C3380CC4-5D6E-409C-BE32-E72D297353CC}">
              <c16:uniqueId val="{00000002-94BA-0B4D-98E0-07C373C646A1}"/>
            </c:ext>
          </c:extLst>
        </c:ser>
        <c:ser>
          <c:idx val="7"/>
          <c:order val="3"/>
          <c:tx>
            <c:strRef>
              <c:f>Summary!$B$125</c:f>
              <c:strCache>
                <c:ptCount val="1"/>
                <c:pt idx="0">
                  <c:v>200G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2">
                  <c:v>1000</c:v>
                </c:pt>
              </c:numCache>
            </c:numRef>
          </c:val>
          <c:smooth val="0"/>
          <c:extLst>
            <c:ext xmlns:c16="http://schemas.microsoft.com/office/drawing/2014/chart" uri="{C3380CC4-5D6E-409C-BE32-E72D297353CC}">
              <c16:uniqueId val="{00000004-94BA-0B4D-98E0-07C373C646A1}"/>
            </c:ext>
          </c:extLst>
        </c:ser>
        <c:ser>
          <c:idx val="5"/>
          <c:order val="4"/>
          <c:tx>
            <c:strRef>
              <c:f>Summary!$B$126</c:f>
              <c:strCache>
                <c:ptCount val="1"/>
                <c:pt idx="0">
                  <c:v>400G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1">
                  <c:v>89</c:v>
                </c:pt>
                <c:pt idx="2">
                  <c:v>39000</c:v>
                </c:pt>
              </c:numCache>
            </c:numRef>
          </c:val>
          <c:smooth val="0"/>
          <c:extLst>
            <c:ext xmlns:c16="http://schemas.microsoft.com/office/drawing/2014/chart" uri="{C3380CC4-5D6E-409C-BE32-E72D297353CC}">
              <c16:uniqueId val="{00000005-94BA-0B4D-98E0-07C373C646A1}"/>
            </c:ext>
          </c:extLst>
        </c:ser>
        <c:ser>
          <c:idx val="0"/>
          <c:order val="5"/>
          <c:tx>
            <c:strRef>
              <c:f>Summary!$B$127</c:f>
              <c:strCache>
                <c:ptCount val="1"/>
                <c:pt idx="0">
                  <c:v>800G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numCache>
            </c:numRef>
          </c:val>
          <c:smooth val="0"/>
          <c:extLst>
            <c:ext xmlns:c16="http://schemas.microsoft.com/office/drawing/2014/chart" uri="{C3380CC4-5D6E-409C-BE32-E72D297353CC}">
              <c16:uniqueId val="{00000000-94C5-9B41-B692-EA8FCC71FCA5}"/>
            </c:ext>
          </c:extLst>
        </c:ser>
        <c:ser>
          <c:idx val="1"/>
          <c:order val="6"/>
          <c:tx>
            <c:strRef>
              <c:f>Summary!$B$128</c:f>
              <c:strCache>
                <c:ptCount val="1"/>
                <c:pt idx="0">
                  <c:v>1.6T</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numCache>
            </c:numRef>
          </c:val>
          <c:smooth val="0"/>
          <c:extLst>
            <c:ext xmlns:c16="http://schemas.microsoft.com/office/drawing/2014/chart" uri="{C3380CC4-5D6E-409C-BE32-E72D297353CC}">
              <c16:uniqueId val="{00000000-F993-5B41-9AC3-41C6F34FC3B2}"/>
            </c:ext>
          </c:extLst>
        </c:ser>
        <c:dLbls>
          <c:showLegendKey val="0"/>
          <c:showVal val="0"/>
          <c:showCatName val="0"/>
          <c:showSerName val="0"/>
          <c:showPercent val="0"/>
          <c:showBubbleSize val="0"/>
        </c:dLbls>
        <c:marker val="1"/>
        <c:smooth val="0"/>
        <c:axId val="130462848"/>
        <c:axId val="130464384"/>
      </c:lineChart>
      <c:catAx>
        <c:axId val="130462848"/>
        <c:scaling>
          <c:orientation val="minMax"/>
        </c:scaling>
        <c:delete val="0"/>
        <c:axPos val="b"/>
        <c:numFmt formatCode="General" sourceLinked="1"/>
        <c:majorTickMark val="out"/>
        <c:minorTickMark val="none"/>
        <c:tickLblPos val="nextTo"/>
        <c:txPr>
          <a:bodyPr/>
          <a:lstStyle/>
          <a:p>
            <a:pPr>
              <a:defRPr sz="1200"/>
            </a:pPr>
            <a:endParaRPr lang="en-US"/>
          </a:p>
        </c:txPr>
        <c:crossAx val="130464384"/>
        <c:crosses val="autoZero"/>
        <c:auto val="1"/>
        <c:lblAlgn val="ctr"/>
        <c:lblOffset val="100"/>
        <c:noMultiLvlLbl val="0"/>
      </c:catAx>
      <c:valAx>
        <c:axId val="130464384"/>
        <c:scaling>
          <c:orientation val="minMax"/>
          <c:min val="0"/>
        </c:scaling>
        <c:delete val="0"/>
        <c:axPos val="l"/>
        <c:majorGridlines/>
        <c:title>
          <c:tx>
            <c:rich>
              <a:bodyPr rot="-5400000" vert="horz"/>
              <a:lstStyle/>
              <a:p>
                <a:pPr>
                  <a:defRPr sz="1400"/>
                </a:pPr>
                <a:r>
                  <a:rPr lang="en-US" sz="1400"/>
                  <a:t>Annual shipments</a:t>
                </a:r>
              </a:p>
            </c:rich>
          </c:tx>
          <c:overlay val="0"/>
        </c:title>
        <c:numFmt formatCode="_(* #,##0_);_(* \(#,##0\);_(* &quot;-&quot;_);_(@_)" sourceLinked="0"/>
        <c:majorTickMark val="out"/>
        <c:minorTickMark val="none"/>
        <c:tickLblPos val="nextTo"/>
        <c:txPr>
          <a:bodyPr/>
          <a:lstStyle/>
          <a:p>
            <a:pPr>
              <a:defRPr sz="1200"/>
            </a:pPr>
            <a:endParaRPr lang="en-US"/>
          </a:p>
        </c:txPr>
        <c:crossAx val="130462848"/>
        <c:crosses val="autoZero"/>
        <c:crossBetween val="between"/>
      </c:valAx>
    </c:plotArea>
    <c:legend>
      <c:legendPos val="t"/>
      <c:layout>
        <c:manualLayout>
          <c:xMode val="edge"/>
          <c:yMode val="edge"/>
          <c:x val="0.18093049114912371"/>
          <c:y val="5.8652668416447944E-2"/>
          <c:w val="0.67596434796216764"/>
          <c:h val="7.8557637191902729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03787438248289"/>
          <c:y val="0.15946952504906389"/>
          <c:w val="0.80023483916626958"/>
          <c:h val="0.75998633644295233"/>
        </c:manualLayout>
      </c:layout>
      <c:lineChart>
        <c:grouping val="standard"/>
        <c:varyColors val="0"/>
        <c:ser>
          <c:idx val="0"/>
          <c:order val="0"/>
          <c:tx>
            <c:strRef>
              <c:f>Summary!$B$211</c:f>
              <c:strCache>
                <c:ptCount val="1"/>
                <c:pt idx="0">
                  <c:v>10G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Summary!$C$211:$N$211</c:f>
              <c:numCache>
                <c:formatCode>_(* #,##0_);_(* \(#,##0\);_(* "-"??_);_(@_)</c:formatCode>
                <c:ptCount val="12"/>
                <c:pt idx="0">
                  <c:v>11471385.93</c:v>
                </c:pt>
                <c:pt idx="1">
                  <c:v>12691744</c:v>
                </c:pt>
                <c:pt idx="2">
                  <c:v>14084264</c:v>
                </c:pt>
              </c:numCache>
            </c:numRef>
          </c:val>
          <c:smooth val="0"/>
          <c:extLst>
            <c:ext xmlns:c16="http://schemas.microsoft.com/office/drawing/2014/chart" uri="{C3380CC4-5D6E-409C-BE32-E72D297353CC}">
              <c16:uniqueId val="{00000000-7D9B-5948-91AF-487D2AB9C4CB}"/>
            </c:ext>
          </c:extLst>
        </c:ser>
        <c:ser>
          <c:idx val="2"/>
          <c:order val="1"/>
          <c:tx>
            <c:strRef>
              <c:f>Summary!$B$212</c:f>
              <c:strCache>
                <c:ptCount val="1"/>
                <c:pt idx="0">
                  <c:v>25G MMF</c:v>
                </c:pt>
              </c:strCache>
            </c:strRef>
          </c:tx>
          <c:spPr>
            <a:ln>
              <a:solidFill>
                <a:schemeClr val="accent2"/>
              </a:solidFill>
            </a:ln>
          </c:spPr>
          <c:marker>
            <c:spPr>
              <a:solidFill>
                <a:schemeClr val="accent2"/>
              </a:solidFill>
              <a:ln>
                <a:solidFill>
                  <a:schemeClr val="accent2"/>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Summary!$C$212:$N$212</c:f>
              <c:numCache>
                <c:formatCode>_(* #,##0_);_(* \(#,##0\);_(* "-"??_);_(@_)</c:formatCode>
                <c:ptCount val="12"/>
                <c:pt idx="0">
                  <c:v>7146</c:v>
                </c:pt>
                <c:pt idx="1">
                  <c:v>95865</c:v>
                </c:pt>
                <c:pt idx="2">
                  <c:v>318978</c:v>
                </c:pt>
              </c:numCache>
            </c:numRef>
          </c:val>
          <c:smooth val="0"/>
          <c:extLst>
            <c:ext xmlns:c16="http://schemas.microsoft.com/office/drawing/2014/chart" uri="{C3380CC4-5D6E-409C-BE32-E72D297353CC}">
              <c16:uniqueId val="{00000001-7D9B-5948-91AF-487D2AB9C4CB}"/>
            </c:ext>
          </c:extLst>
        </c:ser>
        <c:ser>
          <c:idx val="3"/>
          <c:order val="2"/>
          <c:tx>
            <c:strRef>
              <c:f>Summary!$B$213</c:f>
              <c:strCache>
                <c:ptCount val="1"/>
                <c:pt idx="0">
                  <c:v>40G MMF</c:v>
                </c:pt>
              </c:strCache>
            </c:strRef>
          </c:tx>
          <c:spPr>
            <a:ln>
              <a:solidFill>
                <a:schemeClr val="accent3"/>
              </a:solidFill>
            </a:ln>
          </c:spPr>
          <c:marker>
            <c:spPr>
              <a:solidFill>
                <a:schemeClr val="accent3"/>
              </a:solidFill>
              <a:ln>
                <a:solidFill>
                  <a:schemeClr val="accent3"/>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Summary!$C$213:$N$213</c:f>
              <c:numCache>
                <c:formatCode>_(* #,##0_);_(* \(#,##0\);_(* "-"??_);_(@_)</c:formatCode>
                <c:ptCount val="12"/>
                <c:pt idx="0">
                  <c:v>1529498</c:v>
                </c:pt>
                <c:pt idx="1">
                  <c:v>2010866</c:v>
                </c:pt>
                <c:pt idx="2">
                  <c:v>2046033.5</c:v>
                </c:pt>
              </c:numCache>
            </c:numRef>
          </c:val>
          <c:smooth val="0"/>
          <c:extLst>
            <c:ext xmlns:c16="http://schemas.microsoft.com/office/drawing/2014/chart" uri="{C3380CC4-5D6E-409C-BE32-E72D297353CC}">
              <c16:uniqueId val="{00000002-7D9B-5948-91AF-487D2AB9C4CB}"/>
            </c:ext>
          </c:extLst>
        </c:ser>
        <c:ser>
          <c:idx val="5"/>
          <c:order val="3"/>
          <c:tx>
            <c:strRef>
              <c:f>Summary!$B$214</c:f>
              <c:strCache>
                <c:ptCount val="1"/>
                <c:pt idx="0">
                  <c:v>50G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Summary!$C$214:$N$214</c:f>
              <c:numCache>
                <c:formatCode>_(* #,##0_);_(* \(#,##0\);_(* "-"??_);_(@_)</c:formatCode>
                <c:ptCount val="12"/>
                <c:pt idx="2">
                  <c:v>0</c:v>
                </c:pt>
              </c:numCache>
            </c:numRef>
          </c:val>
          <c:smooth val="0"/>
          <c:extLst>
            <c:ext xmlns:c16="http://schemas.microsoft.com/office/drawing/2014/chart" uri="{C3380CC4-5D6E-409C-BE32-E72D297353CC}">
              <c16:uniqueId val="{00000003-7D9B-5948-91AF-487D2AB9C4CB}"/>
            </c:ext>
          </c:extLst>
        </c:ser>
        <c:ser>
          <c:idx val="1"/>
          <c:order val="4"/>
          <c:tx>
            <c:strRef>
              <c:f>Summary!$B$215</c:f>
              <c:strCache>
                <c:ptCount val="1"/>
                <c:pt idx="0">
                  <c:v>100G MMF</c:v>
                </c:pt>
              </c:strCache>
            </c:strRef>
          </c:tx>
          <c:spPr>
            <a:ln>
              <a:solidFill>
                <a:schemeClr val="accent4"/>
              </a:solidFill>
            </a:ln>
          </c:spPr>
          <c:marker>
            <c:symbol val="square"/>
            <c:size val="5"/>
            <c:spPr>
              <a:solidFill>
                <a:schemeClr val="accent4"/>
              </a:solidFill>
              <a:ln>
                <a:solidFill>
                  <a:schemeClr val="accent4"/>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Summary!$C$215:$N$215</c:f>
              <c:numCache>
                <c:formatCode>_(* #,##0_);_(* \(#,##0\);_(* "-"??_);_(@_)</c:formatCode>
                <c:ptCount val="12"/>
                <c:pt idx="0">
                  <c:v>299241</c:v>
                </c:pt>
                <c:pt idx="1">
                  <c:v>631974</c:v>
                </c:pt>
                <c:pt idx="2">
                  <c:v>2082911</c:v>
                </c:pt>
              </c:numCache>
            </c:numRef>
          </c:val>
          <c:smooth val="0"/>
          <c:extLst>
            <c:ext xmlns:c16="http://schemas.microsoft.com/office/drawing/2014/chart" uri="{C3380CC4-5D6E-409C-BE32-E72D297353CC}">
              <c16:uniqueId val="{00000004-7D9B-5948-91AF-487D2AB9C4CB}"/>
            </c:ext>
          </c:extLst>
        </c:ser>
        <c:ser>
          <c:idx val="6"/>
          <c:order val="5"/>
          <c:tx>
            <c:strRef>
              <c:f>Summary!$B$216</c:f>
              <c:strCache>
                <c:ptCount val="1"/>
                <c:pt idx="0">
                  <c:v>200G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Summary!$C$216:$N$216</c:f>
              <c:numCache>
                <c:formatCode>_(* #,##0_);_(* \(#,##0\);_(* "-"??_);_(@_)</c:formatCode>
                <c:ptCount val="12"/>
                <c:pt idx="1">
                  <c:v>0</c:v>
                </c:pt>
                <c:pt idx="2">
                  <c:v>500</c:v>
                </c:pt>
              </c:numCache>
            </c:numRef>
          </c:val>
          <c:smooth val="0"/>
          <c:extLst>
            <c:ext xmlns:c16="http://schemas.microsoft.com/office/drawing/2014/chart" uri="{C3380CC4-5D6E-409C-BE32-E72D297353CC}">
              <c16:uniqueId val="{00000005-7D9B-5948-91AF-487D2AB9C4CB}"/>
            </c:ext>
          </c:extLst>
        </c:ser>
        <c:ser>
          <c:idx val="4"/>
          <c:order val="6"/>
          <c:tx>
            <c:strRef>
              <c:f>Summary!$B$217</c:f>
              <c:strCache>
                <c:ptCount val="1"/>
                <c:pt idx="0">
                  <c:v>400G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Summary!$C$217:$N$217</c:f>
              <c:numCache>
                <c:formatCode>_(* #,##0_);_(* \(#,##0\);_(* "-"??_);_(@_)</c:formatCode>
                <c:ptCount val="12"/>
                <c:pt idx="1">
                  <c:v>0</c:v>
                </c:pt>
                <c:pt idx="2">
                  <c:v>23000</c:v>
                </c:pt>
              </c:numCache>
            </c:numRef>
          </c:val>
          <c:smooth val="0"/>
          <c:extLst>
            <c:ext xmlns:c16="http://schemas.microsoft.com/office/drawing/2014/chart" uri="{C3380CC4-5D6E-409C-BE32-E72D297353CC}">
              <c16:uniqueId val="{00000006-7D9B-5948-91AF-487D2AB9C4CB}"/>
            </c:ext>
          </c:extLst>
        </c:ser>
        <c:ser>
          <c:idx val="7"/>
          <c:order val="7"/>
          <c:tx>
            <c:strRef>
              <c:f>Summary!$B$218</c:f>
              <c:strCache>
                <c:ptCount val="1"/>
                <c:pt idx="0">
                  <c:v>800G MMF</c:v>
                </c:pt>
              </c:strCache>
            </c:strRef>
          </c:tx>
          <c:spPr>
            <a:ln>
              <a:solidFill>
                <a:srgbClr val="00B050"/>
              </a:solidFill>
            </a:ln>
          </c:spPr>
          <c:marker>
            <c:spPr>
              <a:ln>
                <a:solidFill>
                  <a:srgbClr val="00B050"/>
                </a:solidFill>
              </a:ln>
            </c:spPr>
          </c:marker>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Summary!$C$218:$N$218</c:f>
              <c:numCache>
                <c:formatCode>_(* #,##0_);_(* \(#,##0\);_(* "-"??_);_(@_)</c:formatCode>
                <c:ptCount val="12"/>
              </c:numCache>
            </c:numRef>
          </c:val>
          <c:smooth val="0"/>
          <c:extLst>
            <c:ext xmlns:c16="http://schemas.microsoft.com/office/drawing/2014/chart" uri="{C3380CC4-5D6E-409C-BE32-E72D297353CC}">
              <c16:uniqueId val="{00000000-F2BC-CA4D-8284-FD54473393F3}"/>
            </c:ext>
          </c:extLst>
        </c:ser>
        <c:ser>
          <c:idx val="8"/>
          <c:order val="8"/>
          <c:tx>
            <c:strRef>
              <c:f>Summary!$B$219</c:f>
              <c:strCache>
                <c:ptCount val="1"/>
                <c:pt idx="0">
                  <c:v>1.6T MMF</c:v>
                </c:pt>
              </c:strCache>
            </c:strRef>
          </c:tx>
          <c:cat>
            <c:numRef>
              <c:f>Summary!$C$208:$N$208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Summary!$C$219:$N$219</c:f>
              <c:numCache>
                <c:formatCode>_(* #,##0_);_(* \(#,##0\);_(* "-"??_);_(@_)</c:formatCode>
                <c:ptCount val="12"/>
              </c:numCache>
            </c:numRef>
          </c:val>
          <c:smooth val="0"/>
          <c:extLst>
            <c:ext xmlns:c16="http://schemas.microsoft.com/office/drawing/2014/chart" uri="{C3380CC4-5D6E-409C-BE32-E72D297353CC}">
              <c16:uniqueId val="{00000000-66D5-E841-B00B-F5AE3128548F}"/>
            </c:ext>
          </c:extLst>
        </c:ser>
        <c:dLbls>
          <c:showLegendKey val="0"/>
          <c:showVal val="0"/>
          <c:showCatName val="0"/>
          <c:showSerName val="0"/>
          <c:showPercent val="0"/>
          <c:showBubbleSize val="0"/>
        </c:dLbls>
        <c:marker val="1"/>
        <c:smooth val="0"/>
        <c:axId val="130524288"/>
        <c:axId val="130525824"/>
      </c:lineChart>
      <c:catAx>
        <c:axId val="130524288"/>
        <c:scaling>
          <c:orientation val="minMax"/>
        </c:scaling>
        <c:delete val="0"/>
        <c:axPos val="b"/>
        <c:numFmt formatCode="General" sourceLinked="1"/>
        <c:majorTickMark val="out"/>
        <c:minorTickMark val="none"/>
        <c:tickLblPos val="nextTo"/>
        <c:txPr>
          <a:bodyPr/>
          <a:lstStyle/>
          <a:p>
            <a:pPr>
              <a:defRPr sz="1000"/>
            </a:pPr>
            <a:endParaRPr lang="en-US"/>
          </a:p>
        </c:txPr>
        <c:crossAx val="130525824"/>
        <c:crosses val="autoZero"/>
        <c:auto val="1"/>
        <c:lblAlgn val="ctr"/>
        <c:lblOffset val="100"/>
        <c:noMultiLvlLbl val="0"/>
      </c:catAx>
      <c:valAx>
        <c:axId val="130525824"/>
        <c:scaling>
          <c:orientation val="minMax"/>
          <c:max val="16100000.000000002"/>
          <c:min val="0"/>
        </c:scaling>
        <c:delete val="0"/>
        <c:axPos val="l"/>
        <c:majorGridlines/>
        <c:title>
          <c:tx>
            <c:rich>
              <a:bodyPr/>
              <a:lstStyle/>
              <a:p>
                <a:pPr>
                  <a:defRPr sz="1200"/>
                </a:pPr>
                <a:r>
                  <a:rPr lang="en-US" sz="1200"/>
                  <a:t>Shipments  (Units)</a:t>
                </a:r>
              </a:p>
            </c:rich>
          </c:tx>
          <c:layout>
            <c:manualLayout>
              <c:xMode val="edge"/>
              <c:yMode val="edge"/>
              <c:x val="2.3858004730599205E-2"/>
              <c:y val="0.3638878080567054"/>
            </c:manualLayout>
          </c:layout>
          <c:overlay val="0"/>
        </c:title>
        <c:numFmt formatCode="_(* #,##0_);_(* \(#,##0\);_(* &quot;-&quot;??_);_(@_)" sourceLinked="1"/>
        <c:majorTickMark val="out"/>
        <c:minorTickMark val="none"/>
        <c:tickLblPos val="nextTo"/>
        <c:txPr>
          <a:bodyPr/>
          <a:lstStyle/>
          <a:p>
            <a:pPr>
              <a:defRPr sz="1000"/>
            </a:pPr>
            <a:endParaRPr lang="en-US"/>
          </a:p>
        </c:txPr>
        <c:crossAx val="130524288"/>
        <c:crosses val="autoZero"/>
        <c:crossBetween val="between"/>
        <c:majorUnit val="2000000"/>
        <c:minorUnit val="400000"/>
      </c:valAx>
    </c:plotArea>
    <c:legend>
      <c:legendPos val="t"/>
      <c:layout>
        <c:manualLayout>
          <c:xMode val="edge"/>
          <c:yMode val="edge"/>
          <c:x val="0.20211028903261888"/>
          <c:y val="6.8853893263342084E-3"/>
          <c:w val="0.72128603979434402"/>
          <c:h val="0.13717738407699037"/>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9531843387173"/>
          <c:y val="7.7846691134860702E-2"/>
          <c:w val="0.78363960724145587"/>
          <c:h val="0.83596598166502289"/>
        </c:manualLayout>
      </c:layout>
      <c:lineChart>
        <c:grouping val="standard"/>
        <c:varyColors val="0"/>
        <c:ser>
          <c:idx val="0"/>
          <c:order val="0"/>
          <c:tx>
            <c:strRef>
              <c:f>Summary!$B$405</c:f>
              <c:strCache>
                <c:ptCount val="1"/>
                <c:pt idx="0">
                  <c:v>100 m  40G QSFP+</c:v>
                </c:pt>
              </c:strCache>
            </c:strRef>
          </c:tx>
          <c:cat>
            <c:numRef>
              <c:f>Summary!$C$404:$N$404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Summary!$C$405:$N$405</c:f>
              <c:numCache>
                <c:formatCode>_(* #,##0_);_(* \(#,##0\);_(* "-"??_);_(@_)</c:formatCode>
                <c:ptCount val="12"/>
                <c:pt idx="0">
                  <c:v>639935</c:v>
                </c:pt>
                <c:pt idx="1">
                  <c:v>793812</c:v>
                </c:pt>
                <c:pt idx="2">
                  <c:v>960639.5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E06-204F-86DE-535927CCF1D0}"/>
            </c:ext>
          </c:extLst>
        </c:ser>
        <c:ser>
          <c:idx val="2"/>
          <c:order val="1"/>
          <c:tx>
            <c:strRef>
              <c:f>Summary!$B$406</c:f>
              <c:strCache>
                <c:ptCount val="1"/>
                <c:pt idx="0">
                  <c:v>100 m  40G MM duplex</c:v>
                </c:pt>
              </c:strCache>
            </c:strRef>
          </c:tx>
          <c:cat>
            <c:numRef>
              <c:f>Summary!$C$404:$N$404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Summary!$C$406:$N$406</c:f>
              <c:numCache>
                <c:formatCode>_(* #,##0_);_(* \(#,##0\);_(* "-"??_);_(@_)</c:formatCode>
                <c:ptCount val="12"/>
                <c:pt idx="0">
                  <c:v>614294</c:v>
                </c:pt>
                <c:pt idx="1">
                  <c:v>750519</c:v>
                </c:pt>
                <c:pt idx="2">
                  <c:v>594327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E06-204F-86DE-535927CCF1D0}"/>
            </c:ext>
          </c:extLst>
        </c:ser>
        <c:ser>
          <c:idx val="1"/>
          <c:order val="2"/>
          <c:tx>
            <c:strRef>
              <c:f>Summary!$B$407</c:f>
              <c:strCache>
                <c:ptCount val="1"/>
                <c:pt idx="0">
                  <c:v>300 m  40 G eSR QSFP+</c:v>
                </c:pt>
              </c:strCache>
            </c:strRef>
          </c:tx>
          <c:cat>
            <c:numRef>
              <c:f>Summary!$C$404:$N$404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Summary!$C$407:$N$407</c:f>
              <c:numCache>
                <c:formatCode>_(* #,##0_);_(* \(#,##0\);_(* "-"??_);_(@_)</c:formatCode>
                <c:ptCount val="12"/>
                <c:pt idx="0">
                  <c:v>275269</c:v>
                </c:pt>
                <c:pt idx="1">
                  <c:v>466535</c:v>
                </c:pt>
                <c:pt idx="2">
                  <c:v>491067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E06-204F-86DE-535927CCF1D0}"/>
            </c:ext>
          </c:extLst>
        </c:ser>
        <c:dLbls>
          <c:showLegendKey val="0"/>
          <c:showVal val="0"/>
          <c:showCatName val="0"/>
          <c:showSerName val="0"/>
          <c:showPercent val="0"/>
          <c:showBubbleSize val="0"/>
        </c:dLbls>
        <c:marker val="1"/>
        <c:smooth val="0"/>
        <c:axId val="130115072"/>
        <c:axId val="130116608"/>
      </c:lineChart>
      <c:catAx>
        <c:axId val="130115072"/>
        <c:scaling>
          <c:orientation val="minMax"/>
        </c:scaling>
        <c:delete val="0"/>
        <c:axPos val="b"/>
        <c:numFmt formatCode="General" sourceLinked="1"/>
        <c:majorTickMark val="out"/>
        <c:minorTickMark val="none"/>
        <c:tickLblPos val="nextTo"/>
        <c:txPr>
          <a:bodyPr/>
          <a:lstStyle/>
          <a:p>
            <a:pPr>
              <a:defRPr sz="1050"/>
            </a:pPr>
            <a:endParaRPr lang="en-US"/>
          </a:p>
        </c:txPr>
        <c:crossAx val="130116608"/>
        <c:crosses val="autoZero"/>
        <c:auto val="1"/>
        <c:lblAlgn val="ctr"/>
        <c:lblOffset val="100"/>
        <c:noMultiLvlLbl val="0"/>
      </c:catAx>
      <c:valAx>
        <c:axId val="130116608"/>
        <c:scaling>
          <c:orientation val="minMax"/>
          <c:max val="1000000"/>
          <c:min val="0"/>
        </c:scaling>
        <c:delete val="0"/>
        <c:axPos val="l"/>
        <c:majorGridlines/>
        <c:title>
          <c:tx>
            <c:rich>
              <a:bodyPr rot="-5400000" vert="horz"/>
              <a:lstStyle/>
              <a:p>
                <a:pPr>
                  <a:defRPr sz="1400"/>
                </a:pPr>
                <a:r>
                  <a:rPr lang="en-US" sz="1400"/>
                  <a:t>Annual shipments</a:t>
                </a:r>
              </a:p>
            </c:rich>
          </c:tx>
          <c:overlay val="0"/>
        </c:title>
        <c:numFmt formatCode="#,##0" sourceLinked="0"/>
        <c:majorTickMark val="out"/>
        <c:minorTickMark val="none"/>
        <c:tickLblPos val="nextTo"/>
        <c:txPr>
          <a:bodyPr/>
          <a:lstStyle/>
          <a:p>
            <a:pPr>
              <a:defRPr sz="1200"/>
            </a:pPr>
            <a:endParaRPr lang="en-US"/>
          </a:p>
        </c:txPr>
        <c:crossAx val="130115072"/>
        <c:crosses val="autoZero"/>
        <c:crossBetween val="between"/>
        <c:majorUnit val="200000"/>
        <c:minorUnit val="40000"/>
      </c:valAx>
    </c:plotArea>
    <c:legend>
      <c:legendPos val="t"/>
      <c:layout>
        <c:manualLayout>
          <c:xMode val="edge"/>
          <c:yMode val="edge"/>
          <c:x val="0.68327809805522721"/>
          <c:y val="8.5192969975262337E-2"/>
          <c:w val="0.28291640990237549"/>
          <c:h val="0.19249656421284098"/>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65185017536857"/>
          <c:y val="4.437445319335083E-2"/>
          <c:w val="0.85792760567452775"/>
          <c:h val="0.86403869827235957"/>
        </c:manualLayout>
      </c:layout>
      <c:barChart>
        <c:barDir val="col"/>
        <c:grouping val="stacked"/>
        <c:varyColors val="0"/>
        <c:ser>
          <c:idx val="0"/>
          <c:order val="0"/>
          <c:tx>
            <c:strRef>
              <c:f>Summary!$B$158</c:f>
              <c:strCache>
                <c:ptCount val="1"/>
                <c:pt idx="0">
                  <c:v>100G &amp; below</c:v>
                </c:pt>
              </c:strCache>
            </c:strRef>
          </c:tx>
          <c:invertIfNegative val="0"/>
          <c:cat>
            <c:numRef>
              <c:f>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Summary!$C$158:$N$158</c:f>
              <c:numCache>
                <c:formatCode>_("$"* #,##0_);_("$"* \(#,##0\);_("$"* "-"??_);_(@_)</c:formatCode>
                <c:ptCount val="12"/>
                <c:pt idx="0">
                  <c:v>2677.5690986151867</c:v>
                </c:pt>
                <c:pt idx="1">
                  <c:v>3174.6712260887743</c:v>
                </c:pt>
                <c:pt idx="2">
                  <c:v>3337.3055278135298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65-1F4A-9073-3D899F10AD6F}"/>
            </c:ext>
          </c:extLst>
        </c:ser>
        <c:ser>
          <c:idx val="1"/>
          <c:order val="1"/>
          <c:tx>
            <c:strRef>
              <c:f>Summary!$B$159</c:f>
              <c:strCache>
                <c:ptCount val="1"/>
                <c:pt idx="0">
                  <c:v>200G &amp; above</c:v>
                </c:pt>
              </c:strCache>
            </c:strRef>
          </c:tx>
          <c:invertIfNegative val="0"/>
          <c:cat>
            <c:numRef>
              <c:f>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Summary!$C$159:$N$159</c:f>
              <c:numCache>
                <c:formatCode>_("$"* #,##0_);_("$"* \(#,##0\);_("$"* "-"??_);_(@_)</c:formatCode>
                <c:ptCount val="12"/>
                <c:pt idx="0">
                  <c:v>0</c:v>
                </c:pt>
                <c:pt idx="1">
                  <c:v>1.3482999999999998</c:v>
                </c:pt>
                <c:pt idx="2">
                  <c:v>50.312000000000005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D65-1F4A-9073-3D899F10AD6F}"/>
            </c:ext>
          </c:extLst>
        </c:ser>
        <c:dLbls>
          <c:showLegendKey val="0"/>
          <c:showVal val="0"/>
          <c:showCatName val="0"/>
          <c:showSerName val="0"/>
          <c:showPercent val="0"/>
          <c:showBubbleSize val="0"/>
        </c:dLbls>
        <c:gapWidth val="150"/>
        <c:overlap val="100"/>
        <c:axId val="130147072"/>
        <c:axId val="130148608"/>
      </c:barChart>
      <c:catAx>
        <c:axId val="130147072"/>
        <c:scaling>
          <c:orientation val="minMax"/>
        </c:scaling>
        <c:delete val="0"/>
        <c:axPos val="b"/>
        <c:numFmt formatCode="General" sourceLinked="1"/>
        <c:majorTickMark val="out"/>
        <c:minorTickMark val="none"/>
        <c:tickLblPos val="nextTo"/>
        <c:txPr>
          <a:bodyPr/>
          <a:lstStyle/>
          <a:p>
            <a:pPr>
              <a:defRPr sz="1200"/>
            </a:pPr>
            <a:endParaRPr lang="en-US"/>
          </a:p>
        </c:txPr>
        <c:crossAx val="130148608"/>
        <c:crosses val="autoZero"/>
        <c:auto val="1"/>
        <c:lblAlgn val="ctr"/>
        <c:lblOffset val="100"/>
        <c:noMultiLvlLbl val="0"/>
      </c:catAx>
      <c:valAx>
        <c:axId val="130148608"/>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5.5310462085552698E-3"/>
              <c:y val="0.27541095281984951"/>
            </c:manualLayout>
          </c:layout>
          <c:overlay val="0"/>
        </c:title>
        <c:numFmt formatCode="&quot;$&quot;#,##0" sourceLinked="0"/>
        <c:majorTickMark val="out"/>
        <c:minorTickMark val="none"/>
        <c:tickLblPos val="nextTo"/>
        <c:txPr>
          <a:bodyPr/>
          <a:lstStyle/>
          <a:p>
            <a:pPr>
              <a:defRPr sz="1200"/>
            </a:pPr>
            <a:endParaRPr lang="en-US"/>
          </a:p>
        </c:txPr>
        <c:crossAx val="130147072"/>
        <c:crosses val="autoZero"/>
        <c:crossBetween val="between"/>
      </c:valAx>
    </c:plotArea>
    <c:legend>
      <c:legendPos val="t"/>
      <c:layout>
        <c:manualLayout>
          <c:xMode val="edge"/>
          <c:yMode val="edge"/>
          <c:x val="0.19283549769638877"/>
          <c:y val="0.10056285528542498"/>
          <c:w val="0.26891121022419684"/>
          <c:h val="0.2732405538704221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0615423506351"/>
          <c:y val="6.190251394785997E-2"/>
          <c:w val="0.81325480929315752"/>
          <c:h val="0.80162524905012333"/>
        </c:manualLayout>
      </c:layout>
      <c:lineChart>
        <c:grouping val="standard"/>
        <c:varyColors val="0"/>
        <c:ser>
          <c:idx val="4"/>
          <c:order val="0"/>
          <c:tx>
            <c:strRef>
              <c:f>Summary!$B$813</c:f>
              <c:strCache>
                <c:ptCount val="1"/>
                <c:pt idx="0">
                  <c:v>2x200 (400G-SR8)</c:v>
                </c:pt>
              </c:strCache>
            </c:strRef>
          </c:tx>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Summary!$H$813:$N$813</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9FA8-EB42-B351-4C0ACF768605}"/>
            </c:ext>
          </c:extLst>
        </c:ser>
        <c:ser>
          <c:idx val="2"/>
          <c:order val="1"/>
          <c:tx>
            <c:strRef>
              <c:f>Summary!$B$814</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Summary!$H$814:$N$814</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28FB-3C42-9AE7-8CFF292F800D}"/>
            </c:ext>
          </c:extLst>
        </c:ser>
        <c:ser>
          <c:idx val="0"/>
          <c:order val="2"/>
          <c:tx>
            <c:strRef>
              <c:f>Summary!$B$815</c:f>
              <c:strCache>
                <c:ptCount val="1"/>
                <c:pt idx="0">
                  <c:v>400G DR4</c:v>
                </c:pt>
              </c:strCache>
            </c:strRef>
          </c:tx>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Summary!$H$815:$N$815</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28FB-3C42-9AE7-8CFF292F800D}"/>
            </c:ext>
          </c:extLst>
        </c:ser>
        <c:ser>
          <c:idx val="5"/>
          <c:order val="3"/>
          <c:tx>
            <c:strRef>
              <c:f>Summary!$B$816</c:f>
              <c:strCache>
                <c:ptCount val="1"/>
                <c:pt idx="0">
                  <c:v>2x(200G FR4)</c:v>
                </c:pt>
              </c:strCache>
            </c:strRef>
          </c:tx>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Summary!$H$816:$N$816</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9FA8-EB42-B351-4C0ACF768605}"/>
            </c:ext>
          </c:extLst>
        </c:ser>
        <c:ser>
          <c:idx val="1"/>
          <c:order val="4"/>
          <c:tx>
            <c:strRef>
              <c:f>Summary!$B$817</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Summary!$H$817:$N$817</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28FB-3C42-9AE7-8CFF292F800D}"/>
            </c:ext>
          </c:extLst>
        </c:ser>
        <c:ser>
          <c:idx val="3"/>
          <c:order val="5"/>
          <c:tx>
            <c:strRef>
              <c:f>Summary!$B$818</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Summary!$H$812:$N$812</c:f>
              <c:numCache>
                <c:formatCode>General</c:formatCode>
                <c:ptCount val="7"/>
                <c:pt idx="0">
                  <c:v>2021</c:v>
                </c:pt>
                <c:pt idx="1">
                  <c:v>2022</c:v>
                </c:pt>
                <c:pt idx="2">
                  <c:v>2023</c:v>
                </c:pt>
                <c:pt idx="3">
                  <c:v>2024</c:v>
                </c:pt>
                <c:pt idx="4">
                  <c:v>2025</c:v>
                </c:pt>
                <c:pt idx="5">
                  <c:v>2026</c:v>
                </c:pt>
                <c:pt idx="6">
                  <c:v>2027</c:v>
                </c:pt>
              </c:numCache>
            </c:numRef>
          </c:cat>
          <c:val>
            <c:numRef>
              <c:f>Summary!$H$818:$N$818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3-28FB-3C42-9AE7-8CFF292F800D}"/>
            </c:ext>
          </c:extLst>
        </c:ser>
        <c:dLbls>
          <c:showLegendKey val="0"/>
          <c:showVal val="0"/>
          <c:showCatName val="0"/>
          <c:showSerName val="0"/>
          <c:showPercent val="0"/>
          <c:showBubbleSize val="0"/>
        </c:dLbls>
        <c:marker val="1"/>
        <c:smooth val="0"/>
        <c:axId val="130212224"/>
        <c:axId val="130214144"/>
      </c:lineChart>
      <c:catAx>
        <c:axId val="130212224"/>
        <c:scaling>
          <c:orientation val="minMax"/>
        </c:scaling>
        <c:delete val="0"/>
        <c:axPos val="b"/>
        <c:numFmt formatCode="General" sourceLinked="1"/>
        <c:majorTickMark val="out"/>
        <c:minorTickMark val="none"/>
        <c:tickLblPos val="nextTo"/>
        <c:txPr>
          <a:bodyPr/>
          <a:lstStyle/>
          <a:p>
            <a:pPr>
              <a:defRPr sz="1000"/>
            </a:pPr>
            <a:endParaRPr lang="en-US"/>
          </a:p>
        </c:txPr>
        <c:crossAx val="130214144"/>
        <c:crosses val="autoZero"/>
        <c:auto val="1"/>
        <c:lblAlgn val="ctr"/>
        <c:lblOffset val="100"/>
        <c:noMultiLvlLbl val="0"/>
      </c:catAx>
      <c:valAx>
        <c:axId val="130214144"/>
        <c:scaling>
          <c:orientation val="minMax"/>
          <c:max val="3000"/>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0212224"/>
        <c:crosses val="autoZero"/>
        <c:crossBetween val="between"/>
        <c:majorUnit val="1000"/>
      </c:valAx>
    </c:plotArea>
    <c:legend>
      <c:legendPos val="t"/>
      <c:layout>
        <c:manualLayout>
          <c:xMode val="edge"/>
          <c:yMode val="edge"/>
          <c:x val="0.67592147069466701"/>
          <c:y val="5.7086161098234174E-2"/>
          <c:w val="0.27979222610853038"/>
          <c:h val="0.482680053821502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4"/>
          <c:order val="0"/>
          <c:tx>
            <c:strRef>
              <c:f>Summary!$B$824</c:f>
              <c:strCache>
                <c:ptCount val="1"/>
                <c:pt idx="0">
                  <c:v>2x200 (400G-SR8)</c:v>
                </c:pt>
              </c:strCache>
            </c:strRef>
          </c:tx>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Summary!$E$824:$N$824</c:f>
              <c:numCache>
                <c:formatCode>_("$"* #,##0_);_("$"* \(#,##0\);_("$"* "-"??_);_(@_)</c:formatCode>
                <c:ptCount val="10"/>
                <c:pt idx="0">
                  <c:v>14.811999999999999</c:v>
                </c:pt>
              </c:numCache>
            </c:numRef>
          </c:val>
          <c:smooth val="0"/>
          <c:extLst>
            <c:ext xmlns:c16="http://schemas.microsoft.com/office/drawing/2014/chart" uri="{C3380CC4-5D6E-409C-BE32-E72D297353CC}">
              <c16:uniqueId val="{00000000-E28E-6349-9E2D-3ACD9D65BFDB}"/>
            </c:ext>
          </c:extLst>
        </c:ser>
        <c:ser>
          <c:idx val="2"/>
          <c:order val="1"/>
          <c:tx>
            <c:strRef>
              <c:f>Summary!$B$825</c:f>
              <c:strCache>
                <c:ptCount val="1"/>
                <c:pt idx="0">
                  <c:v>400G SR4.2</c:v>
                </c:pt>
              </c:strCache>
            </c:strRef>
          </c:tx>
          <c:spPr>
            <a:ln>
              <a:solidFill>
                <a:schemeClr val="accent2"/>
              </a:solidFill>
            </a:ln>
          </c:spPr>
          <c:marker>
            <c:spPr>
              <a:solidFill>
                <a:schemeClr val="accent2"/>
              </a:solidFill>
              <a:ln>
                <a:solidFill>
                  <a:schemeClr val="accent2"/>
                </a:solidFill>
              </a:ln>
            </c:spPr>
          </c:marker>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Summary!$E$825:$N$825</c:f>
              <c:numCache>
                <c:formatCode>_("$"* #,##0_);_("$"* \(#,##0\);_("$"* "-"??_);_(@_)</c:formatCode>
                <c:ptCount val="10"/>
                <c:pt idx="0">
                  <c:v>0</c:v>
                </c:pt>
              </c:numCache>
            </c:numRef>
          </c:val>
          <c:smooth val="0"/>
          <c:extLst>
            <c:ext xmlns:c16="http://schemas.microsoft.com/office/drawing/2014/chart" uri="{C3380CC4-5D6E-409C-BE32-E72D297353CC}">
              <c16:uniqueId val="{00000000-5A8F-0344-B2CD-C518500A5542}"/>
            </c:ext>
          </c:extLst>
        </c:ser>
        <c:ser>
          <c:idx val="0"/>
          <c:order val="2"/>
          <c:tx>
            <c:strRef>
              <c:f>Summary!$B$826</c:f>
              <c:strCache>
                <c:ptCount val="1"/>
                <c:pt idx="0">
                  <c:v>400G DR4</c:v>
                </c:pt>
              </c:strCache>
            </c:strRef>
          </c:tx>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Summary!$E$826:$N$826</c:f>
              <c:numCache>
                <c:formatCode>_("$"* #,##0_);_("$"* \(#,##0\);_("$"* "-"??_);_(@_)</c:formatCode>
                <c:ptCount val="10"/>
                <c:pt idx="0">
                  <c:v>2.2000000000000002</c:v>
                </c:pt>
              </c:numCache>
            </c:numRef>
          </c:val>
          <c:smooth val="0"/>
          <c:extLst>
            <c:ext xmlns:c16="http://schemas.microsoft.com/office/drawing/2014/chart" uri="{C3380CC4-5D6E-409C-BE32-E72D297353CC}">
              <c16:uniqueId val="{00000001-5A8F-0344-B2CD-C518500A5542}"/>
            </c:ext>
          </c:extLst>
        </c:ser>
        <c:ser>
          <c:idx val="5"/>
          <c:order val="3"/>
          <c:tx>
            <c:strRef>
              <c:f>Summary!$B$827</c:f>
              <c:strCache>
                <c:ptCount val="1"/>
                <c:pt idx="0">
                  <c:v>2x(200G FR4)</c:v>
                </c:pt>
              </c:strCache>
            </c:strRef>
          </c:tx>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Summary!$E$827:$N$827</c:f>
              <c:numCache>
                <c:formatCode>_("$"* #,##0_);_("$"* \(#,##0\);_("$"* "-"??_);_(@_)</c:formatCode>
                <c:ptCount val="10"/>
                <c:pt idx="0">
                  <c:v>22.2</c:v>
                </c:pt>
              </c:numCache>
            </c:numRef>
          </c:val>
          <c:smooth val="0"/>
          <c:extLst>
            <c:ext xmlns:c16="http://schemas.microsoft.com/office/drawing/2014/chart" uri="{C3380CC4-5D6E-409C-BE32-E72D297353CC}">
              <c16:uniqueId val="{00000001-E28E-6349-9E2D-3ACD9D65BFDB}"/>
            </c:ext>
          </c:extLst>
        </c:ser>
        <c:ser>
          <c:idx val="1"/>
          <c:order val="4"/>
          <c:tx>
            <c:strRef>
              <c:f>Summary!$B$828</c:f>
              <c:strCache>
                <c:ptCount val="1"/>
                <c:pt idx="0">
                  <c:v>400G FR4</c:v>
                </c:pt>
              </c:strCache>
            </c:strRef>
          </c:tx>
          <c:spPr>
            <a:ln>
              <a:solidFill>
                <a:schemeClr val="accent4"/>
              </a:solidFill>
            </a:ln>
          </c:spPr>
          <c:marker>
            <c:spPr>
              <a:solidFill>
                <a:schemeClr val="accent4"/>
              </a:solidFill>
              <a:ln>
                <a:solidFill>
                  <a:schemeClr val="accent4"/>
                </a:solidFill>
              </a:ln>
            </c:spPr>
          </c:marker>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Summary!$E$828:$N$828</c:f>
              <c:numCache>
                <c:formatCode>_("$"* #,##0_);_("$"* \(#,##0\);_("$"* "-"??_);_(@_)</c:formatCode>
                <c:ptCount val="10"/>
                <c:pt idx="0">
                  <c:v>2</c:v>
                </c:pt>
              </c:numCache>
            </c:numRef>
          </c:val>
          <c:smooth val="0"/>
          <c:extLst>
            <c:ext xmlns:c16="http://schemas.microsoft.com/office/drawing/2014/chart" uri="{C3380CC4-5D6E-409C-BE32-E72D297353CC}">
              <c16:uniqueId val="{00000002-5A8F-0344-B2CD-C518500A5542}"/>
            </c:ext>
          </c:extLst>
        </c:ser>
        <c:ser>
          <c:idx val="3"/>
          <c:order val="5"/>
          <c:tx>
            <c:strRef>
              <c:f>Summary!$B$829</c:f>
              <c:strCache>
                <c:ptCount val="1"/>
                <c:pt idx="0">
                  <c:v>400G LR8, LR4</c:v>
                </c:pt>
              </c:strCache>
            </c:strRef>
          </c:tx>
          <c:spPr>
            <a:ln>
              <a:solidFill>
                <a:schemeClr val="accent3"/>
              </a:solidFill>
            </a:ln>
          </c:spPr>
          <c:marker>
            <c:symbol val="x"/>
            <c:size val="5"/>
            <c:spPr>
              <a:solidFill>
                <a:schemeClr val="accent3"/>
              </a:solidFill>
              <a:ln>
                <a:solidFill>
                  <a:schemeClr val="accent3"/>
                </a:solidFill>
              </a:ln>
            </c:spPr>
          </c:marker>
          <c:cat>
            <c:numRef>
              <c:f>Summary!$E$823:$N$823</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Summary!$E$829:$N$829</c:f>
              <c:numCache>
                <c:formatCode>_("$"* #,##0_);_("$"* \(#,##0\);_("$"* "-"??_);_(@_)</c:formatCode>
                <c:ptCount val="10"/>
                <c:pt idx="0">
                  <c:v>8</c:v>
                </c:pt>
              </c:numCache>
            </c:numRef>
          </c:val>
          <c:smooth val="0"/>
          <c:extLst>
            <c:ext xmlns:c16="http://schemas.microsoft.com/office/drawing/2014/chart" uri="{C3380CC4-5D6E-409C-BE32-E72D297353CC}">
              <c16:uniqueId val="{00000003-5A8F-0344-B2CD-C518500A5542}"/>
            </c:ext>
          </c:extLst>
        </c:ser>
        <c:dLbls>
          <c:showLegendKey val="0"/>
          <c:showVal val="0"/>
          <c:showCatName val="0"/>
          <c:showSerName val="0"/>
          <c:showPercent val="0"/>
          <c:showBubbleSize val="0"/>
        </c:dLbls>
        <c:marker val="1"/>
        <c:smooth val="0"/>
        <c:axId val="130253184"/>
        <c:axId val="130255104"/>
      </c:lineChart>
      <c:catAx>
        <c:axId val="130253184"/>
        <c:scaling>
          <c:orientation val="minMax"/>
        </c:scaling>
        <c:delete val="0"/>
        <c:axPos val="b"/>
        <c:numFmt formatCode="General" sourceLinked="1"/>
        <c:majorTickMark val="out"/>
        <c:minorTickMark val="none"/>
        <c:tickLblPos val="nextTo"/>
        <c:txPr>
          <a:bodyPr/>
          <a:lstStyle/>
          <a:p>
            <a:pPr>
              <a:defRPr sz="1000"/>
            </a:pPr>
            <a:endParaRPr lang="en-US"/>
          </a:p>
        </c:txPr>
        <c:crossAx val="130255104"/>
        <c:crosses val="autoZero"/>
        <c:auto val="1"/>
        <c:lblAlgn val="ctr"/>
        <c:lblOffset val="100"/>
        <c:noMultiLvlLbl val="0"/>
      </c:catAx>
      <c:valAx>
        <c:axId val="130255104"/>
        <c:scaling>
          <c:orientation val="minMax"/>
        </c:scaling>
        <c:delete val="0"/>
        <c:axPos val="l"/>
        <c:majorGridlines/>
        <c:title>
          <c:tx>
            <c:rich>
              <a:bodyPr rot="-5400000" vert="horz"/>
              <a:lstStyle/>
              <a:p>
                <a:pPr>
                  <a:defRPr sz="1400" b="1"/>
                </a:pPr>
                <a:r>
                  <a:rPr lang="en-US" sz="1400" b="1"/>
                  <a:t>Annual sales ($ mn)</a:t>
                </a:r>
              </a:p>
            </c:rich>
          </c:tx>
          <c:overlay val="0"/>
        </c:title>
        <c:numFmt formatCode="&quot;$&quot;#,##0" sourceLinked="0"/>
        <c:majorTickMark val="out"/>
        <c:minorTickMark val="none"/>
        <c:tickLblPos val="nextTo"/>
        <c:txPr>
          <a:bodyPr/>
          <a:lstStyle/>
          <a:p>
            <a:pPr>
              <a:defRPr sz="1000"/>
            </a:pPr>
            <a:endParaRPr lang="en-US"/>
          </a:p>
        </c:txPr>
        <c:crossAx val="130253184"/>
        <c:crosses val="autoZero"/>
        <c:crossBetween val="between"/>
      </c:valAx>
    </c:plotArea>
    <c:legend>
      <c:legendPos val="t"/>
      <c:layout>
        <c:manualLayout>
          <c:xMode val="edge"/>
          <c:yMode val="edge"/>
          <c:x val="0.16027562109691451"/>
          <c:y val="6.7775774116052359E-2"/>
          <c:w val="0.27676130690615952"/>
          <c:h val="0.48163241677570939"/>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6146186160264"/>
          <c:y val="6.0951673434733837E-2"/>
          <c:w val="0.80031733337751831"/>
          <c:h val="0.80981094264192022"/>
        </c:manualLayout>
      </c:layout>
      <c:lineChart>
        <c:grouping val="standard"/>
        <c:varyColors val="0"/>
        <c:ser>
          <c:idx val="2"/>
          <c:order val="0"/>
          <c:tx>
            <c:strRef>
              <c:f>Summary!$B$767</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Summary!$E$766:$N$766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Summary!$E$767:$N$767</c:f>
              <c:numCache>
                <c:formatCode>_("$"* #,##0_);_("$"* \(#,##0\);_("$"* "-"??_);_(@_)</c:formatCode>
                <c:ptCount val="10"/>
                <c:pt idx="0">
                  <c:v>700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A4F2-C741-96FE-00D9A2EBDED0}"/>
            </c:ext>
          </c:extLst>
        </c:ser>
        <c:ser>
          <c:idx val="3"/>
          <c:order val="1"/>
          <c:tx>
            <c:strRef>
              <c:f>Summary!$B$768</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Summary!$E$766:$N$766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Summary!$E$768:$N$768</c:f>
              <c:numCache>
                <c:formatCode>_("$"* #,##0_);_("$"* \(#,##0\);_("$"* "-"??_);_(@_)</c:formatCode>
                <c:ptCount val="10"/>
                <c:pt idx="0">
                  <c:v>1500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A4F2-C741-96FE-00D9A2EBDED0}"/>
            </c:ext>
          </c:extLst>
        </c:ser>
        <c:dLbls>
          <c:showLegendKey val="0"/>
          <c:showVal val="0"/>
          <c:showCatName val="0"/>
          <c:showSerName val="0"/>
          <c:showPercent val="0"/>
          <c:showBubbleSize val="0"/>
        </c:dLbls>
        <c:marker val="1"/>
        <c:smooth val="0"/>
        <c:axId val="130272640"/>
        <c:axId val="130811392"/>
      </c:lineChart>
      <c:catAx>
        <c:axId val="130272640"/>
        <c:scaling>
          <c:orientation val="minMax"/>
        </c:scaling>
        <c:delete val="0"/>
        <c:axPos val="b"/>
        <c:numFmt formatCode="General" sourceLinked="1"/>
        <c:majorTickMark val="out"/>
        <c:minorTickMark val="none"/>
        <c:tickLblPos val="nextTo"/>
        <c:txPr>
          <a:bodyPr/>
          <a:lstStyle/>
          <a:p>
            <a:pPr>
              <a:defRPr sz="1000"/>
            </a:pPr>
            <a:endParaRPr lang="en-US"/>
          </a:p>
        </c:txPr>
        <c:crossAx val="130811392"/>
        <c:crosses val="autoZero"/>
        <c:auto val="1"/>
        <c:lblAlgn val="ctr"/>
        <c:lblOffset val="100"/>
        <c:noMultiLvlLbl val="0"/>
      </c:catAx>
      <c:valAx>
        <c:axId val="130811392"/>
        <c:scaling>
          <c:orientation val="minMax"/>
          <c:max val="2000"/>
          <c:min val="0"/>
        </c:scaling>
        <c:delete val="0"/>
        <c:axPos val="l"/>
        <c:majorGridlines/>
        <c:title>
          <c:tx>
            <c:rich>
              <a:bodyPr rot="-5400000" vert="horz"/>
              <a:lstStyle/>
              <a:p>
                <a:pPr>
                  <a:defRPr sz="1400"/>
                </a:pPr>
                <a:r>
                  <a:rPr lang="en-US" sz="1400"/>
                  <a:t>A.S.P.s</a:t>
                </a:r>
              </a:p>
            </c:rich>
          </c:tx>
          <c:layout>
            <c:manualLayout>
              <c:xMode val="edge"/>
              <c:yMode val="edge"/>
              <c:x val="1.5598858447983664E-2"/>
              <c:y val="0.34825786054640484"/>
            </c:manualLayout>
          </c:layout>
          <c:overlay val="0"/>
        </c:title>
        <c:numFmt formatCode="&quot;$&quot;#,##0" sourceLinked="0"/>
        <c:majorTickMark val="out"/>
        <c:minorTickMark val="none"/>
        <c:tickLblPos val="nextTo"/>
        <c:txPr>
          <a:bodyPr/>
          <a:lstStyle/>
          <a:p>
            <a:pPr>
              <a:defRPr sz="1000"/>
            </a:pPr>
            <a:endParaRPr lang="en-US"/>
          </a:p>
        </c:txPr>
        <c:crossAx val="130272640"/>
        <c:crosses val="autoZero"/>
        <c:crossBetween val="between"/>
      </c:valAx>
    </c:plotArea>
    <c:legend>
      <c:legendPos val="t"/>
      <c:layout>
        <c:manualLayout>
          <c:xMode val="edge"/>
          <c:yMode val="edge"/>
          <c:x val="0.54438731796011863"/>
          <c:y val="7.8414044769539726E-2"/>
          <c:w val="0.41814267641708136"/>
          <c:h val="0.170369316898427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72379328255714"/>
          <c:y val="6.973302069610951E-2"/>
          <c:w val="0.8289118183053803"/>
          <c:h val="0.80479041220011782"/>
        </c:manualLayout>
      </c:layout>
      <c:lineChart>
        <c:grouping val="standard"/>
        <c:varyColors val="0"/>
        <c:ser>
          <c:idx val="2"/>
          <c:order val="0"/>
          <c:tx>
            <c:strRef>
              <c:f>Summary!$B$773</c:f>
              <c:strCache>
                <c:ptCount val="1"/>
                <c:pt idx="0">
                  <c:v>200G SR4</c:v>
                </c:pt>
              </c:strCache>
            </c:strRef>
          </c:tx>
          <c:spPr>
            <a:ln>
              <a:solidFill>
                <a:schemeClr val="accent2"/>
              </a:solidFill>
            </a:ln>
          </c:spPr>
          <c:marker>
            <c:spPr>
              <a:solidFill>
                <a:schemeClr val="accent2"/>
              </a:solidFill>
              <a:ln>
                <a:solidFill>
                  <a:schemeClr val="accent2"/>
                </a:solidFill>
              </a:ln>
            </c:spPr>
          </c:marker>
          <c:cat>
            <c:numRef>
              <c:f>Summary!$E$772:$N$772</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Summary!$E$773:$N$773</c:f>
              <c:numCache>
                <c:formatCode>_("$"* #,##0_);_("$"* \(#,##0\);_("$"* "-"??_);_(@_)</c:formatCode>
                <c:ptCount val="10"/>
                <c:pt idx="0" formatCode="_(&quot;$&quot;* #,##0.0_);_(&quot;$&quot;* \(#,##0.0\);_(&quot;$&quot;* &quot;-&quot;??_);_(@_)">
                  <c:v>0.35</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C63-CF4F-A7FF-3AD7FC68B5AA}"/>
            </c:ext>
          </c:extLst>
        </c:ser>
        <c:ser>
          <c:idx val="3"/>
          <c:order val="1"/>
          <c:tx>
            <c:strRef>
              <c:f>Summary!$B$774</c:f>
              <c:strCache>
                <c:ptCount val="1"/>
                <c:pt idx="0">
                  <c:v>200G FR4</c:v>
                </c:pt>
              </c:strCache>
            </c:strRef>
          </c:tx>
          <c:spPr>
            <a:ln>
              <a:solidFill>
                <a:schemeClr val="accent4"/>
              </a:solidFill>
            </a:ln>
          </c:spPr>
          <c:marker>
            <c:spPr>
              <a:solidFill>
                <a:schemeClr val="accent4"/>
              </a:solidFill>
              <a:ln>
                <a:solidFill>
                  <a:schemeClr val="accent4"/>
                </a:solidFill>
              </a:ln>
            </c:spPr>
          </c:marker>
          <c:cat>
            <c:numRef>
              <c:f>Summary!$E$772:$N$772</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Summary!$E$774:$N$774</c:f>
              <c:numCache>
                <c:formatCode>_("$"* #,##0_);_("$"* \(#,##0\);_("$"* "-"??_);_(@_)</c:formatCode>
                <c:ptCount val="10"/>
                <c:pt idx="0">
                  <c:v>0.75</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4C63-CF4F-A7FF-3AD7FC68B5AA}"/>
            </c:ext>
          </c:extLst>
        </c:ser>
        <c:dLbls>
          <c:showLegendKey val="0"/>
          <c:showVal val="0"/>
          <c:showCatName val="0"/>
          <c:showSerName val="0"/>
          <c:showPercent val="0"/>
          <c:showBubbleSize val="0"/>
        </c:dLbls>
        <c:marker val="1"/>
        <c:smooth val="0"/>
        <c:axId val="130845696"/>
        <c:axId val="130860160"/>
      </c:lineChart>
      <c:catAx>
        <c:axId val="130845696"/>
        <c:scaling>
          <c:orientation val="minMax"/>
        </c:scaling>
        <c:delete val="0"/>
        <c:axPos val="b"/>
        <c:numFmt formatCode="General" sourceLinked="1"/>
        <c:majorTickMark val="out"/>
        <c:minorTickMark val="none"/>
        <c:tickLblPos val="nextTo"/>
        <c:txPr>
          <a:bodyPr/>
          <a:lstStyle/>
          <a:p>
            <a:pPr>
              <a:defRPr sz="1200"/>
            </a:pPr>
            <a:endParaRPr lang="en-US"/>
          </a:p>
        </c:txPr>
        <c:crossAx val="130860160"/>
        <c:crosses val="autoZero"/>
        <c:auto val="1"/>
        <c:lblAlgn val="ctr"/>
        <c:lblOffset val="100"/>
        <c:noMultiLvlLbl val="0"/>
      </c:catAx>
      <c:valAx>
        <c:axId val="130860160"/>
        <c:scaling>
          <c:orientation val="minMax"/>
          <c:min val="0"/>
        </c:scaling>
        <c:delete val="0"/>
        <c:axPos val="l"/>
        <c:majorGridlines/>
        <c:title>
          <c:tx>
            <c:rich>
              <a:bodyPr rot="-5400000" vert="horz"/>
              <a:lstStyle/>
              <a:p>
                <a:pPr>
                  <a:defRPr sz="1400" b="1"/>
                </a:pPr>
                <a:r>
                  <a:rPr lang="en-US" sz="1400" b="1"/>
                  <a:t>Annual</a:t>
                </a:r>
                <a:r>
                  <a:rPr lang="en-US" sz="1400" b="1" baseline="0"/>
                  <a:t> sales ($ mn)</a:t>
                </a:r>
              </a:p>
            </c:rich>
          </c:tx>
          <c:layout>
            <c:manualLayout>
              <c:xMode val="edge"/>
              <c:yMode val="edge"/>
              <c:x val="1.0759990422942635E-2"/>
              <c:y val="0.20828817192067209"/>
            </c:manualLayout>
          </c:layout>
          <c:overlay val="0"/>
        </c:title>
        <c:numFmt formatCode="&quot;$&quot;#,##0" sourceLinked="0"/>
        <c:majorTickMark val="out"/>
        <c:minorTickMark val="none"/>
        <c:tickLblPos val="nextTo"/>
        <c:txPr>
          <a:bodyPr/>
          <a:lstStyle/>
          <a:p>
            <a:pPr>
              <a:defRPr sz="1200"/>
            </a:pPr>
            <a:endParaRPr lang="en-US"/>
          </a:p>
        </c:txPr>
        <c:crossAx val="130845696"/>
        <c:crosses val="autoZero"/>
        <c:crossBetween val="between"/>
      </c:valAx>
    </c:plotArea>
    <c:legend>
      <c:legendPos val="t"/>
      <c:layout>
        <c:manualLayout>
          <c:xMode val="edge"/>
          <c:yMode val="edge"/>
          <c:x val="0.17237686337008845"/>
          <c:y val="0.10914755789349502"/>
          <c:w val="0.35163419557859182"/>
          <c:h val="0.16538061910315205"/>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55326037567475"/>
          <c:y val="5.4018998573214502E-2"/>
          <c:w val="0.76592980235172881"/>
          <c:h val="0.84443661907320178"/>
        </c:manualLayout>
      </c:layout>
      <c:barChart>
        <c:barDir val="col"/>
        <c:grouping val="percentStacked"/>
        <c:varyColors val="0"/>
        <c:ser>
          <c:idx val="0"/>
          <c:order val="0"/>
          <c:tx>
            <c:strRef>
              <c:f>Summary!$B$295</c:f>
              <c:strCache>
                <c:ptCount val="1"/>
                <c:pt idx="0">
                  <c:v>&lt;10G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Summary!$C$295:$N$295</c:f>
              <c:numCache>
                <c:formatCode>0%</c:formatCode>
                <c:ptCount val="12"/>
                <c:pt idx="0">
                  <c:v>0.37511818939959324</c:v>
                </c:pt>
                <c:pt idx="1">
                  <c:v>0.2960701521301668</c:v>
                </c:pt>
                <c:pt idx="2">
                  <c:v>0.31133237180725382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FE0-454F-A242-48CB1A2C7A29}"/>
            </c:ext>
          </c:extLst>
        </c:ser>
        <c:ser>
          <c:idx val="1"/>
          <c:order val="1"/>
          <c:tx>
            <c:strRef>
              <c:f>Summary!$B$296</c:f>
              <c:strCache>
                <c:ptCount val="1"/>
                <c:pt idx="0">
                  <c:v>10G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Summary!$C$296:$N$296</c:f>
              <c:numCache>
                <c:formatCode>0%</c:formatCode>
                <c:ptCount val="12"/>
                <c:pt idx="0">
                  <c:v>0.59913931153889233</c:v>
                </c:pt>
                <c:pt idx="1">
                  <c:v>0.62527752748127097</c:v>
                </c:pt>
                <c:pt idx="2">
                  <c:v>0.54530759764729331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BFE0-454F-A242-48CB1A2C7A29}"/>
            </c:ext>
          </c:extLst>
        </c:ser>
        <c:ser>
          <c:idx val="2"/>
          <c:order val="2"/>
          <c:tx>
            <c:strRef>
              <c:f>Summary!$B$297</c:f>
              <c:strCache>
                <c:ptCount val="1"/>
                <c:pt idx="0">
                  <c:v>25G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Summary!$C$297:$N$297</c:f>
              <c:numCache>
                <c:formatCode>0%</c:formatCode>
                <c:ptCount val="12"/>
                <c:pt idx="0">
                  <c:v>2.5742499061514355E-2</c:v>
                </c:pt>
                <c:pt idx="1">
                  <c:v>7.8649983067619847E-2</c:v>
                </c:pt>
                <c:pt idx="2">
                  <c:v>0.13923469058788696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BFE0-454F-A242-48CB1A2C7A29}"/>
            </c:ext>
          </c:extLst>
        </c:ser>
        <c:ser>
          <c:idx val="3"/>
          <c:order val="3"/>
          <c:tx>
            <c:strRef>
              <c:f>Summary!$B$298</c:f>
              <c:strCache>
                <c:ptCount val="1"/>
                <c:pt idx="0">
                  <c:v>50G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Summary!$C$298:$N$298</c:f>
              <c:numCache>
                <c:formatCode>0%</c:formatCode>
                <c:ptCount val="12"/>
                <c:pt idx="0">
                  <c:v>0</c:v>
                </c:pt>
                <c:pt idx="1">
                  <c:v>2.1534867110560769E-6</c:v>
                </c:pt>
                <c:pt idx="2">
                  <c:v>4.0602030108674754E-3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BFE0-454F-A242-48CB1A2C7A29}"/>
            </c:ext>
          </c:extLst>
        </c:ser>
        <c:ser>
          <c:idx val="4"/>
          <c:order val="4"/>
          <c:tx>
            <c:strRef>
              <c:f>Summary!$B$299</c:f>
              <c:strCache>
                <c:ptCount val="1"/>
                <c:pt idx="0">
                  <c:v>100G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Summary!$C$299:$N$299</c:f>
              <c:numCache>
                <c:formatCode>0%</c:formatCode>
                <c:ptCount val="12"/>
                <c:pt idx="0">
                  <c:v>0</c:v>
                </c:pt>
                <c:pt idx="1">
                  <c:v>1.8383423143161633E-7</c:v>
                </c:pt>
                <c:pt idx="2">
                  <c:v>6.5136946698408693E-5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B0B-DE4A-BA78-6B9328B11BC4}"/>
            </c:ext>
          </c:extLst>
        </c:ser>
        <c:ser>
          <c:idx val="5"/>
          <c:order val="5"/>
          <c:tx>
            <c:strRef>
              <c:f>Summary!$B$300</c:f>
              <c:strCache>
                <c:ptCount val="1"/>
                <c:pt idx="0">
                  <c:v>200G</c:v>
                </c:pt>
              </c:strCache>
            </c:strRef>
          </c:tx>
          <c:invertIfNegative val="0"/>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Summary!$C$300:$N$300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4A2-184F-82F5-8B8936AB25E9}"/>
            </c:ext>
          </c:extLst>
        </c:ser>
        <c:dLbls>
          <c:showLegendKey val="0"/>
          <c:showVal val="0"/>
          <c:showCatName val="0"/>
          <c:showSerName val="0"/>
          <c:showPercent val="0"/>
          <c:showBubbleSize val="0"/>
        </c:dLbls>
        <c:gapWidth val="150"/>
        <c:overlap val="100"/>
        <c:axId val="124921728"/>
        <c:axId val="124923264"/>
      </c:barChart>
      <c:catAx>
        <c:axId val="124921728"/>
        <c:scaling>
          <c:orientation val="minMax"/>
        </c:scaling>
        <c:delete val="0"/>
        <c:axPos val="b"/>
        <c:numFmt formatCode="General" sourceLinked="1"/>
        <c:majorTickMark val="out"/>
        <c:minorTickMark val="none"/>
        <c:tickLblPos val="nextTo"/>
        <c:crossAx val="124923264"/>
        <c:crosses val="autoZero"/>
        <c:auto val="1"/>
        <c:lblAlgn val="ctr"/>
        <c:lblOffset val="100"/>
        <c:noMultiLvlLbl val="0"/>
      </c:catAx>
      <c:valAx>
        <c:axId val="124923264"/>
        <c:scaling>
          <c:orientation val="minMax"/>
        </c:scaling>
        <c:delete val="0"/>
        <c:axPos val="l"/>
        <c:majorGridlines/>
        <c:title>
          <c:tx>
            <c:rich>
              <a:bodyPr rot="-5400000" vert="horz"/>
              <a:lstStyle/>
              <a:p>
                <a:pPr>
                  <a:defRPr sz="1400"/>
                </a:pPr>
                <a:r>
                  <a:rPr lang="en-US" sz="1400"/>
                  <a:t>Percentage of annual shipments</a:t>
                </a:r>
              </a:p>
            </c:rich>
          </c:tx>
          <c:layout>
            <c:manualLayout>
              <c:xMode val="edge"/>
              <c:yMode val="edge"/>
              <c:x val="1.1455148517178142E-2"/>
              <c:y val="0.14361602629542083"/>
            </c:manualLayout>
          </c:layout>
          <c:overlay val="0"/>
        </c:title>
        <c:numFmt formatCode="0%" sourceLinked="1"/>
        <c:majorTickMark val="out"/>
        <c:minorTickMark val="none"/>
        <c:tickLblPos val="nextTo"/>
        <c:crossAx val="124921728"/>
        <c:crosses val="autoZero"/>
        <c:crossBetween val="between"/>
      </c:valAx>
    </c:plotArea>
    <c:legend>
      <c:legendPos val="r"/>
      <c:overlay val="0"/>
      <c:spPr>
        <a:solidFill>
          <a:schemeClr val="bg1"/>
        </a:solidFill>
        <a:ln>
          <a:solidFill>
            <a:schemeClr val="tx1"/>
          </a:solidFill>
        </a:ln>
      </c:spPr>
      <c:txPr>
        <a:bodyPr/>
        <a:lstStyle/>
        <a:p>
          <a:pPr>
            <a:defRPr sz="1200"/>
          </a:pPr>
          <a:endParaRPr lang="en-US"/>
        </a:p>
      </c:txPr>
    </c:legend>
    <c:plotVisOnly val="1"/>
    <c:dispBlanksAs val="gap"/>
    <c:showDLblsOverMax val="0"/>
  </c:chart>
  <c:txPr>
    <a:bodyPr/>
    <a:lstStyle/>
    <a:p>
      <a:pPr>
        <a:defRPr sz="11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0198147503432"/>
          <c:y val="4.1806643807077118E-2"/>
          <c:w val="0.8154383230082296"/>
          <c:h val="0.87628672050094214"/>
        </c:manualLayout>
      </c:layout>
      <c:lineChart>
        <c:grouping val="standard"/>
        <c:varyColors val="0"/>
        <c:ser>
          <c:idx val="0"/>
          <c:order val="0"/>
          <c:tx>
            <c:strRef>
              <c:f>Summary!$B$676</c:f>
              <c:strCache>
                <c:ptCount val="1"/>
                <c:pt idx="0">
                  <c:v>100G PSM4_500 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Summary!$C$676:$N$676</c:f>
              <c:numCache>
                <c:formatCode>_("$"* #,##0_);_("$"* \(#,##0\);_("$"* "-"??_);_(@_)</c:formatCode>
                <c:ptCount val="12"/>
                <c:pt idx="0">
                  <c:v>67.773890240000014</c:v>
                </c:pt>
                <c:pt idx="1">
                  <c:v>158.09400299999999</c:v>
                </c:pt>
                <c:pt idx="2">
                  <c:v>96.70092799999999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EA6-BF44-B2F8-6D059DB7EF7D}"/>
            </c:ext>
          </c:extLst>
        </c:ser>
        <c:ser>
          <c:idx val="1"/>
          <c:order val="1"/>
          <c:tx>
            <c:strRef>
              <c:f>Summary!$B$677</c:f>
              <c:strCache>
                <c:ptCount val="1"/>
                <c:pt idx="0">
                  <c:v>100G DR_500m_QSFP28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Summary!$C$677:$N$677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EA6-BF44-B2F8-6D059DB7EF7D}"/>
            </c:ext>
          </c:extLst>
        </c:ser>
        <c:ser>
          <c:idx val="2"/>
          <c:order val="2"/>
          <c:tx>
            <c:strRef>
              <c:f>Summary!$B$678</c:f>
              <c:strCache>
                <c:ptCount val="1"/>
                <c:pt idx="0">
                  <c:v>100G CWDM4-subspec_500 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Summary!$C$678:$N$678</c:f>
              <c:numCache>
                <c:formatCode>_("$"* #,##0_);_("$"* \(#,##0\);_("$"* "-"??_);_(@_)</c:formatCode>
                <c:ptCount val="12"/>
                <c:pt idx="0">
                  <c:v>55.125374999999998</c:v>
                </c:pt>
                <c:pt idx="1">
                  <c:v>307.53544499999998</c:v>
                </c:pt>
                <c:pt idx="2">
                  <c:v>308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EA6-BF44-B2F8-6D059DB7EF7D}"/>
            </c:ext>
          </c:extLst>
        </c:ser>
        <c:ser>
          <c:idx val="3"/>
          <c:order val="3"/>
          <c:tx>
            <c:strRef>
              <c:f>Summary!$B$679</c:f>
              <c:strCache>
                <c:ptCount val="1"/>
                <c:pt idx="0">
                  <c:v>100G CWDM4_2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Summary!$C$679:$N$679</c:f>
              <c:numCache>
                <c:formatCode>_("$"* #,##0_);_("$"* \(#,##0\);_("$"* "-"??_);_(@_)</c:formatCode>
                <c:ptCount val="12"/>
                <c:pt idx="0">
                  <c:v>25.566254999999995</c:v>
                </c:pt>
                <c:pt idx="1">
                  <c:v>190.37908500000003</c:v>
                </c:pt>
                <c:pt idx="2">
                  <c:v>914.48338333333322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EA6-BF44-B2F8-6D059DB7EF7D}"/>
            </c:ext>
          </c:extLst>
        </c:ser>
        <c:ser>
          <c:idx val="4"/>
          <c:order val="4"/>
          <c:tx>
            <c:strRef>
              <c:f>Summary!$B$680</c:f>
              <c:strCache>
                <c:ptCount val="1"/>
                <c:pt idx="0">
                  <c:v>100G FR, DR+_2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Summary!$C$680:$N$680</c:f>
              <c:numCache>
                <c:formatCode>_("$"* #,##0_);_("$"* \(#,##0\);_("$"* "-"??_);_(@_)</c:formatCode>
                <c:ptCount val="12"/>
                <c:pt idx="0">
                  <c:v>0</c:v>
                </c:pt>
                <c:pt idx="1">
                  <c:v>0</c:v>
                </c:pt>
                <c:pt idx="2">
                  <c:v>1.2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2EA6-BF44-B2F8-6D059DB7EF7D}"/>
            </c:ext>
          </c:extLst>
        </c:ser>
        <c:ser>
          <c:idx val="5"/>
          <c:order val="5"/>
          <c:tx>
            <c:strRef>
              <c:f>Summary!$B$681</c:f>
              <c:strCache>
                <c:ptCount val="1"/>
                <c:pt idx="0">
                  <c:v>100G LR4_10 km_CFP</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Summary!$C$681:$N$681</c:f>
              <c:numCache>
                <c:formatCode>_("$"* #,##0_);_("$"* \(#,##0\);_("$"* "-"??_);_(@_)</c:formatCode>
                <c:ptCount val="12"/>
                <c:pt idx="0">
                  <c:v>387.84002208207454</c:v>
                </c:pt>
                <c:pt idx="1">
                  <c:v>186.42675405916248</c:v>
                </c:pt>
                <c:pt idx="2">
                  <c:v>81.455872165940619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2EA6-BF44-B2F8-6D059DB7EF7D}"/>
            </c:ext>
          </c:extLst>
        </c:ser>
        <c:ser>
          <c:idx val="6"/>
          <c:order val="6"/>
          <c:tx>
            <c:strRef>
              <c:f>Summary!$B$682</c:f>
              <c:strCache>
                <c:ptCount val="1"/>
                <c:pt idx="0">
                  <c:v>100G LR4_10 km_CFP2/4</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Summary!$C$682:$N$682</c:f>
              <c:numCache>
                <c:formatCode>_("$"* #,##0_);_("$"* \(#,##0\);_("$"* "-"??_);_(@_)</c:formatCode>
                <c:ptCount val="12"/>
                <c:pt idx="0">
                  <c:v>265.89292589706986</c:v>
                </c:pt>
                <c:pt idx="1">
                  <c:v>167.37814313065076</c:v>
                </c:pt>
                <c:pt idx="2">
                  <c:v>101.21498299999995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2EA6-BF44-B2F8-6D059DB7EF7D}"/>
            </c:ext>
          </c:extLst>
        </c:ser>
        <c:ser>
          <c:idx val="7"/>
          <c:order val="7"/>
          <c:tx>
            <c:strRef>
              <c:f>Summary!$B$683</c:f>
              <c:strCache>
                <c:ptCount val="1"/>
                <c:pt idx="0">
                  <c:v>100G LR4 and LR1_10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Summary!$C$683:$N$683</c:f>
              <c:numCache>
                <c:formatCode>_("$"* #,##0_);_("$"* \(#,##0\);_("$"* "-"??_);_(@_)</c:formatCode>
                <c:ptCount val="12"/>
                <c:pt idx="0">
                  <c:v>175.29210971636297</c:v>
                </c:pt>
                <c:pt idx="1">
                  <c:v>434.82240000000002</c:v>
                </c:pt>
                <c:pt idx="2">
                  <c:v>331.77466984830187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2EA6-BF44-B2F8-6D059DB7EF7D}"/>
            </c:ext>
          </c:extLst>
        </c:ser>
        <c:ser>
          <c:idx val="8"/>
          <c:order val="8"/>
          <c:tx>
            <c:strRef>
              <c:f>Summary!$B$684</c:f>
              <c:strCache>
                <c:ptCount val="1"/>
                <c:pt idx="0">
                  <c:v>100G 4WDM10_10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Summary!$C$684:$N$684</c:f>
              <c:numCache>
                <c:formatCode>_("$"* #,##0_);_("$"* \(#,##0\);_("$"* "-"??_);_(@_)</c:formatCode>
                <c:ptCount val="12"/>
                <c:pt idx="0">
                  <c:v>0</c:v>
                </c:pt>
                <c:pt idx="1">
                  <c:v>22.5</c:v>
                </c:pt>
                <c:pt idx="2">
                  <c:v>30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2EA6-BF44-B2F8-6D059DB7EF7D}"/>
            </c:ext>
          </c:extLst>
        </c:ser>
        <c:ser>
          <c:idx val="9"/>
          <c:order val="9"/>
          <c:tx>
            <c:strRef>
              <c:f>Summary!$B$685</c:f>
              <c:strCache>
                <c:ptCount val="1"/>
                <c:pt idx="0">
                  <c:v>100G 4WDM20_20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Summary!$C$685:$N$685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2EA6-BF44-B2F8-6D059DB7EF7D}"/>
            </c:ext>
          </c:extLst>
        </c:ser>
        <c:ser>
          <c:idx val="10"/>
          <c:order val="10"/>
          <c:tx>
            <c:strRef>
              <c:f>Summary!$B$686</c:f>
              <c:strCache>
                <c:ptCount val="1"/>
                <c:pt idx="0">
                  <c:v>100G ER4-Lite_30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Summary!$C$686:$N$686</c:f>
              <c:numCache>
                <c:formatCode>_("$"* #,##0_);_("$"* \(#,##0\);_("$"* "-"??_);_(@_)</c:formatCode>
                <c:ptCount val="12"/>
                <c:pt idx="0">
                  <c:v>0</c:v>
                </c:pt>
                <c:pt idx="1">
                  <c:v>6.9744847890088328</c:v>
                </c:pt>
                <c:pt idx="2">
                  <c:v>18.835366407407406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2EA6-BF44-B2F8-6D059DB7EF7D}"/>
            </c:ext>
          </c:extLst>
        </c:ser>
        <c:ser>
          <c:idx val="11"/>
          <c:order val="11"/>
          <c:tx>
            <c:strRef>
              <c:f>Summary!$B$687</c:f>
              <c:strCache>
                <c:ptCount val="1"/>
                <c:pt idx="0">
                  <c:v>100G ER4_40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Summary!$C$687:$N$687</c:f>
              <c:numCache>
                <c:formatCode>_("$"* #,##0_);_("$"* \(#,##0\);_("$"* "-"??_);_(@_)</c:formatCode>
                <c:ptCount val="12"/>
                <c:pt idx="0">
                  <c:v>67.047039534140794</c:v>
                </c:pt>
                <c:pt idx="1">
                  <c:v>55.219616614611596</c:v>
                </c:pt>
                <c:pt idx="2">
                  <c:v>20.006711803296465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C9F5-4D40-9084-4A4A72DF2CC5}"/>
            </c:ext>
          </c:extLst>
        </c:ser>
        <c:ser>
          <c:idx val="12"/>
          <c:order val="12"/>
          <c:tx>
            <c:strRef>
              <c:f>Summary!$B$688</c:f>
              <c:strCache>
                <c:ptCount val="1"/>
                <c:pt idx="0">
                  <c:v>100G ZR4_80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Summary!$C$688:$N$688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C9F5-4D40-9084-4A4A72DF2CC5}"/>
            </c:ext>
          </c:extLst>
        </c:ser>
        <c:dLbls>
          <c:showLegendKey val="0"/>
          <c:showVal val="0"/>
          <c:showCatName val="0"/>
          <c:showSerName val="0"/>
          <c:showPercent val="0"/>
          <c:showBubbleSize val="0"/>
        </c:dLbls>
        <c:marker val="1"/>
        <c:smooth val="0"/>
        <c:axId val="130949120"/>
        <c:axId val="130950656"/>
      </c:lineChart>
      <c:catAx>
        <c:axId val="130949120"/>
        <c:scaling>
          <c:orientation val="minMax"/>
        </c:scaling>
        <c:delete val="0"/>
        <c:axPos val="b"/>
        <c:numFmt formatCode="General" sourceLinked="1"/>
        <c:majorTickMark val="out"/>
        <c:minorTickMark val="none"/>
        <c:tickLblPos val="nextTo"/>
        <c:crossAx val="130950656"/>
        <c:crosses val="autoZero"/>
        <c:auto val="1"/>
        <c:lblAlgn val="ctr"/>
        <c:lblOffset val="100"/>
        <c:noMultiLvlLbl val="0"/>
      </c:catAx>
      <c:valAx>
        <c:axId val="130950656"/>
        <c:scaling>
          <c:orientation val="minMax"/>
        </c:scaling>
        <c:delete val="0"/>
        <c:axPos val="l"/>
        <c:majorGridlines/>
        <c:title>
          <c:tx>
            <c:rich>
              <a:bodyPr rot="-5400000" vert="horz"/>
              <a:lstStyle/>
              <a:p>
                <a:pPr>
                  <a:defRPr sz="1400"/>
                </a:pPr>
                <a:r>
                  <a:rPr lang="en-US" sz="1400"/>
                  <a:t>Annual sales ($ mn)</a:t>
                </a:r>
              </a:p>
            </c:rich>
          </c:tx>
          <c:overlay val="0"/>
        </c:title>
        <c:numFmt formatCode="&quot;$&quot;#,##0" sourceLinked="0"/>
        <c:majorTickMark val="out"/>
        <c:minorTickMark val="none"/>
        <c:tickLblPos val="nextTo"/>
        <c:crossAx val="130949120"/>
        <c:crosses val="autoZero"/>
        <c:crossBetween val="between"/>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73996124151406"/>
          <c:y val="5.3872467799939351E-2"/>
          <c:w val="0.8490599767601229"/>
          <c:h val="0.86037270873478522"/>
        </c:manualLayout>
      </c:layout>
      <c:barChart>
        <c:barDir val="col"/>
        <c:grouping val="stacked"/>
        <c:varyColors val="0"/>
        <c:ser>
          <c:idx val="8"/>
          <c:order val="0"/>
          <c:tx>
            <c:v>total</c:v>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Summary!$C$148:$N$148</c:f>
              <c:numCache>
                <c:formatCode>_("$"* #,##0_);_("$"* \(#,##0\);_("$"* "-"??_);_(@_)</c:formatCode>
                <c:ptCount val="12"/>
                <c:pt idx="0">
                  <c:v>2687.6154076451867</c:v>
                </c:pt>
                <c:pt idx="1">
                  <c:v>3178.3132920887742</c:v>
                </c:pt>
                <c:pt idx="2">
                  <c:v>3388.0175278135298</c:v>
                </c:pt>
              </c:numCache>
            </c:numRef>
          </c:val>
          <c:extLst>
            <c:ext xmlns:c16="http://schemas.microsoft.com/office/drawing/2014/chart" uri="{C3380CC4-5D6E-409C-BE32-E72D297353CC}">
              <c16:uniqueId val="{00000008-25BD-1C41-99D8-3B2A3EEF05A2}"/>
            </c:ext>
          </c:extLst>
        </c:ser>
        <c:dLbls>
          <c:showLegendKey val="0"/>
          <c:showVal val="0"/>
          <c:showCatName val="0"/>
          <c:showSerName val="0"/>
          <c:showPercent val="0"/>
          <c:showBubbleSize val="0"/>
        </c:dLbls>
        <c:gapWidth val="150"/>
        <c:overlap val="100"/>
        <c:axId val="130975616"/>
        <c:axId val="130977152"/>
      </c:barChart>
      <c:catAx>
        <c:axId val="130975616"/>
        <c:scaling>
          <c:orientation val="minMax"/>
        </c:scaling>
        <c:delete val="0"/>
        <c:axPos val="b"/>
        <c:numFmt formatCode="General" sourceLinked="1"/>
        <c:majorTickMark val="out"/>
        <c:minorTickMark val="none"/>
        <c:tickLblPos val="nextTo"/>
        <c:txPr>
          <a:bodyPr/>
          <a:lstStyle/>
          <a:p>
            <a:pPr>
              <a:defRPr sz="1200"/>
            </a:pPr>
            <a:endParaRPr lang="en-US"/>
          </a:p>
        </c:txPr>
        <c:crossAx val="130977152"/>
        <c:crosses val="autoZero"/>
        <c:auto val="1"/>
        <c:lblAlgn val="ctr"/>
        <c:lblOffset val="100"/>
        <c:noMultiLvlLbl val="0"/>
      </c:catAx>
      <c:valAx>
        <c:axId val="130977152"/>
        <c:scaling>
          <c:orientation val="minMax"/>
          <c:min val="0"/>
        </c:scaling>
        <c:delete val="0"/>
        <c:axPos val="l"/>
        <c:majorGridlines/>
        <c:title>
          <c:tx>
            <c:rich>
              <a:bodyPr/>
              <a:lstStyle/>
              <a:p>
                <a:pPr>
                  <a:defRPr sz="1400"/>
                </a:pPr>
                <a:r>
                  <a:rPr lang="en-US" sz="1400"/>
                  <a:t>Annual</a:t>
                </a:r>
                <a:r>
                  <a:rPr lang="en-US" sz="1400" baseline="0"/>
                  <a:t> s</a:t>
                </a:r>
                <a:r>
                  <a:rPr lang="en-US" sz="1400"/>
                  <a:t>ales ($ mn)</a:t>
                </a:r>
              </a:p>
            </c:rich>
          </c:tx>
          <c:layout>
            <c:manualLayout>
              <c:xMode val="edge"/>
              <c:yMode val="edge"/>
              <c:x val="9.9911751377394064E-3"/>
              <c:y val="0.29108391556769991"/>
            </c:manualLayout>
          </c:layout>
          <c:overlay val="0"/>
        </c:title>
        <c:numFmt formatCode="&quot;$&quot;#,##0" sourceLinked="0"/>
        <c:majorTickMark val="out"/>
        <c:minorTickMark val="none"/>
        <c:tickLblPos val="nextTo"/>
        <c:txPr>
          <a:bodyPr/>
          <a:lstStyle/>
          <a:p>
            <a:pPr>
              <a:defRPr sz="1200"/>
            </a:pPr>
            <a:endParaRPr lang="en-US"/>
          </a:p>
        </c:txPr>
        <c:crossAx val="130975616"/>
        <c:crosses val="autoZero"/>
        <c:crossBetween val="between"/>
      </c:valAx>
    </c:plotArea>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8351949373602"/>
          <c:y val="4.4374689386360654E-2"/>
          <c:w val="0.85792760567452775"/>
          <c:h val="0.86403869827235957"/>
        </c:manualLayout>
      </c:layout>
      <c:barChart>
        <c:barDir val="col"/>
        <c:grouping val="stacked"/>
        <c:varyColors val="0"/>
        <c:ser>
          <c:idx val="0"/>
          <c:order val="0"/>
          <c:tx>
            <c:strRef>
              <c:f>Summary!$B$137</c:f>
              <c:strCache>
                <c:ptCount val="1"/>
                <c:pt idx="0">
                  <c:v>1G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Summary!$C$137:$N$137</c:f>
              <c:numCache>
                <c:formatCode>_("$"* #,##0_);_("$"* \(#,##0\);_("$"* "-"??_);_(@_)</c:formatCode>
                <c:ptCount val="12"/>
                <c:pt idx="0">
                  <c:v>154.16513112975395</c:v>
                </c:pt>
                <c:pt idx="1">
                  <c:v>110.62740763127242</c:v>
                </c:pt>
                <c:pt idx="2">
                  <c:v>131.91376511999999</c:v>
                </c:pt>
              </c:numCache>
            </c:numRef>
          </c:val>
          <c:extLst>
            <c:ext xmlns:c16="http://schemas.microsoft.com/office/drawing/2014/chart" uri="{C3380CC4-5D6E-409C-BE32-E72D297353CC}">
              <c16:uniqueId val="{00000000-FD65-1F4A-9073-3D899F10AD6F}"/>
            </c:ext>
          </c:extLst>
        </c:ser>
        <c:ser>
          <c:idx val="1"/>
          <c:order val="1"/>
          <c:tx>
            <c:strRef>
              <c:f>Summary!$B$138</c:f>
              <c:strCache>
                <c:ptCount val="1"/>
                <c:pt idx="0">
                  <c:v>10G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Summary!$C$138:$N$138</c:f>
              <c:numCache>
                <c:formatCode>_("$"* #,##0_);_("$"* \(#,##0\);_("$"* "-"??_);_(@_)</c:formatCode>
                <c:ptCount val="12"/>
                <c:pt idx="0">
                  <c:v>588.89972784362988</c:v>
                </c:pt>
                <c:pt idx="1">
                  <c:v>486.60483553423245</c:v>
                </c:pt>
                <c:pt idx="2">
                  <c:v>471.41983653865219</c:v>
                </c:pt>
              </c:numCache>
            </c:numRef>
          </c:val>
          <c:extLst>
            <c:ext xmlns:c16="http://schemas.microsoft.com/office/drawing/2014/chart" uri="{C3380CC4-5D6E-409C-BE32-E72D297353CC}">
              <c16:uniqueId val="{00000001-FD65-1F4A-9073-3D899F10AD6F}"/>
            </c:ext>
          </c:extLst>
        </c:ser>
        <c:ser>
          <c:idx val="4"/>
          <c:order val="2"/>
          <c:tx>
            <c:strRef>
              <c:f>Summary!$B$139</c:f>
              <c:strCache>
                <c:ptCount val="1"/>
                <c:pt idx="0">
                  <c:v>25G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Summary!$C$139:$N$139</c:f>
              <c:numCache>
                <c:formatCode>_("$"* #,##0_);_("$"* \(#,##0\);_("$"* "-"??_);_(@_)</c:formatCode>
                <c:ptCount val="12"/>
                <c:pt idx="0" formatCode="_(&quot;$&quot;* #,##0.0_);_(&quot;$&quot;* \(#,##0.0\);_(&quot;$&quot;* &quot;-&quot;??_);_(@_)">
                  <c:v>3.4123060000000001</c:v>
                </c:pt>
                <c:pt idx="1">
                  <c:v>19.187075306914231</c:v>
                </c:pt>
                <c:pt idx="2">
                  <c:v>38.882710120000013</c:v>
                </c:pt>
              </c:numCache>
            </c:numRef>
          </c:val>
          <c:extLst>
            <c:ext xmlns:c16="http://schemas.microsoft.com/office/drawing/2014/chart" uri="{C3380CC4-5D6E-409C-BE32-E72D297353CC}">
              <c16:uniqueId val="{00000002-FD65-1F4A-9073-3D899F10AD6F}"/>
            </c:ext>
          </c:extLst>
        </c:ser>
        <c:ser>
          <c:idx val="2"/>
          <c:order val="3"/>
          <c:tx>
            <c:strRef>
              <c:f>Summary!$B$140</c:f>
              <c:strCache>
                <c:ptCount val="1"/>
                <c:pt idx="0">
                  <c:v>40G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Summary!$C$140:$N$140</c:f>
              <c:numCache>
                <c:formatCode>_("$"* #,##0_);_("$"* \(#,##0\);_("$"* "-"??_);_(@_)</c:formatCode>
                <c:ptCount val="12"/>
                <c:pt idx="0">
                  <c:v>787.93297017215446</c:v>
                </c:pt>
                <c:pt idx="1">
                  <c:v>904.27751564220159</c:v>
                </c:pt>
                <c:pt idx="2">
                  <c:v>539.48394892970373</c:v>
                </c:pt>
              </c:numCache>
            </c:numRef>
          </c:val>
          <c:extLst>
            <c:ext xmlns:c16="http://schemas.microsoft.com/office/drawing/2014/chart" uri="{C3380CC4-5D6E-409C-BE32-E72D297353CC}">
              <c16:uniqueId val="{00000003-FD65-1F4A-9073-3D899F10AD6F}"/>
            </c:ext>
          </c:extLst>
        </c:ser>
        <c:ser>
          <c:idx val="7"/>
          <c:order val="4"/>
          <c:tx>
            <c:strRef>
              <c:f>Summary!$B$141</c:f>
              <c:strCache>
                <c:ptCount val="1"/>
                <c:pt idx="0">
                  <c:v>50G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Summary!$C$141:$N$141</c:f>
              <c:numCache>
                <c:formatCode>_("$"* #,##0_);_("$"* \(#,##0\);_("$"* "-"??_);_(@_)</c:formatCode>
                <c:ptCount val="12"/>
                <c:pt idx="2">
                  <c:v>0</c:v>
                </c:pt>
              </c:numCache>
            </c:numRef>
          </c:val>
          <c:extLst>
            <c:ext xmlns:c16="http://schemas.microsoft.com/office/drawing/2014/chart" uri="{C3380CC4-5D6E-409C-BE32-E72D297353CC}">
              <c16:uniqueId val="{00000004-FD65-1F4A-9073-3D899F10AD6F}"/>
            </c:ext>
          </c:extLst>
        </c:ser>
        <c:ser>
          <c:idx val="3"/>
          <c:order val="5"/>
          <c:tx>
            <c:strRef>
              <c:f>Summary!$B$142</c:f>
              <c:strCache>
                <c:ptCount val="1"/>
                <c:pt idx="0">
                  <c:v>100G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Summary!$C$142:$N$142</c:f>
              <c:numCache>
                <c:formatCode>_("$"* #,##0_);_("$"* \(#,##0\);_("$"* "-"??_);_(@_)</c:formatCode>
                <c:ptCount val="12"/>
                <c:pt idx="0">
                  <c:v>1143.1589634696481</c:v>
                </c:pt>
                <c:pt idx="1">
                  <c:v>1653.9743919741536</c:v>
                </c:pt>
                <c:pt idx="2">
                  <c:v>2155.6052671051739</c:v>
                </c:pt>
              </c:numCache>
            </c:numRef>
          </c:val>
          <c:extLst>
            <c:ext xmlns:c16="http://schemas.microsoft.com/office/drawing/2014/chart" uri="{C3380CC4-5D6E-409C-BE32-E72D297353CC}">
              <c16:uniqueId val="{00000005-FD65-1F4A-9073-3D899F10AD6F}"/>
            </c:ext>
          </c:extLst>
        </c:ser>
        <c:ser>
          <c:idx val="6"/>
          <c:order val="6"/>
          <c:tx>
            <c:strRef>
              <c:f>Summary!$B$143</c:f>
              <c:strCache>
                <c:ptCount val="1"/>
                <c:pt idx="0">
                  <c:v>200G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Summary!$C$143:$N$143</c:f>
              <c:numCache>
                <c:formatCode>_("$"* #,##0.0_);_("$"* \(#,##0.0\);_("$"* "-"??_);_(@_)</c:formatCode>
                <c:ptCount val="12"/>
                <c:pt idx="2" formatCode="_(&quot;$&quot;* #,##0_);_(&quot;$&quot;* \(#,##0\);_(&quot;$&quot;* &quot;-&quot;??_);_(@_)">
                  <c:v>1.1000000000000001</c:v>
                </c:pt>
              </c:numCache>
            </c:numRef>
          </c:val>
          <c:extLst>
            <c:ext xmlns:c16="http://schemas.microsoft.com/office/drawing/2014/chart" uri="{C3380CC4-5D6E-409C-BE32-E72D297353CC}">
              <c16:uniqueId val="{00000006-FD65-1F4A-9073-3D899F10AD6F}"/>
            </c:ext>
          </c:extLst>
        </c:ser>
        <c:ser>
          <c:idx val="5"/>
          <c:order val="7"/>
          <c:tx>
            <c:strRef>
              <c:f>Summary!$B$144</c:f>
              <c:strCache>
                <c:ptCount val="1"/>
                <c:pt idx="0">
                  <c:v>400G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Summary!$C$144:$N$144</c:f>
              <c:numCache>
                <c:formatCode>_("$"* #,##0_);_("$"* \(#,##0\);_("$"* "-"??_);_(@_)</c:formatCode>
                <c:ptCount val="12"/>
                <c:pt idx="1">
                  <c:v>1.3482999999999998</c:v>
                </c:pt>
                <c:pt idx="2">
                  <c:v>49.212000000000003</c:v>
                </c:pt>
              </c:numCache>
            </c:numRef>
          </c:val>
          <c:extLst>
            <c:ext xmlns:c16="http://schemas.microsoft.com/office/drawing/2014/chart" uri="{C3380CC4-5D6E-409C-BE32-E72D297353CC}">
              <c16:uniqueId val="{00000007-FD65-1F4A-9073-3D899F10AD6F}"/>
            </c:ext>
          </c:extLst>
        </c:ser>
        <c:ser>
          <c:idx val="8"/>
          <c:order val="8"/>
          <c:tx>
            <c:strRef>
              <c:f>Summary!$B$145</c:f>
              <c:strCache>
                <c:ptCount val="1"/>
                <c:pt idx="0">
                  <c:v>800G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numCache>
            </c:numRef>
          </c:val>
          <c:extLst>
            <c:ext xmlns:c16="http://schemas.microsoft.com/office/drawing/2014/chart" uri="{C3380CC4-5D6E-409C-BE32-E72D297353CC}">
              <c16:uniqueId val="{00000000-18EA-CD4C-ABF1-D981B606955A}"/>
            </c:ext>
          </c:extLst>
        </c:ser>
        <c:ser>
          <c:idx val="9"/>
          <c:order val="9"/>
          <c:tx>
            <c:strRef>
              <c:f>Summary!$B$146</c:f>
              <c:strCache>
                <c:ptCount val="1"/>
                <c:pt idx="0">
                  <c:v>1.6T</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numCache>
            </c:numRef>
          </c:val>
          <c:extLst>
            <c:ext xmlns:c16="http://schemas.microsoft.com/office/drawing/2014/chart" uri="{C3380CC4-5D6E-409C-BE32-E72D297353CC}">
              <c16:uniqueId val="{00000000-39E1-9143-896B-C13373F03D3B}"/>
            </c:ext>
          </c:extLst>
        </c:ser>
        <c:dLbls>
          <c:showLegendKey val="0"/>
          <c:showVal val="0"/>
          <c:showCatName val="0"/>
          <c:showSerName val="0"/>
          <c:showPercent val="0"/>
          <c:showBubbleSize val="0"/>
        </c:dLbls>
        <c:gapWidth val="150"/>
        <c:overlap val="100"/>
        <c:axId val="131057920"/>
        <c:axId val="131063808"/>
      </c:barChart>
      <c:catAx>
        <c:axId val="131057920"/>
        <c:scaling>
          <c:orientation val="minMax"/>
        </c:scaling>
        <c:delete val="0"/>
        <c:axPos val="b"/>
        <c:numFmt formatCode="General" sourceLinked="1"/>
        <c:majorTickMark val="out"/>
        <c:minorTickMark val="none"/>
        <c:tickLblPos val="nextTo"/>
        <c:txPr>
          <a:bodyPr/>
          <a:lstStyle/>
          <a:p>
            <a:pPr>
              <a:defRPr sz="1200"/>
            </a:pPr>
            <a:endParaRPr lang="en-US"/>
          </a:p>
        </c:txPr>
        <c:crossAx val="131063808"/>
        <c:crosses val="autoZero"/>
        <c:auto val="1"/>
        <c:lblAlgn val="ctr"/>
        <c:lblOffset val="100"/>
        <c:noMultiLvlLbl val="0"/>
      </c:catAx>
      <c:valAx>
        <c:axId val="131063808"/>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31057920"/>
        <c:crosses val="autoZero"/>
        <c:crossBetween val="between"/>
      </c:valAx>
    </c:plotArea>
    <c:legend>
      <c:legendPos val="t"/>
      <c:layout>
        <c:manualLayout>
          <c:xMode val="edge"/>
          <c:yMode val="edge"/>
          <c:x val="0.19525072719406861"/>
          <c:y val="8.8166651213907724E-2"/>
          <c:w val="0.68039092498675824"/>
          <c:h val="7.6888302537067424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15625773674872"/>
          <c:y val="3.8334131910281406E-2"/>
          <c:w val="0.77443754472476678"/>
          <c:h val="0.8490686520143037"/>
        </c:manualLayout>
      </c:layout>
      <c:barChart>
        <c:barDir val="col"/>
        <c:grouping val="stacked"/>
        <c:varyColors val="0"/>
        <c:ser>
          <c:idx val="0"/>
          <c:order val="0"/>
          <c:tx>
            <c:strRef>
              <c:f>Summary!$B$119</c:f>
              <c:strCache>
                <c:ptCount val="1"/>
                <c:pt idx="0">
                  <c:v>1G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13567410.105</c:v>
                </c:pt>
                <c:pt idx="1">
                  <c:v>11273695.050000001</c:v>
                </c:pt>
                <c:pt idx="2">
                  <c:v>14338976</c:v>
                </c:pt>
              </c:numCache>
            </c:numRef>
          </c:val>
          <c:extLst>
            <c:ext xmlns:c16="http://schemas.microsoft.com/office/drawing/2014/chart" uri="{C3380CC4-5D6E-409C-BE32-E72D297353CC}">
              <c16:uniqueId val="{00000000-FFC3-BC43-AD83-EAFEE37073E6}"/>
            </c:ext>
          </c:extLst>
        </c:ser>
        <c:ser>
          <c:idx val="1"/>
          <c:order val="1"/>
          <c:tx>
            <c:strRef>
              <c:f>Summary!$B$120</c:f>
              <c:strCache>
                <c:ptCount val="1"/>
                <c:pt idx="0">
                  <c:v>10G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18516818.93</c:v>
                </c:pt>
                <c:pt idx="1">
                  <c:v>19945022.100000001</c:v>
                </c:pt>
                <c:pt idx="2">
                  <c:v>22017005.100000001</c:v>
                </c:pt>
              </c:numCache>
            </c:numRef>
          </c:val>
          <c:extLst>
            <c:ext xmlns:c16="http://schemas.microsoft.com/office/drawing/2014/chart" uri="{C3380CC4-5D6E-409C-BE32-E72D297353CC}">
              <c16:uniqueId val="{00000001-FFC3-BC43-AD83-EAFEE37073E6}"/>
            </c:ext>
          </c:extLst>
        </c:ser>
        <c:ser>
          <c:idx val="4"/>
          <c:order val="2"/>
          <c:tx>
            <c:strRef>
              <c:f>Summary!$B$121</c:f>
              <c:strCache>
                <c:ptCount val="1"/>
                <c:pt idx="0">
                  <c:v>25G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11694</c:v>
                </c:pt>
                <c:pt idx="1">
                  <c:v>113327</c:v>
                </c:pt>
                <c:pt idx="2">
                  <c:v>375687</c:v>
                </c:pt>
              </c:numCache>
            </c:numRef>
          </c:val>
          <c:extLst>
            <c:ext xmlns:c16="http://schemas.microsoft.com/office/drawing/2014/chart" uri="{C3380CC4-5D6E-409C-BE32-E72D297353CC}">
              <c16:uniqueId val="{00000002-FFC3-BC43-AD83-EAFEE37073E6}"/>
            </c:ext>
          </c:extLst>
        </c:ser>
        <c:ser>
          <c:idx val="2"/>
          <c:order val="3"/>
          <c:tx>
            <c:strRef>
              <c:f>Summary!$B$122</c:f>
              <c:strCache>
                <c:ptCount val="1"/>
                <c:pt idx="0">
                  <c:v>40G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3153068</c:v>
                </c:pt>
                <c:pt idx="1">
                  <c:v>3864160</c:v>
                </c:pt>
                <c:pt idx="2">
                  <c:v>3098123.5</c:v>
                </c:pt>
              </c:numCache>
            </c:numRef>
          </c:val>
          <c:extLst>
            <c:ext xmlns:c16="http://schemas.microsoft.com/office/drawing/2014/chart" uri="{C3380CC4-5D6E-409C-BE32-E72D297353CC}">
              <c16:uniqueId val="{00000003-FFC3-BC43-AD83-EAFEE37073E6}"/>
            </c:ext>
          </c:extLst>
        </c:ser>
        <c:ser>
          <c:idx val="6"/>
          <c:order val="4"/>
          <c:tx>
            <c:strRef>
              <c:f>Summary!$B$123</c:f>
              <c:strCache>
                <c:ptCount val="1"/>
                <c:pt idx="0">
                  <c:v>50G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2">
                  <c:v>0</c:v>
                </c:pt>
              </c:numCache>
            </c:numRef>
          </c:val>
          <c:extLst>
            <c:ext xmlns:c16="http://schemas.microsoft.com/office/drawing/2014/chart" uri="{C3380CC4-5D6E-409C-BE32-E72D297353CC}">
              <c16:uniqueId val="{00000004-FFC3-BC43-AD83-EAFEE37073E6}"/>
            </c:ext>
          </c:extLst>
        </c:ser>
        <c:ser>
          <c:idx val="3"/>
          <c:order val="5"/>
          <c:tx>
            <c:strRef>
              <c:f>Summary!$B$124</c:f>
              <c:strCache>
                <c:ptCount val="1"/>
                <c:pt idx="0">
                  <c:v>100G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919370</c:v>
                </c:pt>
                <c:pt idx="1">
                  <c:v>2881490</c:v>
                </c:pt>
                <c:pt idx="2">
                  <c:v>6187018.7366946787</c:v>
                </c:pt>
              </c:numCache>
            </c:numRef>
          </c:val>
          <c:extLst>
            <c:ext xmlns:c16="http://schemas.microsoft.com/office/drawing/2014/chart" uri="{C3380CC4-5D6E-409C-BE32-E72D297353CC}">
              <c16:uniqueId val="{00000005-FFC3-BC43-AD83-EAFEE37073E6}"/>
            </c:ext>
          </c:extLst>
        </c:ser>
        <c:ser>
          <c:idx val="7"/>
          <c:order val="6"/>
          <c:tx>
            <c:strRef>
              <c:f>Summary!$B$125</c:f>
              <c:strCache>
                <c:ptCount val="1"/>
                <c:pt idx="0">
                  <c:v>200G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2">
                  <c:v>1000</c:v>
                </c:pt>
              </c:numCache>
            </c:numRef>
          </c:val>
          <c:extLst>
            <c:ext xmlns:c16="http://schemas.microsoft.com/office/drawing/2014/chart" uri="{C3380CC4-5D6E-409C-BE32-E72D297353CC}">
              <c16:uniqueId val="{00000006-FFC3-BC43-AD83-EAFEE37073E6}"/>
            </c:ext>
          </c:extLst>
        </c:ser>
        <c:ser>
          <c:idx val="5"/>
          <c:order val="7"/>
          <c:tx>
            <c:strRef>
              <c:f>Summary!$B$126</c:f>
              <c:strCache>
                <c:ptCount val="1"/>
                <c:pt idx="0">
                  <c:v>400G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1">
                  <c:v>89</c:v>
                </c:pt>
                <c:pt idx="2">
                  <c:v>39000</c:v>
                </c:pt>
              </c:numCache>
            </c:numRef>
          </c:val>
          <c:extLst>
            <c:ext xmlns:c16="http://schemas.microsoft.com/office/drawing/2014/chart" uri="{C3380CC4-5D6E-409C-BE32-E72D297353CC}">
              <c16:uniqueId val="{00000007-FFC3-BC43-AD83-EAFEE37073E6}"/>
            </c:ext>
          </c:extLst>
        </c:ser>
        <c:ser>
          <c:idx val="8"/>
          <c:order val="8"/>
          <c:tx>
            <c:strRef>
              <c:f>Summary!$B$127</c:f>
              <c:strCache>
                <c:ptCount val="1"/>
                <c:pt idx="0">
                  <c:v>800G</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numCache>
            </c:numRef>
          </c:val>
          <c:extLst>
            <c:ext xmlns:c16="http://schemas.microsoft.com/office/drawing/2014/chart" uri="{C3380CC4-5D6E-409C-BE32-E72D297353CC}">
              <c16:uniqueId val="{00000000-E283-D14F-A632-754F8EB4891E}"/>
            </c:ext>
          </c:extLst>
        </c:ser>
        <c:ser>
          <c:idx val="9"/>
          <c:order val="9"/>
          <c:tx>
            <c:strRef>
              <c:f>Summary!$B$128</c:f>
              <c:strCache>
                <c:ptCount val="1"/>
                <c:pt idx="0">
                  <c:v>1.6T</c:v>
                </c:pt>
              </c:strCache>
            </c:strRef>
          </c:tx>
          <c:invertIfNegative val="0"/>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numCache>
            </c:numRef>
          </c:val>
          <c:extLst>
            <c:ext xmlns:c16="http://schemas.microsoft.com/office/drawing/2014/chart" uri="{C3380CC4-5D6E-409C-BE32-E72D297353CC}">
              <c16:uniqueId val="{00000000-FDC4-DC47-9718-1E9637B01702}"/>
            </c:ext>
          </c:extLst>
        </c:ser>
        <c:dLbls>
          <c:showLegendKey val="0"/>
          <c:showVal val="0"/>
          <c:showCatName val="0"/>
          <c:showSerName val="0"/>
          <c:showPercent val="0"/>
          <c:showBubbleSize val="0"/>
        </c:dLbls>
        <c:gapWidth val="150"/>
        <c:overlap val="100"/>
        <c:axId val="130587648"/>
        <c:axId val="130601728"/>
      </c:barChart>
      <c:catAx>
        <c:axId val="130587648"/>
        <c:scaling>
          <c:orientation val="minMax"/>
        </c:scaling>
        <c:delete val="0"/>
        <c:axPos val="b"/>
        <c:numFmt formatCode="General" sourceLinked="1"/>
        <c:majorTickMark val="out"/>
        <c:minorTickMark val="none"/>
        <c:tickLblPos val="nextTo"/>
        <c:txPr>
          <a:bodyPr/>
          <a:lstStyle/>
          <a:p>
            <a:pPr>
              <a:defRPr sz="1200"/>
            </a:pPr>
            <a:endParaRPr lang="en-US"/>
          </a:p>
        </c:txPr>
        <c:crossAx val="130601728"/>
        <c:crosses val="autoZero"/>
        <c:auto val="1"/>
        <c:lblAlgn val="ctr"/>
        <c:lblOffset val="100"/>
        <c:noMultiLvlLbl val="0"/>
      </c:catAx>
      <c:valAx>
        <c:axId val="130601728"/>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2.5693500961476497E-2"/>
              <c:y val="0.25022654293800212"/>
            </c:manualLayout>
          </c:layout>
          <c:overlay val="0"/>
        </c:title>
        <c:numFmt formatCode="_(* #,##0_);_(* \(#,##0\);_(* &quot;-&quot;_);_(@_)" sourceLinked="0"/>
        <c:majorTickMark val="out"/>
        <c:minorTickMark val="none"/>
        <c:tickLblPos val="nextTo"/>
        <c:txPr>
          <a:bodyPr/>
          <a:lstStyle/>
          <a:p>
            <a:pPr>
              <a:defRPr sz="1200"/>
            </a:pPr>
            <a:endParaRPr lang="en-US"/>
          </a:p>
        </c:txPr>
        <c:crossAx val="130587648"/>
        <c:crosses val="autoZero"/>
        <c:crossBetween val="between"/>
      </c:valAx>
    </c:plotArea>
    <c:legend>
      <c:legendPos val="t"/>
      <c:layout>
        <c:manualLayout>
          <c:xMode val="edge"/>
          <c:yMode val="edge"/>
          <c:x val="0.21917719475536865"/>
          <c:y val="3.6680285146834531E-2"/>
          <c:w val="0.69690015335440136"/>
          <c:h val="7.936849022627158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75180738459866"/>
          <c:y val="6.0979003054420146E-2"/>
          <c:w val="0.78733439496758928"/>
          <c:h val="0.83064707120677872"/>
        </c:manualLayout>
      </c:layout>
      <c:lineChart>
        <c:grouping val="standard"/>
        <c:varyColors val="0"/>
        <c:ser>
          <c:idx val="0"/>
          <c:order val="0"/>
          <c:tx>
            <c:strRef>
              <c:f>Summary!$B$119</c:f>
              <c:strCache>
                <c:ptCount val="1"/>
                <c:pt idx="0">
                  <c:v>1G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Summary!$C$119:$N$119</c:f>
              <c:numCache>
                <c:formatCode>_(* #,##0_);_(* \(#,##0\);_(* "-"??_);_(@_)</c:formatCode>
                <c:ptCount val="12"/>
                <c:pt idx="0">
                  <c:v>13567410.105</c:v>
                </c:pt>
                <c:pt idx="1">
                  <c:v>11273695.050000001</c:v>
                </c:pt>
                <c:pt idx="2">
                  <c:v>14338976</c:v>
                </c:pt>
              </c:numCache>
            </c:numRef>
          </c:val>
          <c:smooth val="0"/>
          <c:extLst>
            <c:ext xmlns:c16="http://schemas.microsoft.com/office/drawing/2014/chart" uri="{C3380CC4-5D6E-409C-BE32-E72D297353CC}">
              <c16:uniqueId val="{00000000-563D-9542-A559-C232ED949B76}"/>
            </c:ext>
          </c:extLst>
        </c:ser>
        <c:ser>
          <c:idx val="1"/>
          <c:order val="1"/>
          <c:tx>
            <c:strRef>
              <c:f>Summary!$B$120</c:f>
              <c:strCache>
                <c:ptCount val="1"/>
                <c:pt idx="0">
                  <c:v>10G</c:v>
                </c:pt>
              </c:strCache>
            </c:strRef>
          </c:tx>
          <c:marker>
            <c:symbol val="square"/>
            <c:size val="5"/>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Summary!$C$120:$N$120</c:f>
              <c:numCache>
                <c:formatCode>_(* #,##0_);_(* \(#,##0\);_(* "-"??_);_(@_)</c:formatCode>
                <c:ptCount val="12"/>
                <c:pt idx="0">
                  <c:v>18516818.93</c:v>
                </c:pt>
                <c:pt idx="1">
                  <c:v>19945022.100000001</c:v>
                </c:pt>
                <c:pt idx="2">
                  <c:v>22017005.100000001</c:v>
                </c:pt>
              </c:numCache>
            </c:numRef>
          </c:val>
          <c:smooth val="0"/>
          <c:extLst>
            <c:ext xmlns:c16="http://schemas.microsoft.com/office/drawing/2014/chart" uri="{C3380CC4-5D6E-409C-BE32-E72D297353CC}">
              <c16:uniqueId val="{00000001-563D-9542-A559-C232ED949B76}"/>
            </c:ext>
          </c:extLst>
        </c:ser>
        <c:ser>
          <c:idx val="3"/>
          <c:order val="2"/>
          <c:tx>
            <c:strRef>
              <c:f>Summary!$B$124</c:f>
              <c:strCache>
                <c:ptCount val="1"/>
                <c:pt idx="0">
                  <c:v>100G</c:v>
                </c:pt>
              </c:strCache>
            </c:strRef>
          </c:tx>
          <c:marker>
            <c:symbol val="circle"/>
            <c:size val="5"/>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Summary!$C$124:$N$124</c:f>
              <c:numCache>
                <c:formatCode>_(* #,##0_);_(* \(#,##0\);_(* "-"??_);_(@_)</c:formatCode>
                <c:ptCount val="12"/>
                <c:pt idx="0">
                  <c:v>919370</c:v>
                </c:pt>
                <c:pt idx="1">
                  <c:v>2881490</c:v>
                </c:pt>
                <c:pt idx="2">
                  <c:v>6187018.7366946787</c:v>
                </c:pt>
              </c:numCache>
            </c:numRef>
          </c:val>
          <c:smooth val="0"/>
          <c:extLst>
            <c:ext xmlns:c16="http://schemas.microsoft.com/office/drawing/2014/chart" uri="{C3380CC4-5D6E-409C-BE32-E72D297353CC}">
              <c16:uniqueId val="{00000005-563D-9542-A559-C232ED949B76}"/>
            </c:ext>
          </c:extLst>
        </c:ser>
        <c:dLbls>
          <c:showLegendKey val="0"/>
          <c:showVal val="0"/>
          <c:showCatName val="0"/>
          <c:showSerName val="0"/>
          <c:showPercent val="0"/>
          <c:showBubbleSize val="0"/>
        </c:dLbls>
        <c:marker val="1"/>
        <c:smooth val="0"/>
        <c:axId val="130690048"/>
        <c:axId val="130695936"/>
      </c:lineChart>
      <c:catAx>
        <c:axId val="130690048"/>
        <c:scaling>
          <c:orientation val="minMax"/>
        </c:scaling>
        <c:delete val="0"/>
        <c:axPos val="b"/>
        <c:numFmt formatCode="General" sourceLinked="1"/>
        <c:majorTickMark val="out"/>
        <c:minorTickMark val="none"/>
        <c:tickLblPos val="nextTo"/>
        <c:txPr>
          <a:bodyPr/>
          <a:lstStyle/>
          <a:p>
            <a:pPr>
              <a:defRPr sz="1200"/>
            </a:pPr>
            <a:endParaRPr lang="en-US"/>
          </a:p>
        </c:txPr>
        <c:crossAx val="130695936"/>
        <c:crosses val="autoZero"/>
        <c:auto val="1"/>
        <c:lblAlgn val="ctr"/>
        <c:lblOffset val="100"/>
        <c:noMultiLvlLbl val="0"/>
      </c:catAx>
      <c:valAx>
        <c:axId val="130695936"/>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681321678506862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30690048"/>
        <c:crosses val="autoZero"/>
        <c:crossBetween val="between"/>
      </c:valAx>
    </c:plotArea>
    <c:legend>
      <c:legendPos val="t"/>
      <c:layout>
        <c:manualLayout>
          <c:xMode val="edge"/>
          <c:yMode val="edge"/>
          <c:x val="0.21089597351266823"/>
          <c:y val="7.8250856523301798E-2"/>
          <c:w val="0.13842346071518044"/>
          <c:h val="0.2318847340008503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10430821875071"/>
          <c:y val="6.0979003054420146E-2"/>
          <c:w val="0.80098190213161424"/>
          <c:h val="0.83064707120677872"/>
        </c:manualLayout>
      </c:layout>
      <c:lineChart>
        <c:grouping val="standard"/>
        <c:varyColors val="0"/>
        <c:ser>
          <c:idx val="4"/>
          <c:order val="0"/>
          <c:tx>
            <c:strRef>
              <c:f>Summary!$B$121</c:f>
              <c:strCache>
                <c:ptCount val="1"/>
                <c:pt idx="0">
                  <c:v>25G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11694</c:v>
                </c:pt>
                <c:pt idx="1">
                  <c:v>113327</c:v>
                </c:pt>
                <c:pt idx="2">
                  <c:v>375687</c:v>
                </c:pt>
              </c:numCache>
            </c:numRef>
          </c:val>
          <c:smooth val="0"/>
          <c:extLst>
            <c:ext xmlns:c16="http://schemas.microsoft.com/office/drawing/2014/chart" uri="{C3380CC4-5D6E-409C-BE32-E72D297353CC}">
              <c16:uniqueId val="{00000002-563D-9542-A559-C232ED949B76}"/>
            </c:ext>
          </c:extLst>
        </c:ser>
        <c:ser>
          <c:idx val="0"/>
          <c:order val="1"/>
          <c:tx>
            <c:v>40G</c:v>
          </c:tx>
          <c:spPr>
            <a:ln>
              <a:solidFill>
                <a:schemeClr val="accent3"/>
              </a:solidFill>
            </a:ln>
          </c:spPr>
          <c:marker>
            <c:spPr>
              <a:solidFill>
                <a:schemeClr val="accent3"/>
              </a:solidFill>
              <a:ln>
                <a:solidFill>
                  <a:schemeClr val="accent3"/>
                </a:solidFill>
              </a:ln>
            </c:spPr>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3153068</c:v>
                </c:pt>
                <c:pt idx="1">
                  <c:v>3864160</c:v>
                </c:pt>
                <c:pt idx="2">
                  <c:v>3098123.5</c:v>
                </c:pt>
              </c:numCache>
            </c:numRef>
          </c:val>
          <c:smooth val="0"/>
          <c:extLst>
            <c:ext xmlns:c16="http://schemas.microsoft.com/office/drawing/2014/chart" uri="{C3380CC4-5D6E-409C-BE32-E72D297353CC}">
              <c16:uniqueId val="{00000000-9493-EC4F-A833-CE38BE01BC90}"/>
            </c:ext>
          </c:extLst>
        </c:ser>
        <c:ser>
          <c:idx val="6"/>
          <c:order val="2"/>
          <c:tx>
            <c:strRef>
              <c:f>Summary!$B$123</c:f>
              <c:strCache>
                <c:ptCount val="1"/>
                <c:pt idx="0">
                  <c:v>50G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2">
                  <c:v>0</c:v>
                </c:pt>
              </c:numCache>
            </c:numRef>
          </c:val>
          <c:smooth val="0"/>
          <c:extLst>
            <c:ext xmlns:c16="http://schemas.microsoft.com/office/drawing/2014/chart" uri="{C3380CC4-5D6E-409C-BE32-E72D297353CC}">
              <c16:uniqueId val="{00000004-563D-9542-A559-C232ED949B76}"/>
            </c:ext>
          </c:extLst>
        </c:ser>
        <c:ser>
          <c:idx val="7"/>
          <c:order val="3"/>
          <c:tx>
            <c:strRef>
              <c:f>Summary!$B$125</c:f>
              <c:strCache>
                <c:ptCount val="1"/>
                <c:pt idx="0">
                  <c:v>200G</c:v>
                </c:pt>
              </c:strCache>
            </c:strRef>
          </c:tx>
          <c:marker>
            <c:symbol val="plus"/>
            <c:size val="7"/>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Summary!$C$125:$N$125</c:f>
              <c:numCache>
                <c:formatCode>_(* #,##0_);_(* \(#,##0\);_(* "-"??_);_(@_)</c:formatCode>
                <c:ptCount val="12"/>
                <c:pt idx="2">
                  <c:v>1000</c:v>
                </c:pt>
              </c:numCache>
            </c:numRef>
          </c:val>
          <c:smooth val="0"/>
          <c:extLst>
            <c:ext xmlns:c16="http://schemas.microsoft.com/office/drawing/2014/chart" uri="{C3380CC4-5D6E-409C-BE32-E72D297353CC}">
              <c16:uniqueId val="{00000006-563D-9542-A559-C232ED949B76}"/>
            </c:ext>
          </c:extLst>
        </c:ser>
        <c:ser>
          <c:idx val="5"/>
          <c:order val="4"/>
          <c:tx>
            <c:strRef>
              <c:f>Summary!$B$126</c:f>
              <c:strCache>
                <c:ptCount val="1"/>
                <c:pt idx="0">
                  <c:v>400G</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Summary!$C$126:$N$126</c:f>
              <c:numCache>
                <c:formatCode>_(* #,##0_);_(* \(#,##0\);_(* "-"??_);_(@_)</c:formatCode>
                <c:ptCount val="12"/>
                <c:pt idx="1">
                  <c:v>89</c:v>
                </c:pt>
                <c:pt idx="2">
                  <c:v>39000</c:v>
                </c:pt>
              </c:numCache>
            </c:numRef>
          </c:val>
          <c:smooth val="0"/>
          <c:extLst>
            <c:ext xmlns:c16="http://schemas.microsoft.com/office/drawing/2014/chart" uri="{C3380CC4-5D6E-409C-BE32-E72D297353CC}">
              <c16:uniqueId val="{00000007-563D-9542-A559-C232ED949B76}"/>
            </c:ext>
          </c:extLst>
        </c:ser>
        <c:ser>
          <c:idx val="8"/>
          <c:order val="5"/>
          <c:tx>
            <c:strRef>
              <c:f>Summary!$B$127</c:f>
              <c:strCache>
                <c:ptCount val="1"/>
                <c:pt idx="0">
                  <c:v>800G</c:v>
                </c:pt>
              </c:strCache>
            </c:strRef>
          </c:tx>
          <c:spPr>
            <a:ln>
              <a:solidFill>
                <a:srgbClr val="00B050"/>
              </a:solidFill>
            </a:ln>
          </c:spPr>
          <c:marker>
            <c:spPr>
              <a:solidFill>
                <a:srgbClr val="00B050"/>
              </a:solidFill>
              <a:ln>
                <a:solidFill>
                  <a:srgbClr val="00B050"/>
                </a:solidFill>
              </a:ln>
            </c:spPr>
          </c:marker>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Summary!$C$127:$N$127</c:f>
              <c:numCache>
                <c:formatCode>_(* #,##0_);_(* \(#,##0\);_(* "-"??_);_(@_)</c:formatCode>
                <c:ptCount val="12"/>
              </c:numCache>
            </c:numRef>
          </c:val>
          <c:smooth val="0"/>
          <c:extLst>
            <c:ext xmlns:c16="http://schemas.microsoft.com/office/drawing/2014/chart" uri="{C3380CC4-5D6E-409C-BE32-E72D297353CC}">
              <c16:uniqueId val="{00000000-D6E9-C844-9D3A-CB9DAF54EC16}"/>
            </c:ext>
          </c:extLst>
        </c:ser>
        <c:ser>
          <c:idx val="1"/>
          <c:order val="6"/>
          <c:tx>
            <c:strRef>
              <c:f>Summary!$B$128</c:f>
              <c:strCache>
                <c:ptCount val="1"/>
                <c:pt idx="0">
                  <c:v>1.6T</c:v>
                </c:pt>
              </c:strCache>
            </c:strRef>
          </c:tx>
          <c:cat>
            <c:numRef>
              <c:f>Summary!$C$118:$N$118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Summary!$C$128:$N$128</c:f>
              <c:numCache>
                <c:formatCode>_(* #,##0_);_(* \(#,##0\);_(* "-"??_);_(@_)</c:formatCode>
                <c:ptCount val="12"/>
              </c:numCache>
            </c:numRef>
          </c:val>
          <c:smooth val="0"/>
          <c:extLst>
            <c:ext xmlns:c16="http://schemas.microsoft.com/office/drawing/2014/chart" uri="{C3380CC4-5D6E-409C-BE32-E72D297353CC}">
              <c16:uniqueId val="{00000000-D1C5-934B-8D97-4BD73F993D0F}"/>
            </c:ext>
          </c:extLst>
        </c:ser>
        <c:dLbls>
          <c:showLegendKey val="0"/>
          <c:showVal val="0"/>
          <c:showCatName val="0"/>
          <c:showSerName val="0"/>
          <c:showPercent val="0"/>
          <c:showBubbleSize val="0"/>
        </c:dLbls>
        <c:marker val="1"/>
        <c:smooth val="0"/>
        <c:axId val="130630016"/>
        <c:axId val="130631552"/>
      </c:lineChart>
      <c:catAx>
        <c:axId val="130630016"/>
        <c:scaling>
          <c:orientation val="minMax"/>
        </c:scaling>
        <c:delete val="0"/>
        <c:axPos val="b"/>
        <c:numFmt formatCode="General" sourceLinked="1"/>
        <c:majorTickMark val="out"/>
        <c:minorTickMark val="none"/>
        <c:tickLblPos val="nextTo"/>
        <c:txPr>
          <a:bodyPr/>
          <a:lstStyle/>
          <a:p>
            <a:pPr>
              <a:defRPr sz="1200"/>
            </a:pPr>
            <a:endParaRPr lang="en-US"/>
          </a:p>
        </c:txPr>
        <c:crossAx val="130631552"/>
        <c:crosses val="autoZero"/>
        <c:auto val="1"/>
        <c:lblAlgn val="ctr"/>
        <c:lblOffset val="100"/>
        <c:noMultiLvlLbl val="0"/>
      </c:catAx>
      <c:valAx>
        <c:axId val="130631552"/>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2.5115545908029595E-2"/>
              <c:y val="0.19364728332974018"/>
            </c:manualLayout>
          </c:layout>
          <c:overlay val="0"/>
        </c:title>
        <c:numFmt formatCode="_(* #,##0_);_(* \(#,##0\);_(* &quot;-&quot;_);_(@_)" sourceLinked="0"/>
        <c:majorTickMark val="out"/>
        <c:minorTickMark val="none"/>
        <c:tickLblPos val="nextTo"/>
        <c:txPr>
          <a:bodyPr/>
          <a:lstStyle/>
          <a:p>
            <a:pPr>
              <a:defRPr sz="1200"/>
            </a:pPr>
            <a:endParaRPr lang="en-US"/>
          </a:p>
        </c:txPr>
        <c:crossAx val="130630016"/>
        <c:crosses val="autoZero"/>
        <c:crossBetween val="between"/>
      </c:valAx>
    </c:plotArea>
    <c:legend>
      <c:legendPos val="t"/>
      <c:layout>
        <c:manualLayout>
          <c:xMode val="edge"/>
          <c:yMode val="edge"/>
          <c:x val="0.2146402593009776"/>
          <c:y val="0.10103569231891681"/>
          <c:w val="0.53089680612020695"/>
          <c:h val="7.786154134126555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46954633382606"/>
          <c:y val="4.5933482279309185E-2"/>
          <c:w val="0.84204267984274561"/>
          <c:h val="0.85039737948044036"/>
        </c:manualLayout>
      </c:layout>
      <c:lineChart>
        <c:grouping val="standard"/>
        <c:varyColors val="0"/>
        <c:ser>
          <c:idx val="1"/>
          <c:order val="0"/>
          <c:tx>
            <c:strRef>
              <c:f>Summary!$B$138</c:f>
              <c:strCache>
                <c:ptCount val="1"/>
                <c:pt idx="0">
                  <c:v>10G</c:v>
                </c:pt>
              </c:strCache>
            </c:strRef>
          </c:tx>
          <c:marker>
            <c:symbol val="squar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Summary!$C$138:$N$138</c:f>
              <c:numCache>
                <c:formatCode>_("$"* #,##0_);_("$"* \(#,##0\);_("$"* "-"??_);_(@_)</c:formatCode>
                <c:ptCount val="12"/>
                <c:pt idx="0">
                  <c:v>588.89972784362988</c:v>
                </c:pt>
                <c:pt idx="1">
                  <c:v>486.60483553423245</c:v>
                </c:pt>
                <c:pt idx="2">
                  <c:v>471.41983653865219</c:v>
                </c:pt>
              </c:numCache>
            </c:numRef>
          </c:val>
          <c:smooth val="0"/>
          <c:extLst>
            <c:ext xmlns:c16="http://schemas.microsoft.com/office/drawing/2014/chart" uri="{C3380CC4-5D6E-409C-BE32-E72D297353CC}">
              <c16:uniqueId val="{00000001-547B-AE46-A98C-233E0A537257}"/>
            </c:ext>
          </c:extLst>
        </c:ser>
        <c:ser>
          <c:idx val="2"/>
          <c:order val="1"/>
          <c:tx>
            <c:strRef>
              <c:f>Summary!$B$140</c:f>
              <c:strCache>
                <c:ptCount val="1"/>
                <c:pt idx="0">
                  <c:v>40G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Summary!$C$140:$N$140</c:f>
              <c:numCache>
                <c:formatCode>_("$"* #,##0_);_("$"* \(#,##0\);_("$"* "-"??_);_(@_)</c:formatCode>
                <c:ptCount val="12"/>
                <c:pt idx="0">
                  <c:v>787.93297017215446</c:v>
                </c:pt>
                <c:pt idx="1">
                  <c:v>904.27751564220159</c:v>
                </c:pt>
                <c:pt idx="2">
                  <c:v>539.48394892970373</c:v>
                </c:pt>
              </c:numCache>
            </c:numRef>
          </c:val>
          <c:smooth val="0"/>
          <c:extLst>
            <c:ext xmlns:c16="http://schemas.microsoft.com/office/drawing/2014/chart" uri="{C3380CC4-5D6E-409C-BE32-E72D297353CC}">
              <c16:uniqueId val="{00000003-547B-AE46-A98C-233E0A537257}"/>
            </c:ext>
          </c:extLst>
        </c:ser>
        <c:ser>
          <c:idx val="3"/>
          <c:order val="2"/>
          <c:tx>
            <c:strRef>
              <c:f>Summary!$B$142</c:f>
              <c:strCache>
                <c:ptCount val="1"/>
                <c:pt idx="0">
                  <c:v>100G</c:v>
                </c:pt>
              </c:strCache>
            </c:strRef>
          </c:tx>
          <c:marker>
            <c:symbol val="circl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Summary!$C$142:$N$142</c:f>
              <c:numCache>
                <c:formatCode>_("$"* #,##0_);_("$"* \(#,##0\);_("$"* "-"??_);_(@_)</c:formatCode>
                <c:ptCount val="12"/>
                <c:pt idx="0">
                  <c:v>1143.1589634696481</c:v>
                </c:pt>
                <c:pt idx="1">
                  <c:v>1653.9743919741536</c:v>
                </c:pt>
                <c:pt idx="2">
                  <c:v>2155.6052671051739</c:v>
                </c:pt>
              </c:numCache>
            </c:numRef>
          </c:val>
          <c:smooth val="0"/>
          <c:extLst>
            <c:ext xmlns:c16="http://schemas.microsoft.com/office/drawing/2014/chart" uri="{C3380CC4-5D6E-409C-BE32-E72D297353CC}">
              <c16:uniqueId val="{00000005-547B-AE46-A98C-233E0A537257}"/>
            </c:ext>
          </c:extLst>
        </c:ser>
        <c:ser>
          <c:idx val="6"/>
          <c:order val="3"/>
          <c:tx>
            <c:strRef>
              <c:f>Summary!$B$143</c:f>
              <c:strCache>
                <c:ptCount val="1"/>
                <c:pt idx="0">
                  <c:v>200G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Summary!$C$143:$N$143</c:f>
              <c:numCache>
                <c:formatCode>_("$"* #,##0.0_);_("$"* \(#,##0.0\);_("$"* "-"??_);_(@_)</c:formatCode>
                <c:ptCount val="12"/>
                <c:pt idx="2" formatCode="_(&quot;$&quot;* #,##0_);_(&quot;$&quot;* \(#,##0\);_(&quot;$&quot;* &quot;-&quot;??_);_(@_)">
                  <c:v>1.1000000000000001</c:v>
                </c:pt>
              </c:numCache>
            </c:numRef>
          </c:val>
          <c:smooth val="0"/>
          <c:extLst>
            <c:ext xmlns:c16="http://schemas.microsoft.com/office/drawing/2014/chart" uri="{C3380CC4-5D6E-409C-BE32-E72D297353CC}">
              <c16:uniqueId val="{00000006-547B-AE46-A98C-233E0A537257}"/>
            </c:ext>
          </c:extLst>
        </c:ser>
        <c:ser>
          <c:idx val="5"/>
          <c:order val="4"/>
          <c:tx>
            <c:strRef>
              <c:f>Summary!$B$144</c:f>
              <c:strCache>
                <c:ptCount val="1"/>
                <c:pt idx="0">
                  <c:v>400G</c:v>
                </c:pt>
              </c:strCache>
            </c:strRef>
          </c:tx>
          <c:marker>
            <c:symbol val="circle"/>
            <c:size val="5"/>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Summary!$C$144:$N$144</c:f>
              <c:numCache>
                <c:formatCode>_("$"* #,##0_);_("$"* \(#,##0\);_("$"* "-"??_);_(@_)</c:formatCode>
                <c:ptCount val="12"/>
                <c:pt idx="1">
                  <c:v>1.3482999999999998</c:v>
                </c:pt>
                <c:pt idx="2">
                  <c:v>49.212000000000003</c:v>
                </c:pt>
              </c:numCache>
            </c:numRef>
          </c:val>
          <c:smooth val="0"/>
          <c:extLst>
            <c:ext xmlns:c16="http://schemas.microsoft.com/office/drawing/2014/chart" uri="{C3380CC4-5D6E-409C-BE32-E72D297353CC}">
              <c16:uniqueId val="{00000007-547B-AE46-A98C-233E0A537257}"/>
            </c:ext>
          </c:extLst>
        </c:ser>
        <c:ser>
          <c:idx val="8"/>
          <c:order val="5"/>
          <c:tx>
            <c:strRef>
              <c:f>Summary!$B$145</c:f>
              <c:strCache>
                <c:ptCount val="1"/>
                <c:pt idx="0">
                  <c:v>800G</c:v>
                </c:pt>
              </c:strCache>
            </c:strRef>
          </c:tx>
          <c:spPr>
            <a:ln>
              <a:solidFill>
                <a:srgbClr val="00B050"/>
              </a:solidFill>
            </a:ln>
          </c:spPr>
          <c:marker>
            <c:spPr>
              <a:solidFill>
                <a:srgbClr val="00B050"/>
              </a:solidFill>
              <a:ln>
                <a:solidFill>
                  <a:srgbClr val="00B050"/>
                </a:solidFill>
              </a:ln>
            </c:spPr>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numCache>
            </c:numRef>
          </c:val>
          <c:smooth val="0"/>
          <c:extLst>
            <c:ext xmlns:c16="http://schemas.microsoft.com/office/drawing/2014/chart" uri="{C3380CC4-5D6E-409C-BE32-E72D297353CC}">
              <c16:uniqueId val="{00000000-39BF-9C49-9DC9-C031F2F3D5A6}"/>
            </c:ext>
          </c:extLst>
        </c:ser>
        <c:ser>
          <c:idx val="0"/>
          <c:order val="6"/>
          <c:tx>
            <c:strRef>
              <c:f>Summary!$B$146</c:f>
              <c:strCache>
                <c:ptCount val="1"/>
                <c:pt idx="0">
                  <c:v>1.6T</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numCache>
            </c:numRef>
          </c:val>
          <c:smooth val="0"/>
          <c:extLst>
            <c:ext xmlns:c16="http://schemas.microsoft.com/office/drawing/2014/chart" uri="{C3380CC4-5D6E-409C-BE32-E72D297353CC}">
              <c16:uniqueId val="{00000000-FCEF-C74F-A8DA-291943FC74AD}"/>
            </c:ext>
          </c:extLst>
        </c:ser>
        <c:dLbls>
          <c:showLegendKey val="0"/>
          <c:showVal val="0"/>
          <c:showCatName val="0"/>
          <c:showSerName val="0"/>
          <c:showPercent val="0"/>
          <c:showBubbleSize val="0"/>
        </c:dLbls>
        <c:marker val="1"/>
        <c:smooth val="0"/>
        <c:axId val="130676224"/>
        <c:axId val="130677760"/>
      </c:lineChart>
      <c:catAx>
        <c:axId val="130676224"/>
        <c:scaling>
          <c:orientation val="minMax"/>
        </c:scaling>
        <c:delete val="0"/>
        <c:axPos val="b"/>
        <c:numFmt formatCode="General" sourceLinked="1"/>
        <c:majorTickMark val="out"/>
        <c:minorTickMark val="none"/>
        <c:tickLblPos val="nextTo"/>
        <c:txPr>
          <a:bodyPr/>
          <a:lstStyle/>
          <a:p>
            <a:pPr>
              <a:defRPr sz="1200"/>
            </a:pPr>
            <a:endParaRPr lang="en-US"/>
          </a:p>
        </c:txPr>
        <c:crossAx val="130677760"/>
        <c:crosses val="autoZero"/>
        <c:auto val="1"/>
        <c:lblAlgn val="ctr"/>
        <c:lblOffset val="100"/>
        <c:noMultiLvlLbl val="0"/>
      </c:catAx>
      <c:valAx>
        <c:axId val="130677760"/>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83162781921E-2"/>
              <c:y val="0.28140922384701911"/>
            </c:manualLayout>
          </c:layout>
          <c:overlay val="0"/>
        </c:title>
        <c:numFmt formatCode="&quot;$&quot;#,##0" sourceLinked="0"/>
        <c:majorTickMark val="out"/>
        <c:minorTickMark val="none"/>
        <c:tickLblPos val="nextTo"/>
        <c:txPr>
          <a:bodyPr/>
          <a:lstStyle/>
          <a:p>
            <a:pPr>
              <a:defRPr sz="1200"/>
            </a:pPr>
            <a:endParaRPr lang="en-US"/>
          </a:p>
        </c:txPr>
        <c:crossAx val="130676224"/>
        <c:crosses val="autoZero"/>
        <c:crossBetween val="between"/>
      </c:valAx>
    </c:plotArea>
    <c:legend>
      <c:legendPos val="t"/>
      <c:layout>
        <c:manualLayout>
          <c:xMode val="edge"/>
          <c:yMode val="edge"/>
          <c:x val="0.14841397118921953"/>
          <c:y val="6.6181565103065915E-2"/>
          <c:w val="0.7107862290921807"/>
          <c:h val="8.7310386201724779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10805023752833"/>
          <c:y val="4.1980541571552274E-2"/>
          <c:w val="0.84377666359227232"/>
          <c:h val="0.86620914310300245"/>
        </c:manualLayout>
      </c:layout>
      <c:lineChart>
        <c:grouping val="standard"/>
        <c:varyColors val="0"/>
        <c:ser>
          <c:idx val="0"/>
          <c:order val="0"/>
          <c:tx>
            <c:strRef>
              <c:f>Summary!$B$137</c:f>
              <c:strCache>
                <c:ptCount val="1"/>
                <c:pt idx="0">
                  <c:v>1G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Summary!$C$137:$N$137</c:f>
              <c:numCache>
                <c:formatCode>_("$"* #,##0_);_("$"* \(#,##0\);_("$"* "-"??_);_(@_)</c:formatCode>
                <c:ptCount val="12"/>
                <c:pt idx="0">
                  <c:v>154.16513112975395</c:v>
                </c:pt>
                <c:pt idx="1">
                  <c:v>110.62740763127242</c:v>
                </c:pt>
                <c:pt idx="2">
                  <c:v>131.91376511999999</c:v>
                </c:pt>
              </c:numCache>
            </c:numRef>
          </c:val>
          <c:smooth val="0"/>
          <c:extLst>
            <c:ext xmlns:c16="http://schemas.microsoft.com/office/drawing/2014/chart" uri="{C3380CC4-5D6E-409C-BE32-E72D297353CC}">
              <c16:uniqueId val="{00000000-547B-AE46-A98C-233E0A537257}"/>
            </c:ext>
          </c:extLst>
        </c:ser>
        <c:ser>
          <c:idx val="4"/>
          <c:order val="1"/>
          <c:tx>
            <c:strRef>
              <c:f>Summary!$B$139</c:f>
              <c:strCache>
                <c:ptCount val="1"/>
                <c:pt idx="0">
                  <c:v>25G</c:v>
                </c:pt>
              </c:strCache>
            </c:strRef>
          </c:tx>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Summary!$C$139:$N$139</c:f>
              <c:numCache>
                <c:formatCode>_("$"* #,##0_);_("$"* \(#,##0\);_("$"* "-"??_);_(@_)</c:formatCode>
                <c:ptCount val="12"/>
                <c:pt idx="0" formatCode="_(&quot;$&quot;* #,##0.0_);_(&quot;$&quot;* \(#,##0.0\);_(&quot;$&quot;* &quot;-&quot;??_);_(@_)">
                  <c:v>3.4123060000000001</c:v>
                </c:pt>
                <c:pt idx="1">
                  <c:v>19.187075306914231</c:v>
                </c:pt>
                <c:pt idx="2">
                  <c:v>38.882710120000013</c:v>
                </c:pt>
              </c:numCache>
            </c:numRef>
          </c:val>
          <c:smooth val="0"/>
          <c:extLst>
            <c:ext xmlns:c16="http://schemas.microsoft.com/office/drawing/2014/chart" uri="{C3380CC4-5D6E-409C-BE32-E72D297353CC}">
              <c16:uniqueId val="{00000002-547B-AE46-A98C-233E0A537257}"/>
            </c:ext>
          </c:extLst>
        </c:ser>
        <c:ser>
          <c:idx val="7"/>
          <c:order val="2"/>
          <c:tx>
            <c:strRef>
              <c:f>Summary!$B$141</c:f>
              <c:strCache>
                <c:ptCount val="1"/>
                <c:pt idx="0">
                  <c:v>50G</c:v>
                </c:pt>
              </c:strCache>
            </c:strRef>
          </c:tx>
          <c:marker>
            <c:symbol val="plus"/>
            <c:size val="7"/>
          </c:marker>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Summary!$C$141:$N$141</c:f>
              <c:numCache>
                <c:formatCode>_("$"* #,##0_);_("$"* \(#,##0\);_("$"* "-"??_);_(@_)</c:formatCode>
                <c:ptCount val="12"/>
                <c:pt idx="2">
                  <c:v>0</c:v>
                </c:pt>
              </c:numCache>
            </c:numRef>
          </c:val>
          <c:smooth val="0"/>
          <c:extLst>
            <c:ext xmlns:c16="http://schemas.microsoft.com/office/drawing/2014/chart" uri="{C3380CC4-5D6E-409C-BE32-E72D297353CC}">
              <c16:uniqueId val="{00000004-547B-AE46-A98C-233E0A537257}"/>
            </c:ext>
          </c:extLst>
        </c:ser>
        <c:dLbls>
          <c:showLegendKey val="0"/>
          <c:showVal val="0"/>
          <c:showCatName val="0"/>
          <c:showSerName val="0"/>
          <c:showPercent val="0"/>
          <c:showBubbleSize val="0"/>
        </c:dLbls>
        <c:marker val="1"/>
        <c:smooth val="0"/>
        <c:axId val="131511808"/>
        <c:axId val="131513344"/>
      </c:lineChart>
      <c:catAx>
        <c:axId val="131511808"/>
        <c:scaling>
          <c:orientation val="minMax"/>
        </c:scaling>
        <c:delete val="0"/>
        <c:axPos val="b"/>
        <c:numFmt formatCode="General" sourceLinked="1"/>
        <c:majorTickMark val="out"/>
        <c:minorTickMark val="none"/>
        <c:tickLblPos val="nextTo"/>
        <c:txPr>
          <a:bodyPr/>
          <a:lstStyle/>
          <a:p>
            <a:pPr>
              <a:defRPr sz="1200"/>
            </a:pPr>
            <a:endParaRPr lang="en-US"/>
          </a:p>
        </c:txPr>
        <c:crossAx val="131513344"/>
        <c:crosses val="autoZero"/>
        <c:auto val="1"/>
        <c:lblAlgn val="ctr"/>
        <c:lblOffset val="100"/>
        <c:noMultiLvlLbl val="0"/>
      </c:catAx>
      <c:valAx>
        <c:axId val="131513344"/>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1.4714054866099497E-2"/>
              <c:y val="0.33855214008329271"/>
            </c:manualLayout>
          </c:layout>
          <c:overlay val="0"/>
        </c:title>
        <c:numFmt formatCode="&quot;$&quot;#,##0" sourceLinked="0"/>
        <c:majorTickMark val="out"/>
        <c:minorTickMark val="none"/>
        <c:tickLblPos val="nextTo"/>
        <c:txPr>
          <a:bodyPr/>
          <a:lstStyle/>
          <a:p>
            <a:pPr>
              <a:defRPr sz="1200"/>
            </a:pPr>
            <a:endParaRPr lang="en-US"/>
          </a:p>
        </c:txPr>
        <c:crossAx val="131511808"/>
        <c:crosses val="autoZero"/>
        <c:crossBetween val="between"/>
      </c:valAx>
    </c:plotArea>
    <c:legend>
      <c:legendPos val="t"/>
      <c:layout>
        <c:manualLayout>
          <c:xMode val="edge"/>
          <c:yMode val="edge"/>
          <c:x val="0.40693743246505415"/>
          <c:y val="6.6468542373345596E-2"/>
          <c:w val="0.27011681392233561"/>
          <c:h val="9.7114726789546066E-2"/>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99693175859165"/>
          <c:y val="4.4374675798309345E-2"/>
          <c:w val="0.85792760567452775"/>
          <c:h val="0.86403869827235957"/>
        </c:manualLayout>
      </c:layout>
      <c:barChart>
        <c:barDir val="col"/>
        <c:grouping val="stacked"/>
        <c:varyColors val="0"/>
        <c:ser>
          <c:idx val="0"/>
          <c:order val="0"/>
          <c:tx>
            <c:strRef>
              <c:f>Summary!$B$162</c:f>
              <c:strCache>
                <c:ptCount val="1"/>
                <c:pt idx="0">
                  <c:v>50G &amp; below</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Summary!$C$162:$N$162</c:f>
              <c:numCache>
                <c:formatCode>_("$"* #,##0_);_("$"* \(#,##0\);_("$"* "-"??_);_(@_)</c:formatCode>
                <c:ptCount val="12"/>
                <c:pt idx="0">
                  <c:v>1534.4101351455383</c:v>
                </c:pt>
                <c:pt idx="1">
                  <c:v>1520.6968341146207</c:v>
                </c:pt>
                <c:pt idx="2">
                  <c:v>1181.7002607083559</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65-1F4A-9073-3D899F10AD6F}"/>
            </c:ext>
          </c:extLst>
        </c:ser>
        <c:ser>
          <c:idx val="3"/>
          <c:order val="1"/>
          <c:tx>
            <c:strRef>
              <c:f>Summary!$B$142</c:f>
              <c:strCache>
                <c:ptCount val="1"/>
                <c:pt idx="0">
                  <c:v>100G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Summary!$C$142:$N$142</c:f>
              <c:numCache>
                <c:formatCode>_("$"* #,##0_);_("$"* \(#,##0\);_("$"* "-"??_);_(@_)</c:formatCode>
                <c:ptCount val="12"/>
                <c:pt idx="0">
                  <c:v>1143.1589634696481</c:v>
                </c:pt>
                <c:pt idx="1">
                  <c:v>1653.9743919741536</c:v>
                </c:pt>
                <c:pt idx="2">
                  <c:v>2155.6052671051739</c:v>
                </c:pt>
              </c:numCache>
            </c:numRef>
          </c:val>
          <c:extLst>
            <c:ext xmlns:c16="http://schemas.microsoft.com/office/drawing/2014/chart" uri="{C3380CC4-5D6E-409C-BE32-E72D297353CC}">
              <c16:uniqueId val="{00000005-FD65-1F4A-9073-3D899F10AD6F}"/>
            </c:ext>
          </c:extLst>
        </c:ser>
        <c:ser>
          <c:idx val="6"/>
          <c:order val="2"/>
          <c:tx>
            <c:strRef>
              <c:f>Summary!$B$143</c:f>
              <c:strCache>
                <c:ptCount val="1"/>
                <c:pt idx="0">
                  <c:v>200G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Summary!$C$143:$N$143</c:f>
              <c:numCache>
                <c:formatCode>_("$"* #,##0.0_);_("$"* \(#,##0.0\);_("$"* "-"??_);_(@_)</c:formatCode>
                <c:ptCount val="12"/>
                <c:pt idx="2" formatCode="_(&quot;$&quot;* #,##0_);_(&quot;$&quot;* \(#,##0\);_(&quot;$&quot;* &quot;-&quot;??_);_(@_)">
                  <c:v>1.1000000000000001</c:v>
                </c:pt>
              </c:numCache>
            </c:numRef>
          </c:val>
          <c:extLst>
            <c:ext xmlns:c16="http://schemas.microsoft.com/office/drawing/2014/chart" uri="{C3380CC4-5D6E-409C-BE32-E72D297353CC}">
              <c16:uniqueId val="{00000006-FD65-1F4A-9073-3D899F10AD6F}"/>
            </c:ext>
          </c:extLst>
        </c:ser>
        <c:ser>
          <c:idx val="5"/>
          <c:order val="3"/>
          <c:tx>
            <c:strRef>
              <c:f>Summary!$B$144</c:f>
              <c:strCache>
                <c:ptCount val="1"/>
                <c:pt idx="0">
                  <c:v>400G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Summary!$C$144:$N$144</c:f>
              <c:numCache>
                <c:formatCode>_("$"* #,##0_);_("$"* \(#,##0\);_("$"* "-"??_);_(@_)</c:formatCode>
                <c:ptCount val="12"/>
                <c:pt idx="1">
                  <c:v>1.3482999999999998</c:v>
                </c:pt>
                <c:pt idx="2">
                  <c:v>49.212000000000003</c:v>
                </c:pt>
              </c:numCache>
            </c:numRef>
          </c:val>
          <c:extLst>
            <c:ext xmlns:c16="http://schemas.microsoft.com/office/drawing/2014/chart" uri="{C3380CC4-5D6E-409C-BE32-E72D297353CC}">
              <c16:uniqueId val="{00000007-FD65-1F4A-9073-3D899F10AD6F}"/>
            </c:ext>
          </c:extLst>
        </c:ser>
        <c:ser>
          <c:idx val="8"/>
          <c:order val="4"/>
          <c:tx>
            <c:strRef>
              <c:f>Summary!$B$145</c:f>
              <c:strCache>
                <c:ptCount val="1"/>
                <c:pt idx="0">
                  <c:v>800G</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Summary!$C$145:$N$145</c:f>
              <c:numCache>
                <c:formatCode>_("$"* #,##0_);_("$"* \(#,##0\);_("$"* "-"??_);_(@_)</c:formatCode>
                <c:ptCount val="12"/>
              </c:numCache>
            </c:numRef>
          </c:val>
          <c:extLst>
            <c:ext xmlns:c16="http://schemas.microsoft.com/office/drawing/2014/chart" uri="{C3380CC4-5D6E-409C-BE32-E72D297353CC}">
              <c16:uniqueId val="{00000000-18EA-CD4C-ABF1-D981B606955A}"/>
            </c:ext>
          </c:extLst>
        </c:ser>
        <c:ser>
          <c:idx val="1"/>
          <c:order val="5"/>
          <c:tx>
            <c:strRef>
              <c:f>Summary!$B$146</c:f>
              <c:strCache>
                <c:ptCount val="1"/>
                <c:pt idx="0">
                  <c:v>1.6T</c:v>
                </c:pt>
              </c:strCache>
            </c:strRef>
          </c:tx>
          <c:invertIfNegative val="0"/>
          <c:cat>
            <c:numRef>
              <c:f>Summary!$C$136:$N$136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Summary!$C$146:$N$146</c:f>
              <c:numCache>
                <c:formatCode>_("$"* #,##0_);_("$"* \(#,##0\);_("$"* "-"??_);_(@_)</c:formatCode>
                <c:ptCount val="12"/>
              </c:numCache>
            </c:numRef>
          </c:val>
          <c:extLst>
            <c:ext xmlns:c16="http://schemas.microsoft.com/office/drawing/2014/chart" uri="{C3380CC4-5D6E-409C-BE32-E72D297353CC}">
              <c16:uniqueId val="{00000000-9FFE-8040-8BF7-DF3A13CC66F6}"/>
            </c:ext>
          </c:extLst>
        </c:ser>
        <c:dLbls>
          <c:showLegendKey val="0"/>
          <c:showVal val="0"/>
          <c:showCatName val="0"/>
          <c:showSerName val="0"/>
          <c:showPercent val="0"/>
          <c:showBubbleSize val="0"/>
        </c:dLbls>
        <c:gapWidth val="150"/>
        <c:overlap val="100"/>
        <c:axId val="131560960"/>
        <c:axId val="131562496"/>
      </c:barChart>
      <c:catAx>
        <c:axId val="131560960"/>
        <c:scaling>
          <c:orientation val="minMax"/>
        </c:scaling>
        <c:delete val="0"/>
        <c:axPos val="b"/>
        <c:numFmt formatCode="General" sourceLinked="1"/>
        <c:majorTickMark val="out"/>
        <c:minorTickMark val="none"/>
        <c:tickLblPos val="nextTo"/>
        <c:txPr>
          <a:bodyPr/>
          <a:lstStyle/>
          <a:p>
            <a:pPr>
              <a:defRPr sz="1200"/>
            </a:pPr>
            <a:endParaRPr lang="en-US"/>
          </a:p>
        </c:txPr>
        <c:crossAx val="131562496"/>
        <c:crosses val="autoZero"/>
        <c:auto val="1"/>
        <c:lblAlgn val="ctr"/>
        <c:lblOffset val="100"/>
        <c:noMultiLvlLbl val="0"/>
      </c:catAx>
      <c:valAx>
        <c:axId val="131562496"/>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3.2125982658516561E-4"/>
              <c:y val="0.27181822347087115"/>
            </c:manualLayout>
          </c:layout>
          <c:overlay val="0"/>
        </c:title>
        <c:numFmt formatCode="&quot;$&quot;#,##0" sourceLinked="0"/>
        <c:majorTickMark val="out"/>
        <c:minorTickMark val="none"/>
        <c:tickLblPos val="nextTo"/>
        <c:txPr>
          <a:bodyPr/>
          <a:lstStyle/>
          <a:p>
            <a:pPr>
              <a:defRPr sz="1200"/>
            </a:pPr>
            <a:endParaRPr lang="en-US"/>
          </a:p>
        </c:txPr>
        <c:crossAx val="131560960"/>
        <c:crosses val="autoZero"/>
        <c:crossBetween val="between"/>
      </c:valAx>
    </c:plotArea>
    <c:legend>
      <c:legendPos val="t"/>
      <c:layout>
        <c:manualLayout>
          <c:xMode val="edge"/>
          <c:yMode val="edge"/>
          <c:x val="0.15161505175983148"/>
          <c:y val="5.3444361631177745E-2"/>
          <c:w val="0.60706630727017385"/>
          <c:h val="8.5946178335861878E-2"/>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10 km - 40 km Reach</a:t>
            </a:r>
          </a:p>
        </c:rich>
      </c:tx>
      <c:layout>
        <c:manualLayout>
          <c:xMode val="edge"/>
          <c:yMode val="edge"/>
          <c:x val="0.48880726053821577"/>
          <c:y val="3.6654552171485583E-2"/>
        </c:manualLayout>
      </c:layout>
      <c:overlay val="1"/>
    </c:title>
    <c:autoTitleDeleted val="0"/>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Summary!$B$649</c:f>
              <c:strCache>
                <c:ptCount val="1"/>
                <c:pt idx="0">
                  <c:v>100G LR4_10 km_CFP</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Summary!$C$649:$N$649</c:f>
              <c:numCache>
                <c:formatCode>_(* #,##0_);_(* \(#,##0\);_(* "-"??_);_(@_)</c:formatCode>
                <c:ptCount val="12"/>
                <c:pt idx="0">
                  <c:v>109936</c:v>
                </c:pt>
                <c:pt idx="1">
                  <c:v>67349</c:v>
                </c:pt>
                <c:pt idx="2">
                  <c:v>38716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7CB8-0841-BB02-C4F11002BB48}"/>
            </c:ext>
          </c:extLst>
        </c:ser>
        <c:ser>
          <c:idx val="2"/>
          <c:order val="1"/>
          <c:tx>
            <c:strRef>
              <c:f>Summary!$B$650</c:f>
              <c:strCache>
                <c:ptCount val="1"/>
                <c:pt idx="0">
                  <c:v>100G LR4_10 km_CFP2/4</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Summary!$C$650:$N$650</c:f>
              <c:numCache>
                <c:formatCode>_(* #,##0_);_(* \(#,##0\);_(* "-"??_);_(@_)</c:formatCode>
                <c:ptCount val="12"/>
                <c:pt idx="0">
                  <c:v>92243</c:v>
                </c:pt>
                <c:pt idx="1">
                  <c:v>78202</c:v>
                </c:pt>
                <c:pt idx="2">
                  <c:v>73797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7CB8-0841-BB02-C4F11002BB48}"/>
            </c:ext>
          </c:extLst>
        </c:ser>
        <c:ser>
          <c:idx val="3"/>
          <c:order val="2"/>
          <c:tx>
            <c:strRef>
              <c:f>Summary!$B$651</c:f>
              <c:strCache>
                <c:ptCount val="1"/>
                <c:pt idx="0">
                  <c:v>100G LR4 and LR1_10 km_QSFP28</c:v>
                </c:pt>
              </c:strCache>
            </c:strRef>
          </c:tx>
          <c:marker>
            <c:symbol val="square"/>
            <c:size val="5"/>
          </c:marker>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Summary!$C$651:$N$651</c:f>
              <c:numCache>
                <c:formatCode>_(* #,##0_);_(* \(#,##0\);_(* "-"??_);_(@_)</c:formatCode>
                <c:ptCount val="12"/>
                <c:pt idx="0">
                  <c:v>90443</c:v>
                </c:pt>
                <c:pt idx="1">
                  <c:v>362352</c:v>
                </c:pt>
                <c:pt idx="2">
                  <c:v>397891.1176470588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7CB8-0841-BB02-C4F11002BB48}"/>
            </c:ext>
          </c:extLst>
        </c:ser>
        <c:ser>
          <c:idx val="9"/>
          <c:order val="3"/>
          <c:tx>
            <c:strRef>
              <c:f>Summary!$B$652</c:f>
              <c:strCache>
                <c:ptCount val="1"/>
                <c:pt idx="0">
                  <c:v>100G 4WDM10_10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Summary!$C$652:$N$652</c:f>
              <c:numCache>
                <c:formatCode>_(* #,##0_);_(* \(#,##0\);_(* "-"??_);_(@_)</c:formatCode>
                <c:ptCount val="12"/>
                <c:pt idx="1">
                  <c:v>45000</c:v>
                </c:pt>
                <c:pt idx="2">
                  <c:v>100000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7CB8-0841-BB02-C4F11002BB48}"/>
            </c:ext>
          </c:extLst>
        </c:ser>
        <c:ser>
          <c:idx val="6"/>
          <c:order val="4"/>
          <c:tx>
            <c:strRef>
              <c:f>Summary!$B$653</c:f>
              <c:strCache>
                <c:ptCount val="1"/>
                <c:pt idx="0">
                  <c:v>100G 4WDM20_20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Summary!$C$653:$N$653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7CB8-0841-BB02-C4F11002BB48}"/>
            </c:ext>
          </c:extLst>
        </c:ser>
        <c:ser>
          <c:idx val="4"/>
          <c:order val="5"/>
          <c:tx>
            <c:strRef>
              <c:f>Summary!$B$656</c:f>
              <c:strCache>
                <c:ptCount val="1"/>
                <c:pt idx="0">
                  <c:v>100G ZR4_80 km_QSFP28</c:v>
                </c:pt>
              </c:strCache>
            </c:strRef>
          </c:tx>
          <c:cat>
            <c:numRef>
              <c:f>Summary!$C$643:$N$643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Summary!$C$656:$N$656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7CB8-0841-BB02-C4F11002BB48}"/>
            </c:ext>
          </c:extLst>
        </c:ser>
        <c:dLbls>
          <c:showLegendKey val="0"/>
          <c:showVal val="0"/>
          <c:showCatName val="0"/>
          <c:showSerName val="0"/>
          <c:showPercent val="0"/>
          <c:showBubbleSize val="0"/>
        </c:dLbls>
        <c:marker val="1"/>
        <c:smooth val="0"/>
        <c:axId val="131687936"/>
        <c:axId val="131689472"/>
      </c:lineChart>
      <c:catAx>
        <c:axId val="131687936"/>
        <c:scaling>
          <c:orientation val="minMax"/>
        </c:scaling>
        <c:delete val="0"/>
        <c:axPos val="b"/>
        <c:numFmt formatCode="General" sourceLinked="1"/>
        <c:majorTickMark val="out"/>
        <c:minorTickMark val="none"/>
        <c:tickLblPos val="nextTo"/>
        <c:txPr>
          <a:bodyPr/>
          <a:lstStyle/>
          <a:p>
            <a:pPr>
              <a:defRPr sz="1000"/>
            </a:pPr>
            <a:endParaRPr lang="en-US"/>
          </a:p>
        </c:txPr>
        <c:crossAx val="131689472"/>
        <c:crosses val="autoZero"/>
        <c:auto val="1"/>
        <c:lblAlgn val="ctr"/>
        <c:lblOffset val="100"/>
        <c:noMultiLvlLbl val="0"/>
      </c:catAx>
      <c:valAx>
        <c:axId val="131689472"/>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31687936"/>
        <c:crosses val="autoZero"/>
        <c:crossBetween val="between"/>
      </c:valAx>
    </c:plotArea>
    <c:legend>
      <c:legendPos val="t"/>
      <c:layout>
        <c:manualLayout>
          <c:xMode val="edge"/>
          <c:yMode val="edge"/>
          <c:x val="0.15059163192836192"/>
          <c:y val="4.971068616422946E-2"/>
          <c:w val="0.31353217594788602"/>
          <c:h val="0.44477076153279527"/>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4808094640299"/>
          <c:y val="4.7522815683520098E-2"/>
          <c:w val="0.65378166762576706"/>
          <c:h val="0.78416608000478838"/>
        </c:manualLayout>
      </c:layout>
      <c:lineChart>
        <c:grouping val="standard"/>
        <c:varyColors val="0"/>
        <c:ser>
          <c:idx val="0"/>
          <c:order val="0"/>
          <c:tx>
            <c:strRef>
              <c:f>Summary!$B$281</c:f>
              <c:strCache>
                <c:ptCount val="1"/>
                <c:pt idx="0">
                  <c:v>&lt;10G MMF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Summary!$C$281:$N$281</c:f>
              <c:numCache>
                <c:formatCode>_(* #,##0_);_(* \(#,##0\);_(* "-"??_);_(@_)</c:formatCode>
                <c:ptCount val="12"/>
                <c:pt idx="0">
                  <c:v>4496175.0999999996</c:v>
                </c:pt>
                <c:pt idx="1">
                  <c:v>4278484</c:v>
                </c:pt>
                <c:pt idx="2">
                  <c:v>4962296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A67-684C-A9F7-171CBA15FEFF}"/>
            </c:ext>
          </c:extLst>
        </c:ser>
        <c:ser>
          <c:idx val="1"/>
          <c:order val="1"/>
          <c:tx>
            <c:strRef>
              <c:f>Summary!$B$282</c:f>
              <c:strCache>
                <c:ptCount val="1"/>
                <c:pt idx="0">
                  <c:v>10G MMF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Summary!$C$282:$N$282</c:f>
              <c:numCache>
                <c:formatCode>_(* #,##0_);_(* \(#,##0\);_(* "-"??_);_(@_)</c:formatCode>
                <c:ptCount val="12"/>
                <c:pt idx="0">
                  <c:v>13000883.93</c:v>
                </c:pt>
                <c:pt idx="1">
                  <c:v>14702610</c:v>
                </c:pt>
                <c:pt idx="2">
                  <c:v>16130297.5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A67-684C-A9F7-171CBA15FEFF}"/>
            </c:ext>
          </c:extLst>
        </c:ser>
        <c:ser>
          <c:idx val="2"/>
          <c:order val="2"/>
          <c:tx>
            <c:strRef>
              <c:f>Summary!$B$283</c:f>
              <c:strCache>
                <c:ptCount val="1"/>
                <c:pt idx="0">
                  <c:v>25G MMF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Summary!$C$283:$N$283</c:f>
              <c:numCache>
                <c:formatCode>_(* #,##0_);_(* \(#,##0\);_(* "-"??_);_(@_)</c:formatCode>
                <c:ptCount val="12"/>
                <c:pt idx="0">
                  <c:v>306387</c:v>
                </c:pt>
                <c:pt idx="1">
                  <c:v>727839</c:v>
                </c:pt>
                <c:pt idx="2">
                  <c:v>2251889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A67-684C-A9F7-171CBA15FEFF}"/>
            </c:ext>
          </c:extLst>
        </c:ser>
        <c:ser>
          <c:idx val="3"/>
          <c:order val="3"/>
          <c:tx>
            <c:strRef>
              <c:f>Summary!$B$287</c:f>
              <c:strCache>
                <c:ptCount val="1"/>
                <c:pt idx="0">
                  <c:v>&lt;10G SMF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Summary!$C$287:$N$287</c:f>
              <c:numCache>
                <c:formatCode>_(* #,##0_);_(* \(#,##0\);_(* "-"??_);_(@_)</c:formatCode>
                <c:ptCount val="12"/>
                <c:pt idx="0">
                  <c:v>9071235.0050000008</c:v>
                </c:pt>
                <c:pt idx="1">
                  <c:v>6995211.0500000007</c:v>
                </c:pt>
                <c:pt idx="2">
                  <c:v>9376680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BA67-684C-A9F7-171CBA15FEFF}"/>
            </c:ext>
          </c:extLst>
        </c:ser>
        <c:ser>
          <c:idx val="4"/>
          <c:order val="4"/>
          <c:tx>
            <c:strRef>
              <c:f>Summary!$B$288</c:f>
              <c:strCache>
                <c:ptCount val="1"/>
                <c:pt idx="0">
                  <c:v>10G SMF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Summary!$C$288:$N$288</c:f>
              <c:numCache>
                <c:formatCode>_(* #,##0_);_(* \(#,##0\);_(* "-"??_);_(@_)</c:formatCode>
                <c:ptCount val="12"/>
                <c:pt idx="0">
                  <c:v>8669003</c:v>
                </c:pt>
                <c:pt idx="1">
                  <c:v>9106572.0999999996</c:v>
                </c:pt>
                <c:pt idx="2">
                  <c:v>8984831.0999999996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BA67-684C-A9F7-171CBA15FEFF}"/>
            </c:ext>
          </c:extLst>
        </c:ser>
        <c:ser>
          <c:idx val="5"/>
          <c:order val="5"/>
          <c:tx>
            <c:strRef>
              <c:f>Summary!$B$289</c:f>
              <c:strCache>
                <c:ptCount val="1"/>
                <c:pt idx="0">
                  <c:v>25G SMF</c:v>
                </c:pt>
              </c:strCache>
            </c:strRef>
          </c:tx>
          <c:marker>
            <c:symbol val="none"/>
          </c:marker>
          <c:cat>
            <c:numRef>
              <c:f>Summary!$C$280:$N$280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Summary!$C$289:$N$289</c:f>
              <c:numCache>
                <c:formatCode>_(* #,##0_);_(* \(#,##0\);_(* "-"??_);_(@_)</c:formatCode>
                <c:ptCount val="12"/>
                <c:pt idx="0">
                  <c:v>624677</c:v>
                </c:pt>
                <c:pt idx="1">
                  <c:v>2266978</c:v>
                </c:pt>
                <c:pt idx="2">
                  <c:v>4160816.7366946777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BA67-684C-A9F7-171CBA15FEFF}"/>
            </c:ext>
          </c:extLst>
        </c:ser>
        <c:dLbls>
          <c:showLegendKey val="0"/>
          <c:showVal val="0"/>
          <c:showCatName val="0"/>
          <c:showSerName val="0"/>
          <c:showPercent val="0"/>
          <c:showBubbleSize val="0"/>
        </c:dLbls>
        <c:smooth val="0"/>
        <c:axId val="124954496"/>
        <c:axId val="124956032"/>
      </c:lineChart>
      <c:catAx>
        <c:axId val="124954496"/>
        <c:scaling>
          <c:orientation val="minMax"/>
        </c:scaling>
        <c:delete val="0"/>
        <c:axPos val="b"/>
        <c:numFmt formatCode="General" sourceLinked="1"/>
        <c:majorTickMark val="out"/>
        <c:minorTickMark val="none"/>
        <c:tickLblPos val="nextTo"/>
        <c:txPr>
          <a:bodyPr/>
          <a:lstStyle/>
          <a:p>
            <a:pPr>
              <a:defRPr sz="1200"/>
            </a:pPr>
            <a:endParaRPr lang="en-US"/>
          </a:p>
        </c:txPr>
        <c:crossAx val="124956032"/>
        <c:crosses val="autoZero"/>
        <c:auto val="1"/>
        <c:lblAlgn val="ctr"/>
        <c:lblOffset val="100"/>
        <c:noMultiLvlLbl val="0"/>
      </c:catAx>
      <c:valAx>
        <c:axId val="124956032"/>
        <c:scaling>
          <c:orientation val="minMax"/>
        </c:scaling>
        <c:delete val="0"/>
        <c:axPos val="l"/>
        <c:majorGridlines/>
        <c:title>
          <c:tx>
            <c:rich>
              <a:bodyPr rot="-5400000" vert="horz"/>
              <a:lstStyle/>
              <a:p>
                <a:pPr>
                  <a:defRPr sz="1400"/>
                </a:pPr>
                <a:r>
                  <a:rPr lang="en-US" sz="1400"/>
                  <a:t>Annual shipments</a:t>
                </a:r>
              </a:p>
            </c:rich>
          </c:tx>
          <c:overlay val="0"/>
        </c:title>
        <c:numFmt formatCode="_(* #,##0_);_(* \(#,##0\);_(* &quot;-&quot;??_);_(@_)" sourceLinked="1"/>
        <c:majorTickMark val="out"/>
        <c:minorTickMark val="none"/>
        <c:tickLblPos val="nextTo"/>
        <c:crossAx val="124954496"/>
        <c:crosses val="autoZero"/>
        <c:crossBetween val="between"/>
      </c:valAx>
    </c:plotArea>
    <c:legend>
      <c:legendPos val="r"/>
      <c:layout>
        <c:manualLayout>
          <c:xMode val="edge"/>
          <c:yMode val="edge"/>
          <c:x val="0.82520750123625797"/>
          <c:y val="0.12970309109623801"/>
          <c:w val="0.163198295865191"/>
          <c:h val="0.7106312760402799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500m - 2 km Reach</a:t>
            </a:r>
          </a:p>
        </c:rich>
      </c:tx>
      <c:layout>
        <c:manualLayout>
          <c:xMode val="edge"/>
          <c:yMode val="edge"/>
          <c:x val="0.51517162172910214"/>
          <c:y val="2.660333072304152E-2"/>
        </c:manualLayout>
      </c:layout>
      <c:overlay val="1"/>
    </c:title>
    <c:autoTitleDeleted val="0"/>
    <c:plotArea>
      <c:layout>
        <c:manualLayout>
          <c:layoutTarget val="inner"/>
          <c:xMode val="edge"/>
          <c:yMode val="edge"/>
          <c:x val="0.17550985512629036"/>
          <c:y val="3.2895479231816876E-2"/>
          <c:w val="0.79113101973364441"/>
          <c:h val="0.88129472991329527"/>
        </c:manualLayout>
      </c:layout>
      <c:lineChart>
        <c:grouping val="standard"/>
        <c:varyColors val="0"/>
        <c:ser>
          <c:idx val="0"/>
          <c:order val="0"/>
          <c:tx>
            <c:strRef>
              <c:f>Summary!$B$644</c:f>
              <c:strCache>
                <c:ptCount val="1"/>
                <c:pt idx="0">
                  <c:v>100G PSM4_500 m_QSFP28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Summary!$F$644:$N$644</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0-5DCE-3642-9899-C31AB7F0A551}"/>
            </c:ext>
          </c:extLst>
        </c:ser>
        <c:ser>
          <c:idx val="7"/>
          <c:order val="1"/>
          <c:tx>
            <c:strRef>
              <c:f>Summary!$B$645</c:f>
              <c:strCache>
                <c:ptCount val="1"/>
                <c:pt idx="0">
                  <c:v>100G DR_500m_QSFP28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Summary!$F$645:$N$645</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1-5DCE-3642-9899-C31AB7F0A551}"/>
            </c:ext>
          </c:extLst>
        </c:ser>
        <c:ser>
          <c:idx val="8"/>
          <c:order val="2"/>
          <c:tx>
            <c:strRef>
              <c:f>Summary!$B$646</c:f>
              <c:strCache>
                <c:ptCount val="1"/>
                <c:pt idx="0">
                  <c:v>100G CWDM4-subspec_500 m_QSFP28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Summary!$F$646:$N$646</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2-5DCE-3642-9899-C31AB7F0A551}"/>
            </c:ext>
          </c:extLst>
        </c:ser>
        <c:ser>
          <c:idx val="5"/>
          <c:order val="3"/>
          <c:tx>
            <c:strRef>
              <c:f>Summary!$B$647</c:f>
              <c:strCache>
                <c:ptCount val="1"/>
                <c:pt idx="0">
                  <c:v>100G CWDM4_2 km_QSFP28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Summary!$F$647:$N$647</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3-5DCE-3642-9899-C31AB7F0A551}"/>
            </c:ext>
          </c:extLst>
        </c:ser>
        <c:ser>
          <c:idx val="10"/>
          <c:order val="4"/>
          <c:tx>
            <c:strRef>
              <c:f>Summary!$B$648</c:f>
              <c:strCache>
                <c:ptCount val="1"/>
                <c:pt idx="0">
                  <c:v>100G FR, DR+_2 km_QSFP28</c:v>
                </c:pt>
              </c:strCache>
            </c:strRef>
          </c:tx>
          <c:cat>
            <c:numRef>
              <c:f>Summary!$F$643:$N$643</c:f>
              <c:numCache>
                <c:formatCode>General</c:formatCode>
                <c:ptCount val="9"/>
                <c:pt idx="0">
                  <c:v>2019</c:v>
                </c:pt>
                <c:pt idx="1">
                  <c:v>2020</c:v>
                </c:pt>
                <c:pt idx="2">
                  <c:v>2021</c:v>
                </c:pt>
                <c:pt idx="3">
                  <c:v>2022</c:v>
                </c:pt>
                <c:pt idx="4">
                  <c:v>2023</c:v>
                </c:pt>
                <c:pt idx="5">
                  <c:v>2024</c:v>
                </c:pt>
                <c:pt idx="6">
                  <c:v>2025</c:v>
                </c:pt>
                <c:pt idx="7">
                  <c:v>2026</c:v>
                </c:pt>
                <c:pt idx="8">
                  <c:v>2027</c:v>
                </c:pt>
              </c:numCache>
            </c:numRef>
          </c:cat>
          <c:val>
            <c:numRef>
              <c:f>Summary!$F$648:$N$648</c:f>
              <c:numCache>
                <c:formatCode>_(* #,##0_);_(* \(#,##0\);_(* "-"??_);_(@_)</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4-5DCE-3642-9899-C31AB7F0A551}"/>
            </c:ext>
          </c:extLst>
        </c:ser>
        <c:dLbls>
          <c:showLegendKey val="0"/>
          <c:showVal val="0"/>
          <c:showCatName val="0"/>
          <c:showSerName val="0"/>
          <c:showPercent val="0"/>
          <c:showBubbleSize val="0"/>
        </c:dLbls>
        <c:marker val="1"/>
        <c:smooth val="0"/>
        <c:axId val="131732224"/>
        <c:axId val="131733760"/>
      </c:lineChart>
      <c:catAx>
        <c:axId val="131732224"/>
        <c:scaling>
          <c:orientation val="minMax"/>
        </c:scaling>
        <c:delete val="0"/>
        <c:axPos val="b"/>
        <c:numFmt formatCode="General" sourceLinked="1"/>
        <c:majorTickMark val="out"/>
        <c:minorTickMark val="none"/>
        <c:tickLblPos val="nextTo"/>
        <c:txPr>
          <a:bodyPr/>
          <a:lstStyle/>
          <a:p>
            <a:pPr>
              <a:defRPr sz="1000"/>
            </a:pPr>
            <a:endParaRPr lang="en-US"/>
          </a:p>
        </c:txPr>
        <c:crossAx val="131733760"/>
        <c:crosses val="autoZero"/>
        <c:auto val="1"/>
        <c:lblAlgn val="ctr"/>
        <c:lblOffset val="100"/>
        <c:noMultiLvlLbl val="0"/>
      </c:catAx>
      <c:valAx>
        <c:axId val="131733760"/>
        <c:scaling>
          <c:orientation val="minMax"/>
          <c:min val="0"/>
        </c:scaling>
        <c:delete val="0"/>
        <c:axPos val="l"/>
        <c:majorGridlines/>
        <c:title>
          <c:tx>
            <c:rich>
              <a:bodyPr rot="-5400000" vert="horz"/>
              <a:lstStyle/>
              <a:p>
                <a:pPr>
                  <a:defRPr sz="1400"/>
                </a:pPr>
                <a:r>
                  <a:rPr lang="en-US" sz="1400"/>
                  <a:t>Annual shipments (Units)</a:t>
                </a:r>
              </a:p>
            </c:rich>
          </c:tx>
          <c:layout>
            <c:manualLayout>
              <c:xMode val="edge"/>
              <c:yMode val="edge"/>
              <c:x val="1.2892855059784193E-2"/>
              <c:y val="0.14833887125365874"/>
            </c:manualLayout>
          </c:layout>
          <c:overlay val="0"/>
        </c:title>
        <c:numFmt formatCode="#,##0" sourceLinked="0"/>
        <c:majorTickMark val="out"/>
        <c:minorTickMark val="none"/>
        <c:tickLblPos val="nextTo"/>
        <c:txPr>
          <a:bodyPr/>
          <a:lstStyle/>
          <a:p>
            <a:pPr>
              <a:defRPr sz="1000"/>
            </a:pPr>
            <a:endParaRPr lang="en-US"/>
          </a:p>
        </c:txPr>
        <c:crossAx val="131732224"/>
        <c:crosses val="autoZero"/>
        <c:crossBetween val="between"/>
      </c:valAx>
    </c:plotArea>
    <c:legend>
      <c:legendPos val="t"/>
      <c:layout>
        <c:manualLayout>
          <c:xMode val="edge"/>
          <c:yMode val="edge"/>
          <c:x val="0.17017517254787595"/>
          <c:y val="3.4445479655357214E-2"/>
          <c:w val="0.33032180068400541"/>
          <c:h val="0.29397308874096073"/>
        </c:manualLayout>
      </c:layout>
      <c:overlay val="0"/>
      <c:spPr>
        <a:solidFill>
          <a:schemeClr val="bg1"/>
        </a:solidFill>
        <a:ln>
          <a:solidFill>
            <a:sysClr val="windowText" lastClr="000000"/>
          </a:solidFill>
        </a:ln>
      </c:spPr>
      <c:txPr>
        <a:bodyPr/>
        <a:lstStyle/>
        <a:p>
          <a:pPr>
            <a:defRPr sz="1000"/>
          </a:pPr>
          <a:endParaRPr lang="en-US"/>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500m - 2 km Reach</a:t>
            </a:r>
            <a:endParaRPr lang="en-US">
              <a:effectLst/>
            </a:endParaRPr>
          </a:p>
        </c:rich>
      </c:tx>
      <c:layout>
        <c:manualLayout>
          <c:xMode val="edge"/>
          <c:yMode val="edge"/>
          <c:x val="0.41913566720485257"/>
          <c:y val="0.24398892515796347"/>
        </c:manualLayout>
      </c:layout>
      <c:overlay val="1"/>
    </c:title>
    <c:autoTitleDeleted val="0"/>
    <c:plotArea>
      <c:layout>
        <c:manualLayout>
          <c:layoutTarget val="inner"/>
          <c:xMode val="edge"/>
          <c:yMode val="edge"/>
          <c:x val="0.12907819443361657"/>
          <c:y val="9.2787092789871878E-2"/>
          <c:w val="0.85306213455991264"/>
          <c:h val="0.8253064690443106"/>
        </c:manualLayout>
      </c:layout>
      <c:lineChart>
        <c:grouping val="standard"/>
        <c:varyColors val="0"/>
        <c:ser>
          <c:idx val="0"/>
          <c:order val="0"/>
          <c:tx>
            <c:strRef>
              <c:f>Summary!$B$676</c:f>
              <c:strCache>
                <c:ptCount val="1"/>
                <c:pt idx="0">
                  <c:v>100G PSM4_500 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Summary!$C$676:$N$676</c:f>
              <c:numCache>
                <c:formatCode>_("$"* #,##0_);_("$"* \(#,##0\);_("$"* "-"??_);_(@_)</c:formatCode>
                <c:ptCount val="12"/>
                <c:pt idx="0">
                  <c:v>67.773890240000014</c:v>
                </c:pt>
                <c:pt idx="1">
                  <c:v>158.09400299999999</c:v>
                </c:pt>
                <c:pt idx="2">
                  <c:v>96.70092799999999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84A1-914C-A9C3-AE1A8529D042}"/>
            </c:ext>
          </c:extLst>
        </c:ser>
        <c:ser>
          <c:idx val="1"/>
          <c:order val="1"/>
          <c:tx>
            <c:strRef>
              <c:f>Summary!$B$677</c:f>
              <c:strCache>
                <c:ptCount val="1"/>
                <c:pt idx="0">
                  <c:v>100G DR_500m_QSFP28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Summary!$C$677:$N$677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4A1-914C-A9C3-AE1A8529D042}"/>
            </c:ext>
          </c:extLst>
        </c:ser>
        <c:ser>
          <c:idx val="2"/>
          <c:order val="2"/>
          <c:tx>
            <c:strRef>
              <c:f>Summary!$B$678</c:f>
              <c:strCache>
                <c:ptCount val="1"/>
                <c:pt idx="0">
                  <c:v>100G CWDM4-subspec_500 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Summary!$C$678:$N$678</c:f>
              <c:numCache>
                <c:formatCode>_("$"* #,##0_);_("$"* \(#,##0\);_("$"* "-"??_);_(@_)</c:formatCode>
                <c:ptCount val="12"/>
                <c:pt idx="0">
                  <c:v>55.125374999999998</c:v>
                </c:pt>
                <c:pt idx="1">
                  <c:v>307.53544499999998</c:v>
                </c:pt>
                <c:pt idx="2">
                  <c:v>308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84A1-914C-A9C3-AE1A8529D042}"/>
            </c:ext>
          </c:extLst>
        </c:ser>
        <c:ser>
          <c:idx val="3"/>
          <c:order val="3"/>
          <c:tx>
            <c:strRef>
              <c:f>Summary!$B$679</c:f>
              <c:strCache>
                <c:ptCount val="1"/>
                <c:pt idx="0">
                  <c:v>100G CWDM4_2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Summary!$C$679:$N$679</c:f>
              <c:numCache>
                <c:formatCode>_("$"* #,##0_);_("$"* \(#,##0\);_("$"* "-"??_);_(@_)</c:formatCode>
                <c:ptCount val="12"/>
                <c:pt idx="0">
                  <c:v>25.566254999999995</c:v>
                </c:pt>
                <c:pt idx="1">
                  <c:v>190.37908500000003</c:v>
                </c:pt>
                <c:pt idx="2">
                  <c:v>914.48338333333322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4A1-914C-A9C3-AE1A8529D042}"/>
            </c:ext>
          </c:extLst>
        </c:ser>
        <c:ser>
          <c:idx val="4"/>
          <c:order val="4"/>
          <c:tx>
            <c:strRef>
              <c:f>Summary!$B$680</c:f>
              <c:strCache>
                <c:ptCount val="1"/>
                <c:pt idx="0">
                  <c:v>100G FR, DR+_2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Summary!$C$680:$N$680</c:f>
              <c:numCache>
                <c:formatCode>_("$"* #,##0_);_("$"* \(#,##0\);_("$"* "-"??_);_(@_)</c:formatCode>
                <c:ptCount val="12"/>
                <c:pt idx="0">
                  <c:v>0</c:v>
                </c:pt>
                <c:pt idx="1">
                  <c:v>0</c:v>
                </c:pt>
                <c:pt idx="2">
                  <c:v>1.2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4A1-914C-A9C3-AE1A8529D042}"/>
            </c:ext>
          </c:extLst>
        </c:ser>
        <c:dLbls>
          <c:showLegendKey val="0"/>
          <c:showVal val="0"/>
          <c:showCatName val="0"/>
          <c:showSerName val="0"/>
          <c:showPercent val="0"/>
          <c:showBubbleSize val="0"/>
        </c:dLbls>
        <c:marker val="1"/>
        <c:smooth val="0"/>
        <c:axId val="131796992"/>
        <c:axId val="131798528"/>
      </c:lineChart>
      <c:catAx>
        <c:axId val="131796992"/>
        <c:scaling>
          <c:orientation val="minMax"/>
        </c:scaling>
        <c:delete val="0"/>
        <c:axPos val="b"/>
        <c:numFmt formatCode="General" sourceLinked="1"/>
        <c:majorTickMark val="out"/>
        <c:minorTickMark val="none"/>
        <c:tickLblPos val="nextTo"/>
        <c:crossAx val="131798528"/>
        <c:crosses val="autoZero"/>
        <c:auto val="1"/>
        <c:lblAlgn val="ctr"/>
        <c:lblOffset val="100"/>
        <c:noMultiLvlLbl val="0"/>
      </c:catAx>
      <c:valAx>
        <c:axId val="131798528"/>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1.6779449598503159E-2"/>
              <c:y val="0.23756042802342014"/>
            </c:manualLayout>
          </c:layout>
          <c:overlay val="0"/>
        </c:title>
        <c:numFmt formatCode="&quot;$&quot;#,##0" sourceLinked="0"/>
        <c:majorTickMark val="out"/>
        <c:minorTickMark val="none"/>
        <c:tickLblPos val="nextTo"/>
        <c:crossAx val="131796992"/>
        <c:crosses val="autoZero"/>
        <c:crossBetween val="between"/>
      </c:valAx>
    </c:plotArea>
    <c:legend>
      <c:legendPos val="l"/>
      <c:layout>
        <c:manualLayout>
          <c:xMode val="edge"/>
          <c:yMode val="edge"/>
          <c:x val="0.12832926893206623"/>
          <c:y val="2.8389443379508203E-2"/>
          <c:w val="0.85052637805384634"/>
          <c:h val="0.18382500725164974"/>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10 km - 40 km Reach</a:t>
            </a:r>
            <a:endParaRPr lang="en-US">
              <a:effectLst/>
            </a:endParaRPr>
          </a:p>
        </c:rich>
      </c:tx>
      <c:layout>
        <c:manualLayout>
          <c:xMode val="edge"/>
          <c:yMode val="edge"/>
          <c:x val="0.40352210241903447"/>
          <c:y val="0.19298250945780066"/>
        </c:manualLayout>
      </c:layout>
      <c:overlay val="1"/>
    </c:title>
    <c:autoTitleDeleted val="0"/>
    <c:plotArea>
      <c:layout>
        <c:manualLayout>
          <c:layoutTarget val="inner"/>
          <c:xMode val="edge"/>
          <c:yMode val="edge"/>
          <c:x val="0.12767766468215863"/>
          <c:y val="0.10847329975778416"/>
          <c:w val="0.85446268484732091"/>
          <c:h val="0.80962006067690584"/>
        </c:manualLayout>
      </c:layout>
      <c:lineChart>
        <c:grouping val="standard"/>
        <c:varyColors val="0"/>
        <c:ser>
          <c:idx val="5"/>
          <c:order val="0"/>
          <c:tx>
            <c:strRef>
              <c:f>Summary!$B$681</c:f>
              <c:strCache>
                <c:ptCount val="1"/>
                <c:pt idx="0">
                  <c:v>100G LR4_10 km_CFP</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Summary!$C$681:$M$681</c:f>
              <c:numCache>
                <c:formatCode>_("$"* #,##0_);_("$"* \(#,##0\);_("$"* "-"??_);_(@_)</c:formatCode>
                <c:ptCount val="11"/>
                <c:pt idx="0">
                  <c:v>387.84002208207454</c:v>
                </c:pt>
                <c:pt idx="1">
                  <c:v>186.42675405916248</c:v>
                </c:pt>
                <c:pt idx="2">
                  <c:v>81.455872165940619</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E3F-0442-AB9C-3972521F7D5C}"/>
            </c:ext>
          </c:extLst>
        </c:ser>
        <c:ser>
          <c:idx val="6"/>
          <c:order val="1"/>
          <c:tx>
            <c:strRef>
              <c:f>Summary!$B$682</c:f>
              <c:strCache>
                <c:ptCount val="1"/>
                <c:pt idx="0">
                  <c:v>100G LR4_10 km_CFP2/4</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Summary!$C$682:$M$682</c:f>
              <c:numCache>
                <c:formatCode>_("$"* #,##0_);_("$"* \(#,##0\);_("$"* "-"??_);_(@_)</c:formatCode>
                <c:ptCount val="11"/>
                <c:pt idx="0">
                  <c:v>265.89292589706986</c:v>
                </c:pt>
                <c:pt idx="1">
                  <c:v>167.37814313065076</c:v>
                </c:pt>
                <c:pt idx="2">
                  <c:v>101.21498299999995</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E3F-0442-AB9C-3972521F7D5C}"/>
            </c:ext>
          </c:extLst>
        </c:ser>
        <c:ser>
          <c:idx val="7"/>
          <c:order val="2"/>
          <c:tx>
            <c:strRef>
              <c:f>Summary!$B$683</c:f>
              <c:strCache>
                <c:ptCount val="1"/>
                <c:pt idx="0">
                  <c:v>100G LR4 and LR1_10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Summary!$C$683:$N$683</c:f>
              <c:numCache>
                <c:formatCode>_("$"* #,##0_);_("$"* \(#,##0\);_("$"* "-"??_);_(@_)</c:formatCode>
                <c:ptCount val="12"/>
                <c:pt idx="0">
                  <c:v>175.29210971636297</c:v>
                </c:pt>
                <c:pt idx="1">
                  <c:v>434.82240000000002</c:v>
                </c:pt>
                <c:pt idx="2">
                  <c:v>331.77466984830187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7-2E3F-0442-AB9C-3972521F7D5C}"/>
            </c:ext>
          </c:extLst>
        </c:ser>
        <c:ser>
          <c:idx val="8"/>
          <c:order val="3"/>
          <c:tx>
            <c:strRef>
              <c:f>Summary!$B$684</c:f>
              <c:strCache>
                <c:ptCount val="1"/>
                <c:pt idx="0">
                  <c:v>100G 4WDM10_10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Summary!$C$684:$N$684</c:f>
              <c:numCache>
                <c:formatCode>_("$"* #,##0_);_("$"* \(#,##0\);_("$"* "-"??_);_(@_)</c:formatCode>
                <c:ptCount val="12"/>
                <c:pt idx="0">
                  <c:v>0</c:v>
                </c:pt>
                <c:pt idx="1">
                  <c:v>22.5</c:v>
                </c:pt>
                <c:pt idx="2">
                  <c:v>30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8-2E3F-0442-AB9C-3972521F7D5C}"/>
            </c:ext>
          </c:extLst>
        </c:ser>
        <c:ser>
          <c:idx val="9"/>
          <c:order val="4"/>
          <c:tx>
            <c:strRef>
              <c:f>Summary!$B$685</c:f>
              <c:strCache>
                <c:ptCount val="1"/>
                <c:pt idx="0">
                  <c:v>100G 4WDM20_20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Summary!$C$685:$N$685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9-2E3F-0442-AB9C-3972521F7D5C}"/>
            </c:ext>
          </c:extLst>
        </c:ser>
        <c:ser>
          <c:idx val="10"/>
          <c:order val="5"/>
          <c:tx>
            <c:strRef>
              <c:f>Summary!$B$688</c:f>
              <c:strCache>
                <c:ptCount val="1"/>
                <c:pt idx="0">
                  <c:v>100G ZR4_80 km_QSFP28</c:v>
                </c:pt>
              </c:strCache>
            </c:strRef>
          </c:tx>
          <c:cat>
            <c:numRef>
              <c:f>Summary!$C$675:$N$675</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Summary!$C$688:$N$688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A-2E3F-0442-AB9C-3972521F7D5C}"/>
            </c:ext>
          </c:extLst>
        </c:ser>
        <c:dLbls>
          <c:showLegendKey val="0"/>
          <c:showVal val="0"/>
          <c:showCatName val="0"/>
          <c:showSerName val="0"/>
          <c:showPercent val="0"/>
          <c:showBubbleSize val="0"/>
        </c:dLbls>
        <c:marker val="1"/>
        <c:smooth val="0"/>
        <c:axId val="131854720"/>
        <c:axId val="131856256"/>
      </c:lineChart>
      <c:catAx>
        <c:axId val="131854720"/>
        <c:scaling>
          <c:orientation val="minMax"/>
        </c:scaling>
        <c:delete val="0"/>
        <c:axPos val="b"/>
        <c:numFmt formatCode="General" sourceLinked="1"/>
        <c:majorTickMark val="out"/>
        <c:minorTickMark val="none"/>
        <c:tickLblPos val="nextTo"/>
        <c:crossAx val="131856256"/>
        <c:crosses val="autoZero"/>
        <c:auto val="1"/>
        <c:lblAlgn val="ctr"/>
        <c:lblOffset val="100"/>
        <c:noMultiLvlLbl val="0"/>
      </c:catAx>
      <c:valAx>
        <c:axId val="131856256"/>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2.2027270981371236E-2"/>
              <c:y val="0.2969314341325312"/>
            </c:manualLayout>
          </c:layout>
          <c:overlay val="0"/>
        </c:title>
        <c:numFmt formatCode="&quot;$&quot;#,##0" sourceLinked="0"/>
        <c:majorTickMark val="out"/>
        <c:minorTickMark val="none"/>
        <c:tickLblPos val="nextTo"/>
        <c:crossAx val="131854720"/>
        <c:crosses val="autoZero"/>
        <c:crossBetween val="between"/>
      </c:valAx>
    </c:plotArea>
    <c:legend>
      <c:legendPos val="l"/>
      <c:layout>
        <c:manualLayout>
          <c:xMode val="edge"/>
          <c:yMode val="edge"/>
          <c:x val="0.12872234711995242"/>
          <c:y val="2.1474242705965665E-2"/>
          <c:w val="0.85126207335299575"/>
          <c:h val="0.16244181860528215"/>
        </c:manualLayout>
      </c:layout>
      <c:overlay val="0"/>
      <c:spPr>
        <a:solidFill>
          <a:schemeClr val="bg1"/>
        </a:solidFill>
        <a:ln>
          <a:solidFill>
            <a:schemeClr val="bg1">
              <a:lumMod val="50000"/>
            </a:schemeClr>
          </a:solidFill>
        </a:ln>
      </c:sp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 GbE</a:t>
            </a:r>
            <a:r>
              <a:rPr lang="en-US" baseline="0"/>
              <a:t> Shipments by Reach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180166458805691"/>
          <c:y val="0.24476418876493081"/>
          <c:w val="0.78072223485711556"/>
          <c:h val="0.66065153299857282"/>
        </c:manualLayout>
      </c:layout>
      <c:lineChart>
        <c:grouping val="standard"/>
        <c:varyColors val="0"/>
        <c:ser>
          <c:idx val="0"/>
          <c:order val="0"/>
          <c:tx>
            <c:strRef>
              <c:f>Summary!$B$936</c:f>
              <c:strCache>
                <c:ptCount val="1"/>
                <c:pt idx="0">
                  <c:v>10G MMF</c:v>
                </c:pt>
              </c:strCache>
            </c:strRef>
          </c:tx>
          <c:spPr>
            <a:ln w="28575" cap="rnd">
              <a:solidFill>
                <a:schemeClr val="accent1"/>
              </a:solidFill>
              <a:round/>
            </a:ln>
            <a:effectLst/>
          </c:spPr>
          <c:marker>
            <c:symbol val="none"/>
          </c:marker>
          <c:cat>
            <c:numRef>
              <c:f>Summary!$C$935:$G$935</c:f>
              <c:numCache>
                <c:formatCode>General</c:formatCode>
                <c:ptCount val="5"/>
                <c:pt idx="0">
                  <c:v>2016</c:v>
                </c:pt>
                <c:pt idx="1">
                  <c:v>2017</c:v>
                </c:pt>
                <c:pt idx="2">
                  <c:v>2018</c:v>
                </c:pt>
                <c:pt idx="3">
                  <c:v>2019</c:v>
                </c:pt>
                <c:pt idx="4">
                  <c:v>2020</c:v>
                </c:pt>
              </c:numCache>
            </c:numRef>
          </c:cat>
          <c:val>
            <c:numRef>
              <c:f>Summary!$C$936:$H$936</c:f>
              <c:numCache>
                <c:formatCode>_(* #,##0_);_(* \(#,##0\);_(* "-"??_);_(@_)</c:formatCode>
                <c:ptCount val="6"/>
                <c:pt idx="0">
                  <c:v>13000883.93</c:v>
                </c:pt>
                <c:pt idx="1">
                  <c:v>14702610</c:v>
                </c:pt>
                <c:pt idx="2">
                  <c:v>16130297.5</c:v>
                </c:pt>
                <c:pt idx="3">
                  <c:v>0</c:v>
                </c:pt>
                <c:pt idx="4">
                  <c:v>0</c:v>
                </c:pt>
                <c:pt idx="5">
                  <c:v>0</c:v>
                </c:pt>
              </c:numCache>
            </c:numRef>
          </c:val>
          <c:smooth val="0"/>
          <c:extLst>
            <c:ext xmlns:c16="http://schemas.microsoft.com/office/drawing/2014/chart" uri="{C3380CC4-5D6E-409C-BE32-E72D297353CC}">
              <c16:uniqueId val="{00000000-13AA-114C-9A06-CA4B4621762D}"/>
            </c:ext>
          </c:extLst>
        </c:ser>
        <c:ser>
          <c:idx val="1"/>
          <c:order val="1"/>
          <c:tx>
            <c:strRef>
              <c:f>Summary!$B$937</c:f>
              <c:strCache>
                <c:ptCount val="1"/>
                <c:pt idx="0">
                  <c:v>10G 10km</c:v>
                </c:pt>
              </c:strCache>
            </c:strRef>
          </c:tx>
          <c:spPr>
            <a:ln w="28575" cap="rnd">
              <a:solidFill>
                <a:schemeClr val="accent2"/>
              </a:solidFill>
              <a:round/>
            </a:ln>
            <a:effectLst/>
          </c:spPr>
          <c:marker>
            <c:symbol val="none"/>
          </c:marker>
          <c:cat>
            <c:numRef>
              <c:f>Summary!$C$935:$G$935</c:f>
              <c:numCache>
                <c:formatCode>General</c:formatCode>
                <c:ptCount val="5"/>
                <c:pt idx="0">
                  <c:v>2016</c:v>
                </c:pt>
                <c:pt idx="1">
                  <c:v>2017</c:v>
                </c:pt>
                <c:pt idx="2">
                  <c:v>2018</c:v>
                </c:pt>
                <c:pt idx="3">
                  <c:v>2019</c:v>
                </c:pt>
                <c:pt idx="4">
                  <c:v>2020</c:v>
                </c:pt>
              </c:numCache>
            </c:numRef>
          </c:cat>
          <c:val>
            <c:numRef>
              <c:f>Summary!$C$937:$H$937</c:f>
              <c:numCache>
                <c:formatCode>_(* #,##0_);_(* \(#,##0\);_(* "-"??_);_(@_)</c:formatCode>
                <c:ptCount val="6"/>
                <c:pt idx="0">
                  <c:v>6522271</c:v>
                </c:pt>
                <c:pt idx="1">
                  <c:v>6815238</c:v>
                </c:pt>
                <c:pt idx="2">
                  <c:v>7087259</c:v>
                </c:pt>
                <c:pt idx="3">
                  <c:v>0</c:v>
                </c:pt>
                <c:pt idx="4">
                  <c:v>0</c:v>
                </c:pt>
                <c:pt idx="5">
                  <c:v>0</c:v>
                </c:pt>
              </c:numCache>
            </c:numRef>
          </c:val>
          <c:smooth val="0"/>
          <c:extLst>
            <c:ext xmlns:c16="http://schemas.microsoft.com/office/drawing/2014/chart" uri="{C3380CC4-5D6E-409C-BE32-E72D297353CC}">
              <c16:uniqueId val="{00000001-13AA-114C-9A06-CA4B4621762D}"/>
            </c:ext>
          </c:extLst>
        </c:ser>
        <c:ser>
          <c:idx val="2"/>
          <c:order val="2"/>
          <c:tx>
            <c:strRef>
              <c:f>Summary!$B$938</c:f>
              <c:strCache>
                <c:ptCount val="1"/>
                <c:pt idx="0">
                  <c:v>10G 40/80km</c:v>
                </c:pt>
              </c:strCache>
            </c:strRef>
          </c:tx>
          <c:spPr>
            <a:ln w="28575" cap="rnd">
              <a:solidFill>
                <a:schemeClr val="accent3"/>
              </a:solidFill>
              <a:round/>
            </a:ln>
            <a:effectLst/>
          </c:spPr>
          <c:marker>
            <c:symbol val="none"/>
          </c:marker>
          <c:cat>
            <c:numRef>
              <c:f>Summary!$C$935:$G$935</c:f>
              <c:numCache>
                <c:formatCode>General</c:formatCode>
                <c:ptCount val="5"/>
                <c:pt idx="0">
                  <c:v>2016</c:v>
                </c:pt>
                <c:pt idx="1">
                  <c:v>2017</c:v>
                </c:pt>
                <c:pt idx="2">
                  <c:v>2018</c:v>
                </c:pt>
                <c:pt idx="3">
                  <c:v>2019</c:v>
                </c:pt>
                <c:pt idx="4">
                  <c:v>2020</c:v>
                </c:pt>
              </c:numCache>
            </c:numRef>
          </c:cat>
          <c:val>
            <c:numRef>
              <c:f>Summary!$C$938:$H$938</c:f>
              <c:numCache>
                <c:formatCode>_(* #,##0_);_(* \(#,##0\);_(* "-"??_);_(@_)</c:formatCode>
                <c:ptCount val="6"/>
                <c:pt idx="0">
                  <c:v>523162</c:v>
                </c:pt>
                <c:pt idx="1">
                  <c:v>438040.1</c:v>
                </c:pt>
                <c:pt idx="2">
                  <c:v>845482.1</c:v>
                </c:pt>
                <c:pt idx="3">
                  <c:v>0</c:v>
                </c:pt>
                <c:pt idx="4">
                  <c:v>0</c:v>
                </c:pt>
                <c:pt idx="5">
                  <c:v>0</c:v>
                </c:pt>
              </c:numCache>
            </c:numRef>
          </c:val>
          <c:smooth val="0"/>
          <c:extLst>
            <c:ext xmlns:c16="http://schemas.microsoft.com/office/drawing/2014/chart" uri="{C3380CC4-5D6E-409C-BE32-E72D297353CC}">
              <c16:uniqueId val="{00000002-13AA-114C-9A06-CA4B4621762D}"/>
            </c:ext>
          </c:extLst>
        </c:ser>
        <c:dLbls>
          <c:showLegendKey val="0"/>
          <c:showVal val="0"/>
          <c:showCatName val="0"/>
          <c:showSerName val="0"/>
          <c:showPercent val="0"/>
          <c:showBubbleSize val="0"/>
        </c:dLbls>
        <c:smooth val="0"/>
        <c:axId val="131888256"/>
        <c:axId val="131889792"/>
      </c:lineChart>
      <c:catAx>
        <c:axId val="131888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1889792"/>
        <c:crosses val="autoZero"/>
        <c:auto val="1"/>
        <c:lblAlgn val="ctr"/>
        <c:lblOffset val="100"/>
        <c:noMultiLvlLbl val="0"/>
      </c:catAx>
      <c:valAx>
        <c:axId val="131889792"/>
        <c:scaling>
          <c:logBase val="10"/>
          <c:orientation val="minMax"/>
          <c:min val="1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31888256"/>
        <c:crosses val="autoZero"/>
        <c:crossBetween val="between"/>
      </c:valAx>
      <c:spPr>
        <a:noFill/>
        <a:ln>
          <a:noFill/>
        </a:ln>
        <a:effectLst/>
      </c:spPr>
    </c:plotArea>
    <c:legend>
      <c:legendPos val="b"/>
      <c:layout>
        <c:manualLayout>
          <c:xMode val="edge"/>
          <c:yMode val="edge"/>
          <c:x val="0.18965246502318442"/>
          <c:y val="0.14193022203397634"/>
          <c:w val="0.69118230944325731"/>
          <c:h val="5.7719015696461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 GbE</a:t>
            </a:r>
            <a:r>
              <a:rPr lang="en-US" baseline="0"/>
              <a:t> Shipments by Reach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449862381514259"/>
          <c:y val="0.28115893226804406"/>
          <c:w val="0.79701080959770643"/>
          <c:h val="0.62440097875676526"/>
        </c:manualLayout>
      </c:layout>
      <c:lineChart>
        <c:grouping val="standard"/>
        <c:varyColors val="0"/>
        <c:ser>
          <c:idx val="0"/>
          <c:order val="0"/>
          <c:tx>
            <c:strRef>
              <c:f>Summary!$B$943</c:f>
              <c:strCache>
                <c:ptCount val="1"/>
                <c:pt idx="0">
                  <c:v>100G MMF</c:v>
                </c:pt>
              </c:strCache>
            </c:strRef>
          </c:tx>
          <c:spPr>
            <a:ln w="28575" cap="rnd">
              <a:solidFill>
                <a:schemeClr val="accent1"/>
              </a:solidFill>
              <a:round/>
            </a:ln>
            <a:effectLst/>
          </c:spPr>
          <c:marker>
            <c:symbol val="none"/>
          </c:marker>
          <c:cat>
            <c:numRef>
              <c:f>Summary!$H$935:$N$935</c:f>
              <c:numCache>
                <c:formatCode>General</c:formatCode>
                <c:ptCount val="7"/>
                <c:pt idx="0">
                  <c:v>2021</c:v>
                </c:pt>
                <c:pt idx="1">
                  <c:v>2022</c:v>
                </c:pt>
                <c:pt idx="2">
                  <c:v>2023</c:v>
                </c:pt>
                <c:pt idx="3">
                  <c:v>2024</c:v>
                </c:pt>
                <c:pt idx="4">
                  <c:v>2025</c:v>
                </c:pt>
                <c:pt idx="5">
                  <c:v>2026</c:v>
                </c:pt>
                <c:pt idx="6">
                  <c:v>2027</c:v>
                </c:pt>
              </c:numCache>
            </c:numRef>
          </c:cat>
          <c:val>
            <c:numRef>
              <c:f>Summary!$H$943:$N$943</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4C47-C442-8AF9-E5BD7835E327}"/>
            </c:ext>
          </c:extLst>
        </c:ser>
        <c:ser>
          <c:idx val="1"/>
          <c:order val="1"/>
          <c:tx>
            <c:strRef>
              <c:f>Summary!$B$944</c:f>
              <c:strCache>
                <c:ptCount val="1"/>
                <c:pt idx="0">
                  <c:v>100G 10km</c:v>
                </c:pt>
              </c:strCache>
            </c:strRef>
          </c:tx>
          <c:spPr>
            <a:ln w="28575" cap="rnd">
              <a:solidFill>
                <a:schemeClr val="accent2"/>
              </a:solidFill>
              <a:round/>
            </a:ln>
            <a:effectLst/>
          </c:spPr>
          <c:marker>
            <c:symbol val="none"/>
          </c:marker>
          <c:cat>
            <c:numRef>
              <c:f>Summary!$H$935:$N$935</c:f>
              <c:numCache>
                <c:formatCode>General</c:formatCode>
                <c:ptCount val="7"/>
                <c:pt idx="0">
                  <c:v>2021</c:v>
                </c:pt>
                <c:pt idx="1">
                  <c:v>2022</c:v>
                </c:pt>
                <c:pt idx="2">
                  <c:v>2023</c:v>
                </c:pt>
                <c:pt idx="3">
                  <c:v>2024</c:v>
                </c:pt>
                <c:pt idx="4">
                  <c:v>2025</c:v>
                </c:pt>
                <c:pt idx="5">
                  <c:v>2026</c:v>
                </c:pt>
                <c:pt idx="6">
                  <c:v>2027</c:v>
                </c:pt>
              </c:numCache>
            </c:numRef>
          </c:cat>
          <c:val>
            <c:numRef>
              <c:f>Summary!$H$944:$N$944</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4C47-C442-8AF9-E5BD7835E327}"/>
            </c:ext>
          </c:extLst>
        </c:ser>
        <c:ser>
          <c:idx val="2"/>
          <c:order val="2"/>
          <c:tx>
            <c:strRef>
              <c:f>Summary!$B$945</c:f>
              <c:strCache>
                <c:ptCount val="1"/>
                <c:pt idx="0">
                  <c:v>100G 30/80km</c:v>
                </c:pt>
              </c:strCache>
            </c:strRef>
          </c:tx>
          <c:spPr>
            <a:ln w="28575" cap="rnd">
              <a:solidFill>
                <a:schemeClr val="accent3"/>
              </a:solidFill>
              <a:round/>
            </a:ln>
            <a:effectLst/>
          </c:spPr>
          <c:marker>
            <c:symbol val="none"/>
          </c:marker>
          <c:cat>
            <c:numRef>
              <c:f>Summary!$H$935:$N$935</c:f>
              <c:numCache>
                <c:formatCode>General</c:formatCode>
                <c:ptCount val="7"/>
                <c:pt idx="0">
                  <c:v>2021</c:v>
                </c:pt>
                <c:pt idx="1">
                  <c:v>2022</c:v>
                </c:pt>
                <c:pt idx="2">
                  <c:v>2023</c:v>
                </c:pt>
                <c:pt idx="3">
                  <c:v>2024</c:v>
                </c:pt>
                <c:pt idx="4">
                  <c:v>2025</c:v>
                </c:pt>
                <c:pt idx="5">
                  <c:v>2026</c:v>
                </c:pt>
                <c:pt idx="6">
                  <c:v>2027</c:v>
                </c:pt>
              </c:numCache>
            </c:numRef>
          </c:cat>
          <c:val>
            <c:numRef>
              <c:f>Summary!$H$945:$N$945</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4C47-C442-8AF9-E5BD7835E327}"/>
            </c:ext>
          </c:extLst>
        </c:ser>
        <c:dLbls>
          <c:showLegendKey val="0"/>
          <c:showVal val="0"/>
          <c:showCatName val="0"/>
          <c:showSerName val="0"/>
          <c:showPercent val="0"/>
          <c:showBubbleSize val="0"/>
        </c:dLbls>
        <c:smooth val="0"/>
        <c:axId val="45627264"/>
        <c:axId val="45628800"/>
      </c:lineChart>
      <c:catAx>
        <c:axId val="4562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628800"/>
        <c:crosses val="autoZero"/>
        <c:auto val="1"/>
        <c:lblAlgn val="ctr"/>
        <c:lblOffset val="100"/>
        <c:noMultiLvlLbl val="0"/>
      </c:catAx>
      <c:valAx>
        <c:axId val="45628800"/>
        <c:scaling>
          <c:logBase val="10"/>
          <c:orientation val="minMax"/>
          <c:min val="1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5627264"/>
        <c:crosses val="autoZero"/>
        <c:crossBetween val="between"/>
      </c:valAx>
      <c:spPr>
        <a:noFill/>
        <a:ln>
          <a:noFill/>
        </a:ln>
        <a:effectLst/>
      </c:spPr>
    </c:plotArea>
    <c:legend>
      <c:legendPos val="b"/>
      <c:layout>
        <c:manualLayout>
          <c:xMode val="edge"/>
          <c:yMode val="edge"/>
          <c:x val="0.20023037290834564"/>
          <c:y val="0.1355684925766239"/>
          <c:w val="0.69118230944325731"/>
          <c:h val="5.771901569646117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7847381796149"/>
          <c:y val="3.778602565976448E-2"/>
          <c:w val="0.82740080139095473"/>
          <c:h val="0.88510710065066112"/>
        </c:manualLayout>
      </c:layout>
      <c:lineChart>
        <c:grouping val="standard"/>
        <c:varyColors val="0"/>
        <c:ser>
          <c:idx val="2"/>
          <c:order val="0"/>
          <c:tx>
            <c:strRef>
              <c:f>Summary!$B$858</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Summary!$G$858:$N$858</c:f>
              <c:numCache>
                <c:formatCode>_(* #,##0_);_(* \(#,##0\);_(* "-"??_);_(@_)</c:formatCode>
                <c:ptCount val="8"/>
              </c:numCache>
            </c:numRef>
          </c:val>
          <c:smooth val="0"/>
          <c:extLst>
            <c:ext xmlns:c16="http://schemas.microsoft.com/office/drawing/2014/chart" uri="{C3380CC4-5D6E-409C-BE32-E72D297353CC}">
              <c16:uniqueId val="{00000000-DCD4-1B4A-BF00-DACF0025900F}"/>
            </c:ext>
          </c:extLst>
        </c:ser>
        <c:ser>
          <c:idx val="0"/>
          <c:order val="1"/>
          <c:tx>
            <c:strRef>
              <c:f>Summary!$B$859</c:f>
              <c:strCache>
                <c:ptCount val="1"/>
                <c:pt idx="0">
                  <c:v>800G DR8, DR4_500 m_OSFP, QSFP-DD800</c:v>
                </c:pt>
              </c:strCache>
            </c:strRef>
          </c:tx>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Summary!$G$859:$N$859</c:f>
              <c:numCache>
                <c:formatCode>_(* #,##0_);_(* \(#,##0\);_(* "-"??_);_(@_)</c:formatCode>
                <c:ptCount val="8"/>
              </c:numCache>
            </c:numRef>
          </c:val>
          <c:smooth val="0"/>
          <c:extLst>
            <c:ext xmlns:c16="http://schemas.microsoft.com/office/drawing/2014/chart" uri="{C3380CC4-5D6E-409C-BE32-E72D297353CC}">
              <c16:uniqueId val="{00000001-DCD4-1B4A-BF00-DACF0025900F}"/>
            </c:ext>
          </c:extLst>
        </c:ser>
        <c:ser>
          <c:idx val="1"/>
          <c:order val="2"/>
          <c:tx>
            <c:strRef>
              <c:f>Summary!$B$860</c:f>
              <c:strCache>
                <c:ptCount val="1"/>
                <c:pt idx="0">
                  <c:v>2x(400G FR4), 800G FR4_2 km_OSFP, QSFP-DD800</c:v>
                </c:pt>
              </c:strCache>
            </c:strRef>
          </c:tx>
          <c:spPr>
            <a:ln>
              <a:solidFill>
                <a:schemeClr val="accent4"/>
              </a:solidFill>
            </a:ln>
          </c:spPr>
          <c:marker>
            <c:spPr>
              <a:solidFill>
                <a:schemeClr val="accent4"/>
              </a:solidFill>
              <a:ln>
                <a:solidFill>
                  <a:schemeClr val="accent4"/>
                </a:solidFill>
              </a:ln>
            </c:spPr>
          </c:marker>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Summary!$G$860:$N$860</c:f>
              <c:numCache>
                <c:formatCode>_(* #,##0_);_(* \(#,##0\);_(* "-"??_);_(@_)</c:formatCode>
                <c:ptCount val="8"/>
              </c:numCache>
            </c:numRef>
          </c:val>
          <c:smooth val="0"/>
          <c:extLst>
            <c:ext xmlns:c16="http://schemas.microsoft.com/office/drawing/2014/chart" uri="{C3380CC4-5D6E-409C-BE32-E72D297353CC}">
              <c16:uniqueId val="{00000002-DCD4-1B4A-BF00-DACF0025900F}"/>
            </c:ext>
          </c:extLst>
        </c:ser>
        <c:ser>
          <c:idx val="3"/>
          <c:order val="3"/>
          <c:tx>
            <c:strRef>
              <c:f>Summary!$B$861</c:f>
              <c:strCache>
                <c:ptCount val="1"/>
                <c:pt idx="0">
                  <c:v>800G LR8, LR4_6, 10 km_TBD</c:v>
                </c:pt>
              </c:strCache>
            </c:strRef>
          </c:tx>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Summary!$G$861:$N$861</c:f>
              <c:numCache>
                <c:formatCode>_(* #,##0_);_(* \(#,##0\);_(* "-"??_);_(@_)</c:formatCode>
                <c:ptCount val="8"/>
              </c:numCache>
            </c:numRef>
          </c:val>
          <c:smooth val="0"/>
          <c:extLst>
            <c:ext xmlns:c16="http://schemas.microsoft.com/office/drawing/2014/chart" uri="{C3380CC4-5D6E-409C-BE32-E72D297353CC}">
              <c16:uniqueId val="{00000000-F935-5641-B16A-9976EC2E5007}"/>
            </c:ext>
          </c:extLst>
        </c:ser>
        <c:ser>
          <c:idx val="4"/>
          <c:order val="4"/>
          <c:tx>
            <c:strRef>
              <c:f>Summary!$B$862</c:f>
              <c:strCache>
                <c:ptCount val="1"/>
                <c:pt idx="0">
                  <c:v>800G ZRlite_10 km, 20 km_TBD</c:v>
                </c:pt>
              </c:strCache>
            </c:strRef>
          </c:tx>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Summary!$G$862:$N$862</c:f>
              <c:numCache>
                <c:formatCode>_(* #,##0_);_(* \(#,##0\);_(* "-"??_);_(@_)</c:formatCode>
                <c:ptCount val="8"/>
              </c:numCache>
            </c:numRef>
          </c:val>
          <c:smooth val="0"/>
          <c:extLst>
            <c:ext xmlns:c16="http://schemas.microsoft.com/office/drawing/2014/chart" uri="{C3380CC4-5D6E-409C-BE32-E72D297353CC}">
              <c16:uniqueId val="{00000001-F935-5641-B16A-9976EC2E5007}"/>
            </c:ext>
          </c:extLst>
        </c:ser>
        <c:ser>
          <c:idx val="5"/>
          <c:order val="5"/>
          <c:tx>
            <c:strRef>
              <c:f>Summary!$B$863</c:f>
              <c:strCache>
                <c:ptCount val="1"/>
                <c:pt idx="0">
                  <c:v>800G ER4_40 km_TBD</c:v>
                </c:pt>
              </c:strCache>
            </c:strRef>
          </c:tx>
          <c:cat>
            <c:numRef>
              <c:f>Summary!$G$857:$N$857</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Summary!$G$863:$N$863</c:f>
              <c:numCache>
                <c:formatCode>_(* #,##0_);_(* \(#,##0\);_(* "-"??_);_(@_)</c:formatCode>
                <c:ptCount val="8"/>
              </c:numCache>
            </c:numRef>
          </c:val>
          <c:smooth val="0"/>
          <c:extLst>
            <c:ext xmlns:c16="http://schemas.microsoft.com/office/drawing/2014/chart" uri="{C3380CC4-5D6E-409C-BE32-E72D297353CC}">
              <c16:uniqueId val="{00000002-F935-5641-B16A-9976EC2E5007}"/>
            </c:ext>
          </c:extLst>
        </c:ser>
        <c:dLbls>
          <c:showLegendKey val="0"/>
          <c:showVal val="0"/>
          <c:showCatName val="0"/>
          <c:showSerName val="0"/>
          <c:showPercent val="0"/>
          <c:showBubbleSize val="0"/>
        </c:dLbls>
        <c:marker val="1"/>
        <c:smooth val="0"/>
        <c:axId val="74119040"/>
        <c:axId val="74120576"/>
      </c:lineChart>
      <c:catAx>
        <c:axId val="74119040"/>
        <c:scaling>
          <c:orientation val="minMax"/>
        </c:scaling>
        <c:delete val="0"/>
        <c:axPos val="b"/>
        <c:numFmt formatCode="General" sourceLinked="1"/>
        <c:majorTickMark val="out"/>
        <c:minorTickMark val="none"/>
        <c:tickLblPos val="nextTo"/>
        <c:txPr>
          <a:bodyPr/>
          <a:lstStyle/>
          <a:p>
            <a:pPr>
              <a:defRPr sz="1000"/>
            </a:pPr>
            <a:endParaRPr lang="en-US"/>
          </a:p>
        </c:txPr>
        <c:crossAx val="74120576"/>
        <c:crosses val="autoZero"/>
        <c:auto val="1"/>
        <c:lblAlgn val="ctr"/>
        <c:lblOffset val="100"/>
        <c:noMultiLvlLbl val="0"/>
      </c:catAx>
      <c:valAx>
        <c:axId val="74120576"/>
        <c:scaling>
          <c:orientation val="minMax"/>
          <c:max val="2500000"/>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74119040"/>
        <c:crosses val="autoZero"/>
        <c:crossBetween val="between"/>
        <c:majorUnit val="500000"/>
      </c:valAx>
    </c:plotArea>
    <c:legend>
      <c:legendPos val="t"/>
      <c:layout>
        <c:manualLayout>
          <c:xMode val="edge"/>
          <c:yMode val="edge"/>
          <c:x val="0.17532950011636667"/>
          <c:y val="6.8869471953289907E-2"/>
          <c:w val="0.45501820842516488"/>
          <c:h val="0.4853915791486556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2785725345914"/>
          <c:y val="0.30977124857420302"/>
          <c:w val="0.83393308477067707"/>
          <c:h val="0.55375666505089682"/>
        </c:manualLayout>
      </c:layout>
      <c:lineChart>
        <c:grouping val="standard"/>
        <c:varyColors val="0"/>
        <c:ser>
          <c:idx val="2"/>
          <c:order val="0"/>
          <c:tx>
            <c:strRef>
              <c:f>Summary!$B$868</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Summary!$H$868:$N$868</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28FB-3C42-9AE7-8CFF292F800D}"/>
            </c:ext>
          </c:extLst>
        </c:ser>
        <c:ser>
          <c:idx val="0"/>
          <c:order val="1"/>
          <c:tx>
            <c:strRef>
              <c:f>Summary!$B$869</c:f>
              <c:strCache>
                <c:ptCount val="1"/>
                <c:pt idx="0">
                  <c:v>800G DR8, DR4_500 m_OSFP, QSFP-DD800</c:v>
                </c:pt>
              </c:strCache>
            </c:strRef>
          </c:tx>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Summary!$H$869:$N$869</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28FB-3C42-9AE7-8CFF292F800D}"/>
            </c:ext>
          </c:extLst>
        </c:ser>
        <c:ser>
          <c:idx val="1"/>
          <c:order val="2"/>
          <c:tx>
            <c:strRef>
              <c:f>Summary!$B$870</c:f>
              <c:strCache>
                <c:ptCount val="1"/>
                <c:pt idx="0">
                  <c:v>2x(400G FR4), 800G FR4_2 km_OSFP, QSFP-DD800</c:v>
                </c:pt>
              </c:strCache>
            </c:strRef>
          </c:tx>
          <c:spPr>
            <a:ln>
              <a:solidFill>
                <a:schemeClr val="accent4"/>
              </a:solidFill>
            </a:ln>
          </c:spPr>
          <c:marker>
            <c:spPr>
              <a:solidFill>
                <a:schemeClr val="accent4"/>
              </a:solidFill>
              <a:ln>
                <a:solidFill>
                  <a:schemeClr val="accent4"/>
                </a:solidFill>
              </a:ln>
            </c:spPr>
          </c:marker>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Summary!$H$870:$N$870</c:f>
              <c:numCache>
                <c:formatCode>_("$"* #,##0_);_("$"* \(#,##0\);_("$"* "-"??_);_(@_)</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2-28FB-3C42-9AE7-8CFF292F800D}"/>
            </c:ext>
          </c:extLst>
        </c:ser>
        <c:ser>
          <c:idx val="3"/>
          <c:order val="3"/>
          <c:tx>
            <c:strRef>
              <c:f>Summary!$B$871</c:f>
              <c:strCache>
                <c:ptCount val="1"/>
                <c:pt idx="0">
                  <c:v>800G LR8, LR4_6, 10 km_TBD</c:v>
                </c:pt>
              </c:strCache>
            </c:strRef>
          </c:tx>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Summary!$H$871:$N$871</c:f>
              <c:numCache>
                <c:formatCode>_("$"* #,##0_);_("$"* \(#,##0\);_("$"* "-"??_);_(@_)</c:formatCode>
                <c:ptCount val="7"/>
                <c:pt idx="1">
                  <c:v>0</c:v>
                </c:pt>
                <c:pt idx="2">
                  <c:v>0</c:v>
                </c:pt>
                <c:pt idx="3">
                  <c:v>0</c:v>
                </c:pt>
                <c:pt idx="4">
                  <c:v>0</c:v>
                </c:pt>
                <c:pt idx="5">
                  <c:v>0</c:v>
                </c:pt>
                <c:pt idx="6">
                  <c:v>0</c:v>
                </c:pt>
              </c:numCache>
            </c:numRef>
          </c:val>
          <c:smooth val="0"/>
          <c:extLst>
            <c:ext xmlns:c16="http://schemas.microsoft.com/office/drawing/2014/chart" uri="{C3380CC4-5D6E-409C-BE32-E72D297353CC}">
              <c16:uniqueId val="{00000000-6B4D-3C47-BAEF-E92F37CA1333}"/>
            </c:ext>
          </c:extLst>
        </c:ser>
        <c:ser>
          <c:idx val="4"/>
          <c:order val="4"/>
          <c:tx>
            <c:strRef>
              <c:f>Summary!$B$872</c:f>
              <c:strCache>
                <c:ptCount val="1"/>
                <c:pt idx="0">
                  <c:v>800G ZRlite_10 km, 20 km_TBD</c:v>
                </c:pt>
              </c:strCache>
            </c:strRef>
          </c:tx>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Summary!$H$872:$N$872</c:f>
              <c:numCache>
                <c:formatCode>_("$"* #,##0_);_("$"* \(#,##0\);_("$"* "-"??_);_(@_)</c:formatCode>
                <c:ptCount val="7"/>
                <c:pt idx="2">
                  <c:v>0</c:v>
                </c:pt>
                <c:pt idx="3">
                  <c:v>0</c:v>
                </c:pt>
                <c:pt idx="4">
                  <c:v>0</c:v>
                </c:pt>
                <c:pt idx="5">
                  <c:v>0</c:v>
                </c:pt>
                <c:pt idx="6">
                  <c:v>0</c:v>
                </c:pt>
              </c:numCache>
            </c:numRef>
          </c:val>
          <c:smooth val="0"/>
          <c:extLst>
            <c:ext xmlns:c16="http://schemas.microsoft.com/office/drawing/2014/chart" uri="{C3380CC4-5D6E-409C-BE32-E72D297353CC}">
              <c16:uniqueId val="{00000001-6B4D-3C47-BAEF-E92F37CA1333}"/>
            </c:ext>
          </c:extLst>
        </c:ser>
        <c:ser>
          <c:idx val="5"/>
          <c:order val="5"/>
          <c:tx>
            <c:strRef>
              <c:f>Summary!$B$873</c:f>
              <c:strCache>
                <c:ptCount val="1"/>
                <c:pt idx="0">
                  <c:v>800G ER4_40 km_TBD</c:v>
                </c:pt>
              </c:strCache>
            </c:strRef>
          </c:tx>
          <c:cat>
            <c:numRef>
              <c:f>Summary!$H$867:$N$867</c:f>
              <c:numCache>
                <c:formatCode>General</c:formatCode>
                <c:ptCount val="7"/>
                <c:pt idx="0">
                  <c:v>2021</c:v>
                </c:pt>
                <c:pt idx="1">
                  <c:v>2022</c:v>
                </c:pt>
                <c:pt idx="2">
                  <c:v>2023</c:v>
                </c:pt>
                <c:pt idx="3">
                  <c:v>2024</c:v>
                </c:pt>
                <c:pt idx="4">
                  <c:v>2025</c:v>
                </c:pt>
                <c:pt idx="5">
                  <c:v>2026</c:v>
                </c:pt>
                <c:pt idx="6">
                  <c:v>2027</c:v>
                </c:pt>
              </c:numCache>
            </c:numRef>
          </c:cat>
          <c:val>
            <c:numRef>
              <c:f>Summary!$H$873:$N$873</c:f>
              <c:numCache>
                <c:formatCode>_("$"* #,##0_);_("$"* \(#,##0\);_("$"* "-"??_);_(@_)</c:formatCode>
                <c:ptCount val="7"/>
                <c:pt idx="0">
                  <c:v>0</c:v>
                </c:pt>
                <c:pt idx="1">
                  <c:v>0</c:v>
                </c:pt>
                <c:pt idx="4">
                  <c:v>0</c:v>
                </c:pt>
                <c:pt idx="5">
                  <c:v>0</c:v>
                </c:pt>
                <c:pt idx="6">
                  <c:v>0</c:v>
                </c:pt>
              </c:numCache>
            </c:numRef>
          </c:val>
          <c:smooth val="0"/>
          <c:extLst>
            <c:ext xmlns:c16="http://schemas.microsoft.com/office/drawing/2014/chart" uri="{C3380CC4-5D6E-409C-BE32-E72D297353CC}">
              <c16:uniqueId val="{00000002-6B4D-3C47-BAEF-E92F37CA1333}"/>
            </c:ext>
          </c:extLst>
        </c:ser>
        <c:dLbls>
          <c:showLegendKey val="0"/>
          <c:showVal val="0"/>
          <c:showCatName val="0"/>
          <c:showSerName val="0"/>
          <c:showPercent val="0"/>
          <c:showBubbleSize val="0"/>
        </c:dLbls>
        <c:marker val="1"/>
        <c:smooth val="0"/>
        <c:axId val="131422080"/>
        <c:axId val="131423616"/>
      </c:lineChart>
      <c:catAx>
        <c:axId val="131422080"/>
        <c:scaling>
          <c:orientation val="minMax"/>
        </c:scaling>
        <c:delete val="0"/>
        <c:axPos val="b"/>
        <c:numFmt formatCode="General" sourceLinked="1"/>
        <c:majorTickMark val="out"/>
        <c:minorTickMark val="none"/>
        <c:tickLblPos val="nextTo"/>
        <c:txPr>
          <a:bodyPr/>
          <a:lstStyle/>
          <a:p>
            <a:pPr>
              <a:defRPr sz="1000"/>
            </a:pPr>
            <a:endParaRPr lang="en-US"/>
          </a:p>
        </c:txPr>
        <c:crossAx val="131423616"/>
        <c:crosses val="autoZero"/>
        <c:auto val="1"/>
        <c:lblAlgn val="ctr"/>
        <c:lblOffset val="100"/>
        <c:noMultiLvlLbl val="0"/>
      </c:catAx>
      <c:valAx>
        <c:axId val="131423616"/>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1422080"/>
        <c:crosses val="autoZero"/>
        <c:crossBetween val="between"/>
      </c:valAx>
    </c:plotArea>
    <c:legend>
      <c:legendPos val="t"/>
      <c:layout>
        <c:manualLayout>
          <c:xMode val="edge"/>
          <c:yMode val="edge"/>
          <c:x val="1.6187293014423194E-2"/>
          <c:y val="6.0317810743750104E-3"/>
          <c:w val="0.96597322681157627"/>
          <c:h val="0.2662404873546007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Summary!$B$878</c:f>
              <c:strCache>
                <c:ptCount val="1"/>
                <c:pt idx="0">
                  <c:v>800G SR8_50 m_OSFP, QSFP-DD800</c:v>
                </c:pt>
              </c:strCache>
            </c:strRef>
          </c:tx>
          <c:spPr>
            <a:ln>
              <a:solidFill>
                <a:schemeClr val="accent2"/>
              </a:solidFill>
            </a:ln>
          </c:spPr>
          <c:marker>
            <c:spPr>
              <a:solidFill>
                <a:schemeClr val="accent2"/>
              </a:solidFill>
              <a:ln>
                <a:solidFill>
                  <a:schemeClr val="accent2"/>
                </a:solidFill>
              </a:ln>
            </c:spPr>
          </c:marker>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Summary!$G$878:$N$878</c:f>
              <c:numCache>
                <c:formatCode>_("$"* #,##0_);_("$"* \(#,##0\);_("$"* "-"??_);_(@_)</c:formatCode>
                <c:ptCount val="8"/>
              </c:numCache>
            </c:numRef>
          </c:val>
          <c:smooth val="0"/>
          <c:extLst>
            <c:ext xmlns:c16="http://schemas.microsoft.com/office/drawing/2014/chart" uri="{C3380CC4-5D6E-409C-BE32-E72D297353CC}">
              <c16:uniqueId val="{00000000-5A8F-0344-B2CD-C518500A5542}"/>
            </c:ext>
          </c:extLst>
        </c:ser>
        <c:ser>
          <c:idx val="0"/>
          <c:order val="1"/>
          <c:tx>
            <c:strRef>
              <c:f>Summary!$B$879</c:f>
              <c:strCache>
                <c:ptCount val="1"/>
                <c:pt idx="0">
                  <c:v>800G DR8, DR4_500 m_OSFP, QSFP-DD800</c:v>
                </c:pt>
              </c:strCache>
            </c:strRef>
          </c:tx>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Summary!$G$879:$N$879</c:f>
              <c:numCache>
                <c:formatCode>_("$"* #,##0_);_("$"* \(#,##0\);_("$"* "-"??_);_(@_)</c:formatCode>
                <c:ptCount val="8"/>
              </c:numCache>
            </c:numRef>
          </c:val>
          <c:smooth val="0"/>
          <c:extLst>
            <c:ext xmlns:c16="http://schemas.microsoft.com/office/drawing/2014/chart" uri="{C3380CC4-5D6E-409C-BE32-E72D297353CC}">
              <c16:uniqueId val="{00000001-5A8F-0344-B2CD-C518500A5542}"/>
            </c:ext>
          </c:extLst>
        </c:ser>
        <c:ser>
          <c:idx val="1"/>
          <c:order val="2"/>
          <c:tx>
            <c:strRef>
              <c:f>Summary!$B$880</c:f>
              <c:strCache>
                <c:ptCount val="1"/>
                <c:pt idx="0">
                  <c:v>2x(400G FR4), 800G FR4_2 km_OSFP, QSFP-DD800</c:v>
                </c:pt>
              </c:strCache>
            </c:strRef>
          </c:tx>
          <c:spPr>
            <a:ln>
              <a:solidFill>
                <a:schemeClr val="accent4"/>
              </a:solidFill>
            </a:ln>
          </c:spPr>
          <c:marker>
            <c:spPr>
              <a:solidFill>
                <a:schemeClr val="accent4"/>
              </a:solidFill>
              <a:ln>
                <a:solidFill>
                  <a:schemeClr val="accent4"/>
                </a:solidFill>
              </a:ln>
            </c:spPr>
          </c:marker>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Summary!$G$880:$N$880</c:f>
              <c:numCache>
                <c:formatCode>_("$"* #,##0_);_("$"* \(#,##0\);_("$"* "-"??_);_(@_)</c:formatCode>
                <c:ptCount val="8"/>
              </c:numCache>
            </c:numRef>
          </c:val>
          <c:smooth val="0"/>
          <c:extLst>
            <c:ext xmlns:c16="http://schemas.microsoft.com/office/drawing/2014/chart" uri="{C3380CC4-5D6E-409C-BE32-E72D297353CC}">
              <c16:uniqueId val="{00000002-5A8F-0344-B2CD-C518500A5542}"/>
            </c:ext>
          </c:extLst>
        </c:ser>
        <c:ser>
          <c:idx val="3"/>
          <c:order val="3"/>
          <c:tx>
            <c:strRef>
              <c:f>Summary!$B$881</c:f>
              <c:strCache>
                <c:ptCount val="1"/>
                <c:pt idx="0">
                  <c:v>800G LR8, LR4_6, 10 km_TBD</c:v>
                </c:pt>
              </c:strCache>
            </c:strRef>
          </c:tx>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Summary!$G$881:$N$881</c:f>
              <c:numCache>
                <c:formatCode>_("$"* #,##0_);_("$"* \(#,##0\);_("$"* "-"??_);_(@_)</c:formatCode>
                <c:ptCount val="8"/>
              </c:numCache>
            </c:numRef>
          </c:val>
          <c:smooth val="0"/>
          <c:extLst>
            <c:ext xmlns:c16="http://schemas.microsoft.com/office/drawing/2014/chart" uri="{C3380CC4-5D6E-409C-BE32-E72D297353CC}">
              <c16:uniqueId val="{00000000-B157-7748-9A77-0F7C1206B24A}"/>
            </c:ext>
          </c:extLst>
        </c:ser>
        <c:ser>
          <c:idx val="4"/>
          <c:order val="4"/>
          <c:tx>
            <c:strRef>
              <c:f>Summary!$B$882</c:f>
              <c:strCache>
                <c:ptCount val="1"/>
                <c:pt idx="0">
                  <c:v>800G ZRlite_10 km, 20 km_TBD</c:v>
                </c:pt>
              </c:strCache>
            </c:strRef>
          </c:tx>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Summary!$G$882:$N$882</c:f>
              <c:numCache>
                <c:formatCode>_("$"* #,##0_);_("$"* \(#,##0\);_("$"* "-"??_);_(@_)</c:formatCode>
                <c:ptCount val="8"/>
              </c:numCache>
            </c:numRef>
          </c:val>
          <c:smooth val="0"/>
          <c:extLst>
            <c:ext xmlns:c16="http://schemas.microsoft.com/office/drawing/2014/chart" uri="{C3380CC4-5D6E-409C-BE32-E72D297353CC}">
              <c16:uniqueId val="{00000001-B157-7748-9A77-0F7C1206B24A}"/>
            </c:ext>
          </c:extLst>
        </c:ser>
        <c:ser>
          <c:idx val="5"/>
          <c:order val="5"/>
          <c:tx>
            <c:strRef>
              <c:f>Summary!$B$883</c:f>
              <c:strCache>
                <c:ptCount val="1"/>
                <c:pt idx="0">
                  <c:v>800G ER4_40 km_TBD</c:v>
                </c:pt>
              </c:strCache>
            </c:strRef>
          </c:tx>
          <c:cat>
            <c:numRef>
              <c:f>Summary!$G$823:$N$823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Summary!$G$883:$N$883</c:f>
              <c:numCache>
                <c:formatCode>_("$"* #,##0_);_("$"* \(#,##0\);_("$"* "-"??_);_(@_)</c:formatCode>
                <c:ptCount val="8"/>
              </c:numCache>
            </c:numRef>
          </c:val>
          <c:smooth val="0"/>
          <c:extLst>
            <c:ext xmlns:c16="http://schemas.microsoft.com/office/drawing/2014/chart" uri="{C3380CC4-5D6E-409C-BE32-E72D297353CC}">
              <c16:uniqueId val="{00000002-B157-7748-9A77-0F7C1206B24A}"/>
            </c:ext>
          </c:extLst>
        </c:ser>
        <c:dLbls>
          <c:showLegendKey val="0"/>
          <c:showVal val="0"/>
          <c:showCatName val="0"/>
          <c:showSerName val="0"/>
          <c:showPercent val="0"/>
          <c:showBubbleSize val="0"/>
        </c:dLbls>
        <c:marker val="1"/>
        <c:smooth val="0"/>
        <c:axId val="131340160"/>
        <c:axId val="131341696"/>
      </c:lineChart>
      <c:catAx>
        <c:axId val="131340160"/>
        <c:scaling>
          <c:orientation val="minMax"/>
        </c:scaling>
        <c:delete val="0"/>
        <c:axPos val="b"/>
        <c:numFmt formatCode="General" sourceLinked="1"/>
        <c:majorTickMark val="out"/>
        <c:minorTickMark val="none"/>
        <c:tickLblPos val="nextTo"/>
        <c:txPr>
          <a:bodyPr/>
          <a:lstStyle/>
          <a:p>
            <a:pPr>
              <a:defRPr sz="1000"/>
            </a:pPr>
            <a:endParaRPr lang="en-US"/>
          </a:p>
        </c:txPr>
        <c:crossAx val="131341696"/>
        <c:crosses val="autoZero"/>
        <c:auto val="1"/>
        <c:lblAlgn val="ctr"/>
        <c:lblOffset val="100"/>
        <c:noMultiLvlLbl val="0"/>
      </c:catAx>
      <c:valAx>
        <c:axId val="131341696"/>
        <c:scaling>
          <c:orientation val="minMax"/>
        </c:scaling>
        <c:delete val="0"/>
        <c:axPos val="l"/>
        <c:majorGridlines/>
        <c:title>
          <c:tx>
            <c:rich>
              <a:bodyPr rot="-5400000" vert="horz"/>
              <a:lstStyle/>
              <a:p>
                <a:pPr>
                  <a:defRPr sz="1400" b="1"/>
                </a:pPr>
                <a:r>
                  <a:rPr lang="en-US" sz="1400" b="1"/>
                  <a:t>Annual sales ($mn)</a:t>
                </a:r>
              </a:p>
            </c:rich>
          </c:tx>
          <c:overlay val="0"/>
        </c:title>
        <c:numFmt formatCode="&quot;$&quot;#,##0" sourceLinked="0"/>
        <c:majorTickMark val="out"/>
        <c:minorTickMark val="none"/>
        <c:tickLblPos val="nextTo"/>
        <c:txPr>
          <a:bodyPr/>
          <a:lstStyle/>
          <a:p>
            <a:pPr>
              <a:defRPr sz="1000"/>
            </a:pPr>
            <a:endParaRPr lang="en-US"/>
          </a:p>
        </c:txPr>
        <c:crossAx val="131340160"/>
        <c:crosses val="autoZero"/>
        <c:crossBetween val="between"/>
      </c:valAx>
    </c:plotArea>
    <c:legend>
      <c:legendPos val="t"/>
      <c:layout>
        <c:manualLayout>
          <c:xMode val="edge"/>
          <c:yMode val="edge"/>
          <c:x val="0.13432250966082437"/>
          <c:y val="4.9710763796812933E-2"/>
          <c:w val="0.49604155360213514"/>
          <c:h val="0.4959992441034768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67805605883631"/>
          <c:y val="4.8133783277090364E-2"/>
          <c:w val="0.7911277752870971"/>
          <c:h val="0.86605654293213352"/>
        </c:manualLayout>
      </c:layout>
      <c:lineChart>
        <c:grouping val="standard"/>
        <c:varyColors val="0"/>
        <c:ser>
          <c:idx val="1"/>
          <c:order val="0"/>
          <c:tx>
            <c:strRef>
              <c:f>Summary!$B$711</c:f>
              <c:strCache>
                <c:ptCount val="1"/>
                <c:pt idx="0">
                  <c:v>100G SR4 </c:v>
                </c:pt>
              </c:strCache>
            </c:strRef>
          </c:tx>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Summary!$C$711:$N$711</c:f>
              <c:numCache>
                <c:formatCode>_(* #,##0_);_(* \(#,##0\);_(* "-"??_);_(@_)</c:formatCode>
                <c:ptCount val="12"/>
                <c:pt idx="0">
                  <c:v>280058</c:v>
                </c:pt>
                <c:pt idx="1">
                  <c:v>622792</c:v>
                </c:pt>
                <c:pt idx="2">
                  <c:v>1915817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4AF-4145-A2BA-302D07AC74A2}"/>
            </c:ext>
          </c:extLst>
        </c:ser>
        <c:ser>
          <c:idx val="2"/>
          <c:order val="1"/>
          <c:tx>
            <c:strRef>
              <c:f>Summary!$B$712</c:f>
              <c:strCache>
                <c:ptCount val="1"/>
                <c:pt idx="0">
                  <c:v>100G PSM4 </c:v>
                </c:pt>
              </c:strCache>
            </c:strRef>
          </c:tx>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Summary!$C$712:$N$712</c:f>
              <c:numCache>
                <c:formatCode>_(* #,##0_);_(* \(#,##0\);_(* "-"??_);_(@_)</c:formatCode>
                <c:ptCount val="12"/>
                <c:pt idx="0">
                  <c:v>200861</c:v>
                </c:pt>
                <c:pt idx="1">
                  <c:v>710038</c:v>
                </c:pt>
                <c:pt idx="2">
                  <c:v>514311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4AF-4145-A2BA-302D07AC74A2}"/>
            </c:ext>
          </c:extLst>
        </c:ser>
        <c:ser>
          <c:idx val="3"/>
          <c:order val="2"/>
          <c:tx>
            <c:strRef>
              <c:f>Summary!$B$713</c:f>
              <c:strCache>
                <c:ptCount val="1"/>
                <c:pt idx="0">
                  <c:v>100G DR1 and FR1</c:v>
                </c:pt>
              </c:strCache>
            </c:strRef>
          </c:tx>
          <c:marker>
            <c:symbol val="square"/>
            <c:size val="5"/>
          </c:marker>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Summary!$C$713:$N$713</c:f>
              <c:numCache>
                <c:formatCode>_(* #,##0_);_(* \(#,##0\);_(* "-"??_);_(@_)</c:formatCode>
                <c:ptCount val="12"/>
                <c:pt idx="0">
                  <c:v>0</c:v>
                </c:pt>
                <c:pt idx="1">
                  <c:v>0</c:v>
                </c:pt>
                <c:pt idx="2">
                  <c:v>3000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4AF-4145-A2BA-302D07AC74A2}"/>
            </c:ext>
          </c:extLst>
        </c:ser>
        <c:ser>
          <c:idx val="9"/>
          <c:order val="3"/>
          <c:tx>
            <c:strRef>
              <c:f>Summary!$B$714</c:f>
              <c:strCache>
                <c:ptCount val="1"/>
                <c:pt idx="0">
                  <c:v>100G CWDM4 </c:v>
                </c:pt>
              </c:strCache>
            </c:strRef>
          </c:tx>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Summary!$C$714:$N$714</c:f>
              <c:numCache>
                <c:formatCode>_(* #,##0_);_(* \(#,##0\);_(* "-"??_);_(@_)</c:formatCode>
                <c:ptCount val="12"/>
                <c:pt idx="0">
                  <c:v>119190</c:v>
                </c:pt>
                <c:pt idx="1">
                  <c:v>976303</c:v>
                </c:pt>
                <c:pt idx="2">
                  <c:v>2966292.6190476189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4AF-4145-A2BA-302D07AC74A2}"/>
            </c:ext>
          </c:extLst>
        </c:ser>
        <c:ser>
          <c:idx val="6"/>
          <c:order val="4"/>
          <c:tx>
            <c:strRef>
              <c:f>Summary!$B$715</c:f>
              <c:strCache>
                <c:ptCount val="1"/>
                <c:pt idx="0">
                  <c:v>100G LR4 and LR1</c:v>
                </c:pt>
              </c:strCache>
            </c:strRef>
          </c:tx>
          <c:cat>
            <c:numRef>
              <c:f>Summary!$C$710:$N$710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Summary!$C$715:$N$715</c:f>
              <c:numCache>
                <c:formatCode>_(* #,##0_);_(* \(#,##0\);_(* "-"??_);_(@_)</c:formatCode>
                <c:ptCount val="12"/>
                <c:pt idx="0">
                  <c:v>90443</c:v>
                </c:pt>
                <c:pt idx="1">
                  <c:v>362352</c:v>
                </c:pt>
                <c:pt idx="2">
                  <c:v>397891.1176470588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2387584"/>
        <c:axId val="132389120"/>
      </c:lineChart>
      <c:catAx>
        <c:axId val="132387584"/>
        <c:scaling>
          <c:orientation val="minMax"/>
        </c:scaling>
        <c:delete val="0"/>
        <c:axPos val="b"/>
        <c:numFmt formatCode="General" sourceLinked="1"/>
        <c:majorTickMark val="out"/>
        <c:minorTickMark val="none"/>
        <c:tickLblPos val="nextTo"/>
        <c:txPr>
          <a:bodyPr/>
          <a:lstStyle/>
          <a:p>
            <a:pPr>
              <a:defRPr sz="1200"/>
            </a:pPr>
            <a:endParaRPr lang="en-US"/>
          </a:p>
        </c:txPr>
        <c:crossAx val="132389120"/>
        <c:crosses val="autoZero"/>
        <c:auto val="1"/>
        <c:lblAlgn val="ctr"/>
        <c:lblOffset val="100"/>
        <c:noMultiLvlLbl val="0"/>
      </c:catAx>
      <c:valAx>
        <c:axId val="132389120"/>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200"/>
            </a:pPr>
            <a:endParaRPr lang="en-US"/>
          </a:p>
        </c:txPr>
        <c:crossAx val="132387584"/>
        <c:crosses val="autoZero"/>
        <c:crossBetween val="between"/>
        <c:majorUnit val="2000000"/>
      </c:valAx>
    </c:plotArea>
    <c:legend>
      <c:legendPos val="t"/>
      <c:layout>
        <c:manualLayout>
          <c:xMode val="edge"/>
          <c:yMode val="edge"/>
          <c:x val="0.18167823826649104"/>
          <c:y val="7.5790257863901617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Summary!$B$720</c:f>
              <c:strCache>
                <c:ptCount val="1"/>
                <c:pt idx="0">
                  <c:v>100G SR4 </c:v>
                </c:pt>
              </c:strCache>
            </c:strRef>
          </c:tx>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Summary!$E$720:$N$720</c:f>
              <c:numCache>
                <c:formatCode>_("$"* #,##0_);_("$"* \(#,##0\);_("$"* "-"??_);_(@_)</c:formatCode>
                <c:ptCount val="10"/>
                <c:pt idx="0">
                  <c:v>113.54682982085136</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74AF-4145-A2BA-302D07AC74A2}"/>
            </c:ext>
          </c:extLst>
        </c:ser>
        <c:ser>
          <c:idx val="2"/>
          <c:order val="1"/>
          <c:tx>
            <c:strRef>
              <c:f>Summary!$B$721</c:f>
              <c:strCache>
                <c:ptCount val="1"/>
                <c:pt idx="0">
                  <c:v>100G PSM4 </c:v>
                </c:pt>
              </c:strCache>
            </c:strRef>
          </c:tx>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Summary!$E$721:$N$721</c:f>
              <c:numCache>
                <c:formatCode>_("$"* #,##0_);_("$"* \(#,##0\);_("$"* "-"??_);_(@_)</c:formatCode>
                <c:ptCount val="10"/>
                <c:pt idx="0">
                  <c:v>188.02033788894266</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74AF-4145-A2BA-302D07AC74A2}"/>
            </c:ext>
          </c:extLst>
        </c:ser>
        <c:ser>
          <c:idx val="3"/>
          <c:order val="2"/>
          <c:tx>
            <c:strRef>
              <c:f>Summary!$B$722</c:f>
              <c:strCache>
                <c:ptCount val="1"/>
                <c:pt idx="0">
                  <c:v>100G DR1 and FR1</c:v>
                </c:pt>
              </c:strCache>
            </c:strRef>
          </c:tx>
          <c:marker>
            <c:symbol val="square"/>
            <c:size val="5"/>
          </c:marker>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Summary!$E$722:$N$722</c:f>
              <c:numCache>
                <c:formatCode>_("$"* #,##0_);_("$"* \(#,##0\);_("$"* "-"??_);_(@_)</c:formatCode>
                <c:ptCount val="10"/>
                <c:pt idx="0">
                  <c:v>400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74AF-4145-A2BA-302D07AC74A2}"/>
            </c:ext>
          </c:extLst>
        </c:ser>
        <c:ser>
          <c:idx val="9"/>
          <c:order val="3"/>
          <c:tx>
            <c:strRef>
              <c:f>Summary!$B$723</c:f>
              <c:strCache>
                <c:ptCount val="1"/>
                <c:pt idx="0">
                  <c:v>100G CWDM4 </c:v>
                </c:pt>
              </c:strCache>
            </c:strRef>
          </c:tx>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Summary!$E$723:$N$723</c:f>
              <c:numCache>
                <c:formatCode>_("$"* #,##0_);_("$"* \(#,##0\);_("$"* "-"??_);_(@_)</c:formatCode>
                <c:ptCount val="10"/>
                <c:pt idx="0">
                  <c:v>412.12501271227694</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74AF-4145-A2BA-302D07AC74A2}"/>
            </c:ext>
          </c:extLst>
        </c:ser>
        <c:ser>
          <c:idx val="6"/>
          <c:order val="4"/>
          <c:tx>
            <c:strRef>
              <c:f>Summary!$B$724</c:f>
              <c:strCache>
                <c:ptCount val="1"/>
                <c:pt idx="0">
                  <c:v>100G LR4 and LR1</c:v>
                </c:pt>
              </c:strCache>
            </c:strRef>
          </c:tx>
          <c:cat>
            <c:numRef>
              <c:f>Summary!$E$719:$N$719</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Summary!$E$724:$N$724</c:f>
              <c:numCache>
                <c:formatCode>_("$"* #,##0_);_("$"* \(#,##0\);_("$"* "-"??_);_(@_)</c:formatCode>
                <c:ptCount val="10"/>
                <c:pt idx="0">
                  <c:v>833.83281288172873</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2423040"/>
        <c:axId val="132441216"/>
      </c:lineChart>
      <c:catAx>
        <c:axId val="132423040"/>
        <c:scaling>
          <c:orientation val="minMax"/>
        </c:scaling>
        <c:delete val="0"/>
        <c:axPos val="b"/>
        <c:numFmt formatCode="General" sourceLinked="1"/>
        <c:majorTickMark val="out"/>
        <c:minorTickMark val="none"/>
        <c:tickLblPos val="nextTo"/>
        <c:txPr>
          <a:bodyPr/>
          <a:lstStyle/>
          <a:p>
            <a:pPr>
              <a:defRPr sz="1200"/>
            </a:pPr>
            <a:endParaRPr lang="en-US"/>
          </a:p>
        </c:txPr>
        <c:crossAx val="132441216"/>
        <c:crosses val="autoZero"/>
        <c:auto val="1"/>
        <c:lblAlgn val="ctr"/>
        <c:lblOffset val="100"/>
        <c:noMultiLvlLbl val="0"/>
      </c:catAx>
      <c:valAx>
        <c:axId val="132441216"/>
        <c:scaling>
          <c:orientation val="minMax"/>
          <c:max val="1000"/>
          <c:min val="0"/>
        </c:scaling>
        <c:delete val="0"/>
        <c:axPos val="l"/>
        <c:majorGridlines/>
        <c:title>
          <c:tx>
            <c:rich>
              <a:bodyPr rot="-5400000" vert="horz"/>
              <a:lstStyle/>
              <a:p>
                <a:pPr>
                  <a:defRPr sz="1400"/>
                </a:pPr>
                <a:r>
                  <a:rPr lang="en-US" sz="1400"/>
                  <a:t>A.S.P.s</a:t>
                </a:r>
              </a:p>
            </c:rich>
          </c:tx>
          <c:layout>
            <c:manualLayout>
              <c:xMode val="edge"/>
              <c:yMode val="edge"/>
              <c:x val="4.1663429101162055E-3"/>
              <c:y val="0.38845680215320644"/>
            </c:manualLayout>
          </c:layout>
          <c:overlay val="0"/>
        </c:title>
        <c:numFmt formatCode="&quot;$&quot;#,##0" sourceLinked="0"/>
        <c:majorTickMark val="out"/>
        <c:minorTickMark val="none"/>
        <c:tickLblPos val="nextTo"/>
        <c:txPr>
          <a:bodyPr/>
          <a:lstStyle/>
          <a:p>
            <a:pPr>
              <a:defRPr sz="1200"/>
            </a:pPr>
            <a:endParaRPr lang="en-US"/>
          </a:p>
        </c:txPr>
        <c:crossAx val="132423040"/>
        <c:crosses val="autoZero"/>
        <c:crossBetween val="between"/>
      </c:valAx>
    </c:plotArea>
    <c:legend>
      <c:legendPos val="t"/>
      <c:layout>
        <c:manualLayout>
          <c:xMode val="edge"/>
          <c:yMode val="edge"/>
          <c:x val="0.65563143134260815"/>
          <c:y val="9.5933234399252248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06512561360372"/>
          <c:y val="3.9619699166240335E-2"/>
          <c:w val="0.80285652295759247"/>
          <c:h val="0.83729438888942231"/>
        </c:manualLayout>
      </c:layout>
      <c:lineChart>
        <c:grouping val="standard"/>
        <c:varyColors val="0"/>
        <c:ser>
          <c:idx val="0"/>
          <c:order val="0"/>
          <c:tx>
            <c:strRef>
              <c:f>Summary!$B$564</c:f>
              <c:strCache>
                <c:ptCount val="1"/>
                <c:pt idx="0">
                  <c:v>100 m  100G CFP</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Summary!$C$564:$F$564</c:f>
              <c:numCache>
                <c:formatCode>_(* #,##0_);_(* \(#,##0\);_(* "-"??_);_(@_)</c:formatCode>
                <c:ptCount val="4"/>
                <c:pt idx="0">
                  <c:v>14816</c:v>
                </c:pt>
                <c:pt idx="1">
                  <c:v>6913</c:v>
                </c:pt>
                <c:pt idx="2">
                  <c:v>5094</c:v>
                </c:pt>
                <c:pt idx="3">
                  <c:v>0</c:v>
                </c:pt>
              </c:numCache>
            </c:numRef>
          </c:val>
          <c:smooth val="0"/>
          <c:extLst>
            <c:ext xmlns:c16="http://schemas.microsoft.com/office/drawing/2014/chart" uri="{C3380CC4-5D6E-409C-BE32-E72D297353CC}">
              <c16:uniqueId val="{00000000-A05F-B34D-8A1F-06B1B81B5E78}"/>
            </c:ext>
          </c:extLst>
        </c:ser>
        <c:ser>
          <c:idx val="1"/>
          <c:order val="1"/>
          <c:tx>
            <c:strRef>
              <c:f>Summary!$B$565</c:f>
              <c:strCache>
                <c:ptCount val="1"/>
                <c:pt idx="0">
                  <c:v>100 m  100G CFP2/CFP4</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Summary!$C$565:$F$565</c:f>
              <c:numCache>
                <c:formatCode>_(* #,##0_);_(* \(#,##0\);_(* "-"??_);_(@_)</c:formatCode>
                <c:ptCount val="4"/>
                <c:pt idx="0">
                  <c:v>4367</c:v>
                </c:pt>
                <c:pt idx="1">
                  <c:v>2269</c:v>
                </c:pt>
                <c:pt idx="2">
                  <c:v>2000</c:v>
                </c:pt>
                <c:pt idx="3">
                  <c:v>0</c:v>
                </c:pt>
              </c:numCache>
            </c:numRef>
          </c:val>
          <c:smooth val="0"/>
          <c:extLst>
            <c:ext xmlns:c16="http://schemas.microsoft.com/office/drawing/2014/chart" uri="{C3380CC4-5D6E-409C-BE32-E72D297353CC}">
              <c16:uniqueId val="{00000001-A05F-B34D-8A1F-06B1B81B5E78}"/>
            </c:ext>
          </c:extLst>
        </c:ser>
        <c:ser>
          <c:idx val="2"/>
          <c:order val="2"/>
          <c:tx>
            <c:strRef>
              <c:f>Summary!$B$566</c:f>
              <c:strCache>
                <c:ptCount val="1"/>
                <c:pt idx="0">
                  <c:v>100 m  100G SR2, SR4  QSFP28</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Summary!$C$566:$N$566</c:f>
              <c:numCache>
                <c:formatCode>_(* #,##0_);_(* \(#,##0\);_(* "-"??_);_(@_)</c:formatCode>
                <c:ptCount val="12"/>
                <c:pt idx="0">
                  <c:v>280058</c:v>
                </c:pt>
                <c:pt idx="1">
                  <c:v>622792</c:v>
                </c:pt>
                <c:pt idx="2">
                  <c:v>1915817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05F-B34D-8A1F-06B1B81B5E78}"/>
            </c:ext>
          </c:extLst>
        </c:ser>
        <c:ser>
          <c:idx val="3"/>
          <c:order val="3"/>
          <c:tx>
            <c:strRef>
              <c:f>Summary!$B$567</c:f>
              <c:strCache>
                <c:ptCount val="1"/>
                <c:pt idx="0">
                  <c:v>100 m  100G QSFP28 MM Duplex</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Summary!$C$567:$N$567</c:f>
              <c:numCache>
                <c:formatCode>_(* #,##0_);_(* \(#,##0\);_(* "-"??_);_(@_)</c:formatCode>
                <c:ptCount val="12"/>
                <c:pt idx="2">
                  <c:v>150000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05F-B34D-8A1F-06B1B81B5E78}"/>
            </c:ext>
          </c:extLst>
        </c:ser>
        <c:ser>
          <c:idx val="4"/>
          <c:order val="4"/>
          <c:tx>
            <c:strRef>
              <c:f>Summary!$B$568</c:f>
              <c:strCache>
                <c:ptCount val="1"/>
                <c:pt idx="0">
                  <c:v>300 m  100G QSFP28  eSR4</c:v>
                </c:pt>
              </c:strCache>
            </c:strRef>
          </c:tx>
          <c:cat>
            <c:numRef>
              <c:f>Summary!$C$563:$N$563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Summary!$C$568:$N$568</c:f>
              <c:numCache>
                <c:formatCode>_(* #,##0_);_(* \(#,##0\);_(* "-"??_);_(@_)</c:formatCode>
                <c:ptCount val="12"/>
                <c:pt idx="2">
                  <c:v>10000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A05F-B34D-8A1F-06B1B81B5E78}"/>
            </c:ext>
          </c:extLst>
        </c:ser>
        <c:dLbls>
          <c:showLegendKey val="0"/>
          <c:showVal val="0"/>
          <c:showCatName val="0"/>
          <c:showSerName val="0"/>
          <c:showPercent val="0"/>
          <c:showBubbleSize val="0"/>
        </c:dLbls>
        <c:marker val="1"/>
        <c:smooth val="0"/>
        <c:axId val="125002496"/>
        <c:axId val="125004032"/>
      </c:lineChart>
      <c:catAx>
        <c:axId val="125002496"/>
        <c:scaling>
          <c:orientation val="minMax"/>
        </c:scaling>
        <c:delete val="0"/>
        <c:axPos val="b"/>
        <c:numFmt formatCode="General" sourceLinked="1"/>
        <c:majorTickMark val="out"/>
        <c:minorTickMark val="none"/>
        <c:tickLblPos val="nextTo"/>
        <c:txPr>
          <a:bodyPr/>
          <a:lstStyle/>
          <a:p>
            <a:pPr>
              <a:defRPr sz="1200"/>
            </a:pPr>
            <a:endParaRPr lang="en-US"/>
          </a:p>
        </c:txPr>
        <c:crossAx val="125004032"/>
        <c:crosses val="autoZero"/>
        <c:auto val="1"/>
        <c:lblAlgn val="ctr"/>
        <c:lblOffset val="100"/>
        <c:noMultiLvlLbl val="0"/>
      </c:catAx>
      <c:valAx>
        <c:axId val="125004032"/>
        <c:scaling>
          <c:orientation val="minMax"/>
          <c:min val="0"/>
        </c:scaling>
        <c:delete val="0"/>
        <c:axPos val="l"/>
        <c:majorGridlines/>
        <c:title>
          <c:tx>
            <c:rich>
              <a:bodyPr rot="-5400000" vert="horz"/>
              <a:lstStyle/>
              <a:p>
                <a:pPr>
                  <a:defRPr sz="1400"/>
                </a:pPr>
                <a:r>
                  <a:rPr lang="en-US" sz="1400"/>
                  <a:t>Annual shipments (Units)
</a:t>
                </a:r>
              </a:p>
            </c:rich>
          </c:tx>
          <c:overlay val="0"/>
        </c:title>
        <c:numFmt formatCode="#,##0" sourceLinked="0"/>
        <c:majorTickMark val="out"/>
        <c:minorTickMark val="none"/>
        <c:tickLblPos val="nextTo"/>
        <c:txPr>
          <a:bodyPr/>
          <a:lstStyle/>
          <a:p>
            <a:pPr>
              <a:defRPr sz="1000"/>
            </a:pPr>
            <a:endParaRPr lang="en-US"/>
          </a:p>
        </c:txPr>
        <c:crossAx val="125002496"/>
        <c:crosses val="autoZero"/>
        <c:crossBetween val="between"/>
        <c:minorUnit val="20000"/>
      </c:valAx>
    </c:plotArea>
    <c:legend>
      <c:legendPos val="t"/>
      <c:layout>
        <c:manualLayout>
          <c:xMode val="edge"/>
          <c:yMode val="edge"/>
          <c:x val="0.20155145092844701"/>
          <c:y val="5.7497847741906416E-2"/>
          <c:w val="0.46559728545610474"/>
          <c:h val="0.32595654438475175"/>
        </c:manualLayout>
      </c:layout>
      <c:overlay val="0"/>
      <c:spPr>
        <a:solidFill>
          <a:schemeClr val="bg1"/>
        </a:solidFill>
        <a:ln>
          <a:solidFill>
            <a:schemeClr val="tx1"/>
          </a:solidFill>
        </a:ln>
      </c:spPr>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2950440018527"/>
          <c:y val="4.8133783277090364E-2"/>
          <c:w val="0.81251073027636256"/>
          <c:h val="0.86605654293213352"/>
        </c:manualLayout>
      </c:layout>
      <c:lineChart>
        <c:grouping val="standard"/>
        <c:varyColors val="0"/>
        <c:ser>
          <c:idx val="1"/>
          <c:order val="0"/>
          <c:tx>
            <c:strRef>
              <c:f>Summary!$B$729</c:f>
              <c:strCache>
                <c:ptCount val="1"/>
                <c:pt idx="0">
                  <c:v>100G SR4 </c:v>
                </c:pt>
              </c:strCache>
            </c:strRef>
          </c:tx>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Summary!$C$729:$N$729</c:f>
              <c:numCache>
                <c:formatCode>_("$"* #,##0_);_("$"* \(#,##0\);_("$"* "-"??_);_(@_)</c:formatCode>
                <c:ptCount val="12"/>
                <c:pt idx="0">
                  <c:v>72.281363999999996</c:v>
                </c:pt>
                <c:pt idx="1">
                  <c:v>113.36232738072</c:v>
                </c:pt>
                <c:pt idx="2">
                  <c:v>217.53494686689399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4AF-4145-A2BA-302D07AC74A2}"/>
            </c:ext>
          </c:extLst>
        </c:ser>
        <c:ser>
          <c:idx val="2"/>
          <c:order val="1"/>
          <c:tx>
            <c:strRef>
              <c:f>Summary!$B$730</c:f>
              <c:strCache>
                <c:ptCount val="1"/>
                <c:pt idx="0">
                  <c:v>100G PSM4 </c:v>
                </c:pt>
              </c:strCache>
            </c:strRef>
          </c:tx>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Summary!$C$730:$N$730</c:f>
              <c:numCache>
                <c:formatCode>_("$"* #,##0_);_("$"* \(#,##0\);_("$"* "-"??_);_(@_)</c:formatCode>
                <c:ptCount val="12"/>
                <c:pt idx="0">
                  <c:v>67.773890240000014</c:v>
                </c:pt>
                <c:pt idx="1">
                  <c:v>158.09400299999999</c:v>
                </c:pt>
                <c:pt idx="2">
                  <c:v>96.70092799999999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74AF-4145-A2BA-302D07AC74A2}"/>
            </c:ext>
          </c:extLst>
        </c:ser>
        <c:ser>
          <c:idx val="3"/>
          <c:order val="2"/>
          <c:tx>
            <c:strRef>
              <c:f>Summary!$B$731</c:f>
              <c:strCache>
                <c:ptCount val="1"/>
                <c:pt idx="0">
                  <c:v>100G DR1 and FR1</c:v>
                </c:pt>
              </c:strCache>
            </c:strRef>
          </c:tx>
          <c:marker>
            <c:symbol val="square"/>
            <c:size val="5"/>
          </c:marker>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Summary!$C$731:$N$731</c:f>
              <c:numCache>
                <c:formatCode>_("$"* #,##0_);_("$"* \(#,##0\);_("$"* "-"??_);_(@_)</c:formatCode>
                <c:ptCount val="12"/>
                <c:pt idx="0">
                  <c:v>0</c:v>
                </c:pt>
                <c:pt idx="1">
                  <c:v>0</c:v>
                </c:pt>
                <c:pt idx="2">
                  <c:v>1.2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74AF-4145-A2BA-302D07AC74A2}"/>
            </c:ext>
          </c:extLst>
        </c:ser>
        <c:ser>
          <c:idx val="9"/>
          <c:order val="3"/>
          <c:tx>
            <c:strRef>
              <c:f>Summary!$B$732</c:f>
              <c:strCache>
                <c:ptCount val="1"/>
                <c:pt idx="0">
                  <c:v>100G CWDM4 </c:v>
                </c:pt>
              </c:strCache>
            </c:strRef>
          </c:tx>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Summary!$C$732:$N$732</c:f>
              <c:numCache>
                <c:formatCode>_("$"* #,##0_);_("$"* \(#,##0\);_("$"* "-"??_);_(@_)</c:formatCode>
                <c:ptCount val="12"/>
                <c:pt idx="0">
                  <c:v>80.691629999999989</c:v>
                </c:pt>
                <c:pt idx="1">
                  <c:v>497.91453000000001</c:v>
                </c:pt>
                <c:pt idx="2">
                  <c:v>1222.4833833333332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4AF-4145-A2BA-302D07AC74A2}"/>
            </c:ext>
          </c:extLst>
        </c:ser>
        <c:ser>
          <c:idx val="6"/>
          <c:order val="4"/>
          <c:tx>
            <c:strRef>
              <c:f>Summary!$B$733</c:f>
              <c:strCache>
                <c:ptCount val="1"/>
                <c:pt idx="0">
                  <c:v>100G LR4 and LR1</c:v>
                </c:pt>
              </c:strCache>
            </c:strRef>
          </c:tx>
          <c:cat>
            <c:numRef>
              <c:f>Summary!$C$728:$N$728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Summary!$C$733:$N$733</c:f>
              <c:numCache>
                <c:formatCode>_("$"* #,##0_);_("$"* \(#,##0\);_("$"* "-"??_);_(@_)</c:formatCode>
                <c:ptCount val="12"/>
                <c:pt idx="0">
                  <c:v>175.29210971636297</c:v>
                </c:pt>
                <c:pt idx="1">
                  <c:v>434.82240000000002</c:v>
                </c:pt>
                <c:pt idx="2">
                  <c:v>331.77466984830187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74AF-4145-A2BA-302D07AC74A2}"/>
            </c:ext>
          </c:extLst>
        </c:ser>
        <c:dLbls>
          <c:showLegendKey val="0"/>
          <c:showVal val="0"/>
          <c:showCatName val="0"/>
          <c:showSerName val="0"/>
          <c:showPercent val="0"/>
          <c:showBubbleSize val="0"/>
        </c:dLbls>
        <c:marker val="1"/>
        <c:smooth val="0"/>
        <c:axId val="132221184"/>
        <c:axId val="132239360"/>
      </c:lineChart>
      <c:catAx>
        <c:axId val="132221184"/>
        <c:scaling>
          <c:orientation val="minMax"/>
        </c:scaling>
        <c:delete val="0"/>
        <c:axPos val="b"/>
        <c:numFmt formatCode="General" sourceLinked="1"/>
        <c:majorTickMark val="out"/>
        <c:minorTickMark val="none"/>
        <c:tickLblPos val="nextTo"/>
        <c:txPr>
          <a:bodyPr/>
          <a:lstStyle/>
          <a:p>
            <a:pPr>
              <a:defRPr sz="1200"/>
            </a:pPr>
            <a:endParaRPr lang="en-US"/>
          </a:p>
        </c:txPr>
        <c:crossAx val="132239360"/>
        <c:crosses val="autoZero"/>
        <c:auto val="1"/>
        <c:lblAlgn val="ctr"/>
        <c:lblOffset val="100"/>
        <c:noMultiLvlLbl val="0"/>
      </c:catAx>
      <c:valAx>
        <c:axId val="132239360"/>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mn)</a:t>
                </a:r>
                <a:endParaRPr lang="en-US" sz="1400"/>
              </a:p>
            </c:rich>
          </c:tx>
          <c:layout>
            <c:manualLayout>
              <c:xMode val="edge"/>
              <c:yMode val="edge"/>
              <c:x val="1.0075156952235971E-2"/>
              <c:y val="0.26658162727267359"/>
            </c:manualLayout>
          </c:layout>
          <c:overlay val="0"/>
        </c:title>
        <c:numFmt formatCode="&quot;$&quot;#,##0" sourceLinked="0"/>
        <c:majorTickMark val="out"/>
        <c:minorTickMark val="none"/>
        <c:tickLblPos val="nextTo"/>
        <c:txPr>
          <a:bodyPr/>
          <a:lstStyle/>
          <a:p>
            <a:pPr>
              <a:defRPr sz="1200"/>
            </a:pPr>
            <a:endParaRPr lang="en-US"/>
          </a:p>
        </c:txPr>
        <c:crossAx val="132221184"/>
        <c:crosses val="autoZero"/>
        <c:crossBetween val="between"/>
      </c:valAx>
    </c:plotArea>
    <c:legend>
      <c:legendPos val="t"/>
      <c:layout>
        <c:manualLayout>
          <c:xMode val="edge"/>
          <c:yMode val="edge"/>
          <c:x val="0.71210960078701879"/>
          <c:y val="4.4779436723704359E-2"/>
          <c:w val="0.24438831874260736"/>
          <c:h val="0.38306845761926817"/>
        </c:manualLayout>
      </c:layout>
      <c:overlay val="0"/>
      <c:spPr>
        <a:solidFill>
          <a:schemeClr val="bg1"/>
        </a:solidFill>
        <a:ln>
          <a:solidFill>
            <a:sysClr val="windowText" lastClr="000000"/>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27847381796149"/>
          <c:y val="3.778602565976448E-2"/>
          <c:w val="0.82740080139095473"/>
          <c:h val="0.88510710065066112"/>
        </c:manualLayout>
      </c:layout>
      <c:lineChart>
        <c:grouping val="standard"/>
        <c:varyColors val="0"/>
        <c:ser>
          <c:idx val="2"/>
          <c:order val="0"/>
          <c:tx>
            <c:strRef>
              <c:f>Summary!$B$910</c:f>
              <c:strCache>
                <c:ptCount val="1"/>
                <c:pt idx="0">
                  <c:v>1.6T SR16_100 m_OSFP-XD and TBD</c:v>
                </c:pt>
              </c:strCache>
            </c:strRef>
          </c:tx>
          <c:spPr>
            <a:ln>
              <a:solidFill>
                <a:schemeClr val="accent2"/>
              </a:solidFill>
            </a:ln>
          </c:spPr>
          <c:marker>
            <c:spPr>
              <a:solidFill>
                <a:schemeClr val="accent2"/>
              </a:solidFill>
              <a:ln>
                <a:solidFill>
                  <a:schemeClr val="accent2"/>
                </a:solidFill>
              </a:ln>
            </c:spPr>
          </c:marker>
          <c:cat>
            <c:numRef>
              <c:f>Summary!$G$909:$N$909</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Summary!$G$910:$N$910</c:f>
              <c:numCache>
                <c:formatCode>_(* #,##0_);_(* \(#,##0\);_(* "-"??_);_(@_)</c:formatCode>
                <c:ptCount val="8"/>
              </c:numCache>
            </c:numRef>
          </c:val>
          <c:smooth val="0"/>
          <c:extLst>
            <c:ext xmlns:c16="http://schemas.microsoft.com/office/drawing/2014/chart" uri="{C3380CC4-5D6E-409C-BE32-E72D297353CC}">
              <c16:uniqueId val="{00000000-DCD4-1B4A-BF00-DACF0025900F}"/>
            </c:ext>
          </c:extLst>
        </c:ser>
        <c:ser>
          <c:idx val="0"/>
          <c:order val="1"/>
          <c:tx>
            <c:strRef>
              <c:f>Summary!$B$911</c:f>
              <c:strCache>
                <c:ptCount val="1"/>
                <c:pt idx="0">
                  <c:v>1.6T DR8_500 m_OSFP-XD and TBD</c:v>
                </c:pt>
              </c:strCache>
            </c:strRef>
          </c:tx>
          <c:cat>
            <c:numRef>
              <c:f>Summary!$G$909:$N$909</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Summary!$G$911:$N$911</c:f>
              <c:numCache>
                <c:formatCode>_(* #,##0_);_(* \(#,##0\);_(* "-"??_);_(@_)</c:formatCode>
                <c:ptCount val="8"/>
              </c:numCache>
            </c:numRef>
          </c:val>
          <c:smooth val="0"/>
          <c:extLst>
            <c:ext xmlns:c16="http://schemas.microsoft.com/office/drawing/2014/chart" uri="{C3380CC4-5D6E-409C-BE32-E72D297353CC}">
              <c16:uniqueId val="{00000001-DCD4-1B4A-BF00-DACF0025900F}"/>
            </c:ext>
          </c:extLst>
        </c:ser>
        <c:ser>
          <c:idx val="1"/>
          <c:order val="2"/>
          <c:tx>
            <c:strRef>
              <c:f>Summary!$B$912</c:f>
              <c:strCache>
                <c:ptCount val="1"/>
                <c:pt idx="0">
                  <c:v>1.6T FR8_2 km_OSFP-XD and TBD</c:v>
                </c:pt>
              </c:strCache>
            </c:strRef>
          </c:tx>
          <c:spPr>
            <a:ln>
              <a:solidFill>
                <a:schemeClr val="accent4"/>
              </a:solidFill>
            </a:ln>
          </c:spPr>
          <c:marker>
            <c:spPr>
              <a:solidFill>
                <a:schemeClr val="accent4"/>
              </a:solidFill>
              <a:ln>
                <a:solidFill>
                  <a:schemeClr val="accent4"/>
                </a:solidFill>
              </a:ln>
            </c:spPr>
          </c:marker>
          <c:cat>
            <c:numRef>
              <c:f>Summary!$G$909:$N$909</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Summary!$G$912:$N$912</c:f>
              <c:numCache>
                <c:formatCode>_(* #,##0_);_(* \(#,##0\);_(* "-"??_);_(@_)</c:formatCode>
                <c:ptCount val="8"/>
              </c:numCache>
            </c:numRef>
          </c:val>
          <c:smooth val="0"/>
          <c:extLst>
            <c:ext xmlns:c16="http://schemas.microsoft.com/office/drawing/2014/chart" uri="{C3380CC4-5D6E-409C-BE32-E72D297353CC}">
              <c16:uniqueId val="{00000002-DCD4-1B4A-BF00-DACF0025900F}"/>
            </c:ext>
          </c:extLst>
        </c:ser>
        <c:dLbls>
          <c:showLegendKey val="0"/>
          <c:showVal val="0"/>
          <c:showCatName val="0"/>
          <c:showSerName val="0"/>
          <c:showPercent val="0"/>
          <c:showBubbleSize val="0"/>
        </c:dLbls>
        <c:marker val="1"/>
        <c:smooth val="0"/>
        <c:axId val="132266240"/>
        <c:axId val="132268416"/>
      </c:lineChart>
      <c:catAx>
        <c:axId val="132266240"/>
        <c:scaling>
          <c:orientation val="minMax"/>
        </c:scaling>
        <c:delete val="0"/>
        <c:axPos val="b"/>
        <c:numFmt formatCode="General" sourceLinked="1"/>
        <c:majorTickMark val="out"/>
        <c:minorTickMark val="none"/>
        <c:tickLblPos val="nextTo"/>
        <c:txPr>
          <a:bodyPr/>
          <a:lstStyle/>
          <a:p>
            <a:pPr>
              <a:defRPr sz="1000"/>
            </a:pPr>
            <a:endParaRPr lang="en-US"/>
          </a:p>
        </c:txPr>
        <c:crossAx val="132268416"/>
        <c:crosses val="autoZero"/>
        <c:auto val="1"/>
        <c:lblAlgn val="ctr"/>
        <c:lblOffset val="100"/>
        <c:noMultiLvlLbl val="0"/>
      </c:catAx>
      <c:valAx>
        <c:axId val="132268416"/>
        <c:scaling>
          <c:orientation val="minMax"/>
        </c:scaling>
        <c:delete val="0"/>
        <c:axPos val="l"/>
        <c:majorGridlines/>
        <c:title>
          <c:tx>
            <c:rich>
              <a:bodyPr rot="-5400000" vert="horz"/>
              <a:lstStyle/>
              <a:p>
                <a:pPr>
                  <a:defRPr sz="1400"/>
                </a:pPr>
                <a:r>
                  <a:rPr lang="en-US" sz="1400"/>
                  <a:t>Annual shipments (Units)</a:t>
                </a:r>
              </a:p>
            </c:rich>
          </c:tx>
          <c:layout>
            <c:manualLayout>
              <c:xMode val="edge"/>
              <c:yMode val="edge"/>
              <c:x val="1.2632186676185111E-2"/>
              <c:y val="9.1600160005513298E-2"/>
            </c:manualLayout>
          </c:layout>
          <c:overlay val="0"/>
        </c:title>
        <c:numFmt formatCode="_(* #,##0_);_(* \(#,##0\);_(* &quot;-&quot;??_);_(@_)" sourceLinked="1"/>
        <c:majorTickMark val="out"/>
        <c:minorTickMark val="none"/>
        <c:tickLblPos val="nextTo"/>
        <c:txPr>
          <a:bodyPr/>
          <a:lstStyle/>
          <a:p>
            <a:pPr>
              <a:defRPr sz="1000"/>
            </a:pPr>
            <a:endParaRPr lang="en-US"/>
          </a:p>
        </c:txPr>
        <c:crossAx val="132266240"/>
        <c:crosses val="autoZero"/>
        <c:crossBetween val="between"/>
      </c:valAx>
    </c:plotArea>
    <c:legend>
      <c:legendPos val="t"/>
      <c:layout>
        <c:manualLayout>
          <c:xMode val="edge"/>
          <c:yMode val="edge"/>
          <c:x val="0.17532950011636667"/>
          <c:y val="6.8869471953289907E-2"/>
          <c:w val="0.49595437786734969"/>
          <c:h val="0.30633692988972294"/>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82785725345914"/>
          <c:y val="6.190251394785997E-2"/>
          <c:w val="0.83393308477067707"/>
          <c:h val="0.80162524905012333"/>
        </c:manualLayout>
      </c:layout>
      <c:lineChart>
        <c:grouping val="standard"/>
        <c:varyColors val="0"/>
        <c:ser>
          <c:idx val="2"/>
          <c:order val="0"/>
          <c:tx>
            <c:strRef>
              <c:f>Summary!$B$917</c:f>
              <c:strCache>
                <c:ptCount val="1"/>
                <c:pt idx="0">
                  <c:v>1.6T SR16_100 m_OSFP-XD and TBD</c:v>
                </c:pt>
              </c:strCache>
            </c:strRef>
          </c:tx>
          <c:spPr>
            <a:ln>
              <a:solidFill>
                <a:schemeClr val="accent2"/>
              </a:solidFill>
            </a:ln>
          </c:spPr>
          <c:marker>
            <c:spPr>
              <a:solidFill>
                <a:schemeClr val="accent2"/>
              </a:solidFill>
              <a:ln>
                <a:solidFill>
                  <a:schemeClr val="accent2"/>
                </a:solidFill>
              </a:ln>
            </c:spPr>
          </c:marker>
          <c:cat>
            <c:numRef>
              <c:f>Summary!$H$916:$N$916</c:f>
              <c:numCache>
                <c:formatCode>General</c:formatCode>
                <c:ptCount val="7"/>
                <c:pt idx="0">
                  <c:v>2021</c:v>
                </c:pt>
                <c:pt idx="1">
                  <c:v>2022</c:v>
                </c:pt>
                <c:pt idx="2">
                  <c:v>2023</c:v>
                </c:pt>
                <c:pt idx="3">
                  <c:v>2024</c:v>
                </c:pt>
                <c:pt idx="4">
                  <c:v>2025</c:v>
                </c:pt>
                <c:pt idx="5">
                  <c:v>2026</c:v>
                </c:pt>
                <c:pt idx="6">
                  <c:v>2027</c:v>
                </c:pt>
              </c:numCache>
            </c:numRef>
          </c:cat>
          <c:val>
            <c:numRef>
              <c:f>Summary!$H$917:$N$917</c:f>
              <c:numCache>
                <c:formatCode>_("$"* #,##0_);_("$"* \(#,##0\);_("$"* "-"??_);_(@_)</c:formatCode>
                <c:ptCount val="7"/>
                <c:pt idx="3">
                  <c:v>0</c:v>
                </c:pt>
                <c:pt idx="4">
                  <c:v>0</c:v>
                </c:pt>
                <c:pt idx="5">
                  <c:v>0</c:v>
                </c:pt>
                <c:pt idx="6">
                  <c:v>0</c:v>
                </c:pt>
              </c:numCache>
            </c:numRef>
          </c:val>
          <c:smooth val="0"/>
          <c:extLst>
            <c:ext xmlns:c16="http://schemas.microsoft.com/office/drawing/2014/chart" uri="{C3380CC4-5D6E-409C-BE32-E72D297353CC}">
              <c16:uniqueId val="{00000000-28FB-3C42-9AE7-8CFF292F800D}"/>
            </c:ext>
          </c:extLst>
        </c:ser>
        <c:ser>
          <c:idx val="0"/>
          <c:order val="1"/>
          <c:tx>
            <c:strRef>
              <c:f>Summary!$B$918</c:f>
              <c:strCache>
                <c:ptCount val="1"/>
                <c:pt idx="0">
                  <c:v>1.6T DR8_500 m_OSFP-XD and TBD</c:v>
                </c:pt>
              </c:strCache>
            </c:strRef>
          </c:tx>
          <c:cat>
            <c:numRef>
              <c:f>Summary!$H$916:$N$916</c:f>
              <c:numCache>
                <c:formatCode>General</c:formatCode>
                <c:ptCount val="7"/>
                <c:pt idx="0">
                  <c:v>2021</c:v>
                </c:pt>
                <c:pt idx="1">
                  <c:v>2022</c:v>
                </c:pt>
                <c:pt idx="2">
                  <c:v>2023</c:v>
                </c:pt>
                <c:pt idx="3">
                  <c:v>2024</c:v>
                </c:pt>
                <c:pt idx="4">
                  <c:v>2025</c:v>
                </c:pt>
                <c:pt idx="5">
                  <c:v>2026</c:v>
                </c:pt>
                <c:pt idx="6">
                  <c:v>2027</c:v>
                </c:pt>
              </c:numCache>
            </c:numRef>
          </c:cat>
          <c:val>
            <c:numRef>
              <c:f>Summary!$H$918:$N$918</c:f>
              <c:numCache>
                <c:formatCode>_("$"* #,##0_);_("$"* \(#,##0\);_("$"* "-"??_);_(@_)</c:formatCode>
                <c:ptCount val="7"/>
                <c:pt idx="3">
                  <c:v>0</c:v>
                </c:pt>
                <c:pt idx="4">
                  <c:v>0</c:v>
                </c:pt>
                <c:pt idx="5">
                  <c:v>0</c:v>
                </c:pt>
                <c:pt idx="6">
                  <c:v>0</c:v>
                </c:pt>
              </c:numCache>
            </c:numRef>
          </c:val>
          <c:smooth val="0"/>
          <c:extLst>
            <c:ext xmlns:c16="http://schemas.microsoft.com/office/drawing/2014/chart" uri="{C3380CC4-5D6E-409C-BE32-E72D297353CC}">
              <c16:uniqueId val="{00000001-28FB-3C42-9AE7-8CFF292F800D}"/>
            </c:ext>
          </c:extLst>
        </c:ser>
        <c:ser>
          <c:idx val="1"/>
          <c:order val="2"/>
          <c:tx>
            <c:strRef>
              <c:f>Summary!$B$919</c:f>
              <c:strCache>
                <c:ptCount val="1"/>
                <c:pt idx="0">
                  <c:v>1.6T FR8_2 km_OSFP-XD and TBD</c:v>
                </c:pt>
              </c:strCache>
            </c:strRef>
          </c:tx>
          <c:spPr>
            <a:ln>
              <a:solidFill>
                <a:schemeClr val="accent4"/>
              </a:solidFill>
            </a:ln>
          </c:spPr>
          <c:marker>
            <c:spPr>
              <a:solidFill>
                <a:schemeClr val="accent4"/>
              </a:solidFill>
              <a:ln>
                <a:solidFill>
                  <a:schemeClr val="accent4"/>
                </a:solidFill>
              </a:ln>
            </c:spPr>
          </c:marker>
          <c:cat>
            <c:numRef>
              <c:f>Summary!$H$916:$N$916</c:f>
              <c:numCache>
                <c:formatCode>General</c:formatCode>
                <c:ptCount val="7"/>
                <c:pt idx="0">
                  <c:v>2021</c:v>
                </c:pt>
                <c:pt idx="1">
                  <c:v>2022</c:v>
                </c:pt>
                <c:pt idx="2">
                  <c:v>2023</c:v>
                </c:pt>
                <c:pt idx="3">
                  <c:v>2024</c:v>
                </c:pt>
                <c:pt idx="4">
                  <c:v>2025</c:v>
                </c:pt>
                <c:pt idx="5">
                  <c:v>2026</c:v>
                </c:pt>
                <c:pt idx="6">
                  <c:v>2027</c:v>
                </c:pt>
              </c:numCache>
            </c:numRef>
          </c:cat>
          <c:val>
            <c:numRef>
              <c:f>Summary!$H$919:$N$919</c:f>
              <c:numCache>
                <c:formatCode>_("$"* #,##0_);_("$"* \(#,##0\);_("$"* "-"??_);_(@_)</c:formatCode>
                <c:ptCount val="7"/>
                <c:pt idx="3">
                  <c:v>0</c:v>
                </c:pt>
                <c:pt idx="4">
                  <c:v>0</c:v>
                </c:pt>
                <c:pt idx="5">
                  <c:v>0</c:v>
                </c:pt>
                <c:pt idx="6">
                  <c:v>0</c:v>
                </c:pt>
              </c:numCache>
            </c:numRef>
          </c:val>
          <c:smooth val="0"/>
          <c:extLst>
            <c:ext xmlns:c16="http://schemas.microsoft.com/office/drawing/2014/chart" uri="{C3380CC4-5D6E-409C-BE32-E72D297353CC}">
              <c16:uniqueId val="{00000002-28FB-3C42-9AE7-8CFF292F800D}"/>
            </c:ext>
          </c:extLst>
        </c:ser>
        <c:dLbls>
          <c:showLegendKey val="0"/>
          <c:showVal val="0"/>
          <c:showCatName val="0"/>
          <c:showSerName val="0"/>
          <c:showPercent val="0"/>
          <c:showBubbleSize val="0"/>
        </c:dLbls>
        <c:marker val="1"/>
        <c:smooth val="0"/>
        <c:axId val="132299392"/>
        <c:axId val="132322048"/>
      </c:lineChart>
      <c:catAx>
        <c:axId val="132299392"/>
        <c:scaling>
          <c:orientation val="minMax"/>
        </c:scaling>
        <c:delete val="0"/>
        <c:axPos val="b"/>
        <c:numFmt formatCode="General" sourceLinked="1"/>
        <c:majorTickMark val="out"/>
        <c:minorTickMark val="none"/>
        <c:tickLblPos val="nextTo"/>
        <c:txPr>
          <a:bodyPr/>
          <a:lstStyle/>
          <a:p>
            <a:pPr>
              <a:defRPr sz="1000"/>
            </a:pPr>
            <a:endParaRPr lang="en-US"/>
          </a:p>
        </c:txPr>
        <c:crossAx val="132322048"/>
        <c:crosses val="autoZero"/>
        <c:auto val="1"/>
        <c:lblAlgn val="ctr"/>
        <c:lblOffset val="100"/>
        <c:noMultiLvlLbl val="0"/>
      </c:catAx>
      <c:valAx>
        <c:axId val="132322048"/>
        <c:scaling>
          <c:orientation val="minMax"/>
        </c:scaling>
        <c:delete val="0"/>
        <c:axPos val="l"/>
        <c:majorGridlines/>
        <c:title>
          <c:tx>
            <c:rich>
              <a:bodyPr rot="-5400000" vert="horz"/>
              <a:lstStyle/>
              <a:p>
                <a:pPr>
                  <a:defRPr sz="1400"/>
                </a:pPr>
                <a:r>
                  <a:rPr lang="en-US" sz="1400"/>
                  <a:t>A.S.P.s</a:t>
                </a:r>
              </a:p>
            </c:rich>
          </c:tx>
          <c:layout>
            <c:manualLayout>
              <c:xMode val="edge"/>
              <c:yMode val="edge"/>
              <c:x val="2.197759587763849E-3"/>
              <c:y val="0.40973955832116876"/>
            </c:manualLayout>
          </c:layout>
          <c:overlay val="0"/>
        </c:title>
        <c:numFmt formatCode="&quot;$&quot;#,##0" sourceLinked="0"/>
        <c:majorTickMark val="out"/>
        <c:minorTickMark val="none"/>
        <c:tickLblPos val="nextTo"/>
        <c:txPr>
          <a:bodyPr/>
          <a:lstStyle/>
          <a:p>
            <a:pPr>
              <a:defRPr sz="1000"/>
            </a:pPr>
            <a:endParaRPr lang="en-US"/>
          </a:p>
        </c:txPr>
        <c:crossAx val="132299392"/>
        <c:crosses val="autoZero"/>
        <c:crossBetween val="between"/>
      </c:valAx>
    </c:plotArea>
    <c:legend>
      <c:legendPos val="t"/>
      <c:layout>
        <c:manualLayout>
          <c:xMode val="edge"/>
          <c:yMode val="edge"/>
          <c:x val="0.17062587393453732"/>
          <c:y val="0.54240357530002137"/>
          <c:w val="0.49689998706970323"/>
          <c:h val="0.28078065487092801"/>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76114234262062"/>
          <c:y val="3.5802548449797827E-2"/>
          <c:w val="0.84942799254536561"/>
          <c:h val="0.87533537520182725"/>
        </c:manualLayout>
      </c:layout>
      <c:lineChart>
        <c:grouping val="standard"/>
        <c:varyColors val="0"/>
        <c:ser>
          <c:idx val="2"/>
          <c:order val="0"/>
          <c:tx>
            <c:strRef>
              <c:f>Summary!$B$924</c:f>
              <c:strCache>
                <c:ptCount val="1"/>
                <c:pt idx="0">
                  <c:v>1.6T SR16_100 m_OSFP-XD and TBD</c:v>
                </c:pt>
              </c:strCache>
            </c:strRef>
          </c:tx>
          <c:spPr>
            <a:ln>
              <a:solidFill>
                <a:schemeClr val="accent2"/>
              </a:solidFill>
            </a:ln>
          </c:spPr>
          <c:marker>
            <c:spPr>
              <a:solidFill>
                <a:schemeClr val="accent2"/>
              </a:solidFill>
              <a:ln>
                <a:solidFill>
                  <a:schemeClr val="accent2"/>
                </a:solidFill>
              </a:ln>
            </c:spPr>
          </c:marker>
          <c:cat>
            <c:numRef>
              <c:f>Summary!$G$923:$N$923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Summary!$G$924:$N$924</c:f>
              <c:numCache>
                <c:formatCode>_("$"* #,##0_);_("$"* \(#,##0\);_("$"* "-"??_);_(@_)</c:formatCode>
                <c:ptCount val="8"/>
              </c:numCache>
            </c:numRef>
          </c:val>
          <c:smooth val="0"/>
          <c:extLst>
            <c:ext xmlns:c16="http://schemas.microsoft.com/office/drawing/2014/chart" uri="{C3380CC4-5D6E-409C-BE32-E72D297353CC}">
              <c16:uniqueId val="{00000000-5A8F-0344-B2CD-C518500A5542}"/>
            </c:ext>
          </c:extLst>
        </c:ser>
        <c:ser>
          <c:idx val="0"/>
          <c:order val="1"/>
          <c:tx>
            <c:strRef>
              <c:f>Summary!$B$925</c:f>
              <c:strCache>
                <c:ptCount val="1"/>
                <c:pt idx="0">
                  <c:v>1.6T DR8_500 m_OSFP-XD and TBD</c:v>
                </c:pt>
              </c:strCache>
            </c:strRef>
          </c:tx>
          <c:cat>
            <c:numRef>
              <c:f>Summary!$G$923:$N$923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Summary!$G$925:$N$925</c:f>
              <c:numCache>
                <c:formatCode>_("$"* #,##0_);_("$"* \(#,##0\);_("$"* "-"??_);_(@_)</c:formatCode>
                <c:ptCount val="8"/>
              </c:numCache>
            </c:numRef>
          </c:val>
          <c:smooth val="0"/>
          <c:extLst>
            <c:ext xmlns:c16="http://schemas.microsoft.com/office/drawing/2014/chart" uri="{C3380CC4-5D6E-409C-BE32-E72D297353CC}">
              <c16:uniqueId val="{00000001-5A8F-0344-B2CD-C518500A5542}"/>
            </c:ext>
          </c:extLst>
        </c:ser>
        <c:ser>
          <c:idx val="1"/>
          <c:order val="2"/>
          <c:tx>
            <c:strRef>
              <c:f>Summary!$B$926</c:f>
              <c:strCache>
                <c:ptCount val="1"/>
                <c:pt idx="0">
                  <c:v>1.6T FR8_2 km_OSFP-XD and TBD</c:v>
                </c:pt>
              </c:strCache>
            </c:strRef>
          </c:tx>
          <c:spPr>
            <a:ln>
              <a:solidFill>
                <a:schemeClr val="accent4"/>
              </a:solidFill>
            </a:ln>
          </c:spPr>
          <c:marker>
            <c:spPr>
              <a:solidFill>
                <a:schemeClr val="accent4"/>
              </a:solidFill>
              <a:ln>
                <a:solidFill>
                  <a:schemeClr val="accent4"/>
                </a:solidFill>
              </a:ln>
            </c:spPr>
          </c:marker>
          <c:cat>
            <c:numRef>
              <c:f>Summary!$G$923:$N$923</c:f>
              <c:numCache>
                <c:formatCode>General</c:formatCode>
                <c:ptCount val="8"/>
                <c:pt idx="0">
                  <c:v>2020</c:v>
                </c:pt>
                <c:pt idx="1">
                  <c:v>2021</c:v>
                </c:pt>
                <c:pt idx="2">
                  <c:v>2022</c:v>
                </c:pt>
                <c:pt idx="3">
                  <c:v>2023</c:v>
                </c:pt>
                <c:pt idx="4">
                  <c:v>2024</c:v>
                </c:pt>
                <c:pt idx="5">
                  <c:v>2025</c:v>
                </c:pt>
                <c:pt idx="6">
                  <c:v>2026</c:v>
                </c:pt>
                <c:pt idx="7">
                  <c:v>2027</c:v>
                </c:pt>
              </c:numCache>
            </c:numRef>
          </c:cat>
          <c:val>
            <c:numRef>
              <c:f>Summary!$G$926:$N$926</c:f>
              <c:numCache>
                <c:formatCode>_("$"* #,##0_);_("$"* \(#,##0\);_("$"* "-"??_);_(@_)</c:formatCode>
                <c:ptCount val="8"/>
              </c:numCache>
            </c:numRef>
          </c:val>
          <c:smooth val="0"/>
          <c:extLst>
            <c:ext xmlns:c16="http://schemas.microsoft.com/office/drawing/2014/chart" uri="{C3380CC4-5D6E-409C-BE32-E72D297353CC}">
              <c16:uniqueId val="{00000002-5A8F-0344-B2CD-C518500A5542}"/>
            </c:ext>
          </c:extLst>
        </c:ser>
        <c:dLbls>
          <c:showLegendKey val="0"/>
          <c:showVal val="0"/>
          <c:showCatName val="0"/>
          <c:showSerName val="0"/>
          <c:showPercent val="0"/>
          <c:showBubbleSize val="0"/>
        </c:dLbls>
        <c:marker val="1"/>
        <c:smooth val="0"/>
        <c:axId val="132340736"/>
        <c:axId val="132342912"/>
      </c:lineChart>
      <c:catAx>
        <c:axId val="132340736"/>
        <c:scaling>
          <c:orientation val="minMax"/>
        </c:scaling>
        <c:delete val="0"/>
        <c:axPos val="b"/>
        <c:numFmt formatCode="General" sourceLinked="1"/>
        <c:majorTickMark val="out"/>
        <c:minorTickMark val="none"/>
        <c:tickLblPos val="nextTo"/>
        <c:txPr>
          <a:bodyPr/>
          <a:lstStyle/>
          <a:p>
            <a:pPr>
              <a:defRPr sz="1000"/>
            </a:pPr>
            <a:endParaRPr lang="en-US"/>
          </a:p>
        </c:txPr>
        <c:crossAx val="132342912"/>
        <c:crosses val="autoZero"/>
        <c:auto val="1"/>
        <c:lblAlgn val="ctr"/>
        <c:lblOffset val="100"/>
        <c:noMultiLvlLbl val="0"/>
      </c:catAx>
      <c:valAx>
        <c:axId val="132342912"/>
        <c:scaling>
          <c:orientation val="minMax"/>
        </c:scaling>
        <c:delete val="0"/>
        <c:axPos val="l"/>
        <c:majorGridlines/>
        <c:title>
          <c:tx>
            <c:rich>
              <a:bodyPr rot="-5400000" vert="horz"/>
              <a:lstStyle/>
              <a:p>
                <a:pPr>
                  <a:defRPr sz="1400" b="1"/>
                </a:pPr>
                <a:r>
                  <a:rPr lang="en-US" sz="1400" b="1"/>
                  <a:t>Annual sales ($mn)</a:t>
                </a:r>
              </a:p>
            </c:rich>
          </c:tx>
          <c:overlay val="0"/>
        </c:title>
        <c:numFmt formatCode="&quot;$&quot;#,##0" sourceLinked="0"/>
        <c:majorTickMark val="out"/>
        <c:minorTickMark val="none"/>
        <c:tickLblPos val="nextTo"/>
        <c:txPr>
          <a:bodyPr/>
          <a:lstStyle/>
          <a:p>
            <a:pPr>
              <a:defRPr sz="1000"/>
            </a:pPr>
            <a:endParaRPr lang="en-US"/>
          </a:p>
        </c:txPr>
        <c:crossAx val="132340736"/>
        <c:crosses val="autoZero"/>
        <c:crossBetween val="between"/>
      </c:valAx>
    </c:plotArea>
    <c:legend>
      <c:legendPos val="t"/>
      <c:layout>
        <c:manualLayout>
          <c:xMode val="edge"/>
          <c:yMode val="edge"/>
          <c:x val="0.13432250966082437"/>
          <c:y val="4.9710763796812933E-2"/>
          <c:w val="0.54194027747577234"/>
          <c:h val="0.3069051042808598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6909917581493"/>
          <c:y val="8.2581983937649331E-2"/>
          <c:w val="0.80056916459295702"/>
          <c:h val="0.83145695333175107"/>
        </c:manualLayout>
      </c:layout>
      <c:barChart>
        <c:barDir val="col"/>
        <c:grouping val="stacked"/>
        <c:varyColors val="0"/>
        <c:ser>
          <c:idx val="0"/>
          <c:order val="0"/>
          <c:tx>
            <c:strRef>
              <c:f>'112 Adoption'!$B$30</c:f>
              <c:strCache>
                <c:ptCount val="1"/>
                <c:pt idx="0">
                  <c:v>100G QSFP28</c:v>
                </c:pt>
              </c:strCache>
            </c:strRef>
          </c:tx>
          <c:spPr>
            <a:solidFill>
              <a:schemeClr val="accent1"/>
            </a:solidFill>
            <a:ln>
              <a:noFill/>
            </a:ln>
            <a:effectLst/>
          </c:spPr>
          <c:invertIfNegative val="0"/>
          <c:cat>
            <c:numRef>
              <c:f>'112 Adoption'!$C$29:$N$29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'112 Adoption'!$C$30:$N$30</c:f>
              <c:numCache>
                <c:formatCode>_(* #,##0_);_(* \(#,##0\);_(* "-"??_);_(@_)</c:formatCode>
                <c:ptCount val="12"/>
                <c:pt idx="0">
                  <c:v>370501</c:v>
                </c:pt>
                <c:pt idx="1">
                  <c:v>985144</c:v>
                </c:pt>
                <c:pt idx="2">
                  <c:v>2316708.1176470588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B57-9941-B42E-300DD673EA5D}"/>
            </c:ext>
          </c:extLst>
        </c:ser>
        <c:ser>
          <c:idx val="1"/>
          <c:order val="1"/>
          <c:tx>
            <c:strRef>
              <c:f>'112 Adoption'!$B$31</c:f>
              <c:strCache>
                <c:ptCount val="1"/>
                <c:pt idx="0">
                  <c:v>100G SFP112</c:v>
                </c:pt>
              </c:strCache>
            </c:strRef>
          </c:tx>
          <c:spPr>
            <a:solidFill>
              <a:schemeClr val="accent2"/>
            </a:solidFill>
            <a:ln>
              <a:noFill/>
            </a:ln>
            <a:effectLst/>
          </c:spPr>
          <c:invertIfNegative val="0"/>
          <c:cat>
            <c:numRef>
              <c:f>'112 Adoption'!$C$29:$N$29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'112 Adoption'!$C$31:$N$31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B57-9941-B42E-300DD673EA5D}"/>
            </c:ext>
          </c:extLst>
        </c:ser>
        <c:dLbls>
          <c:showLegendKey val="0"/>
          <c:showVal val="0"/>
          <c:showCatName val="0"/>
          <c:showSerName val="0"/>
          <c:showPercent val="0"/>
          <c:showBubbleSize val="0"/>
        </c:dLbls>
        <c:gapWidth val="150"/>
        <c:overlap val="100"/>
        <c:axId val="74307840"/>
        <c:axId val="132845568"/>
      </c:barChart>
      <c:catAx>
        <c:axId val="7430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132845568"/>
        <c:crosses val="autoZero"/>
        <c:auto val="1"/>
        <c:lblAlgn val="ctr"/>
        <c:lblOffset val="100"/>
        <c:noMultiLvlLbl val="0"/>
      </c:catAx>
      <c:valAx>
        <c:axId val="132845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4763473006121557E-2"/>
              <c:y val="0.2941537183782048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74307840"/>
        <c:crosses val="autoZero"/>
        <c:crossBetween val="between"/>
        <c:majorUnit val="5000000"/>
      </c:valAx>
      <c:spPr>
        <a:noFill/>
        <a:ln>
          <a:noFill/>
        </a:ln>
        <a:effectLst/>
      </c:spPr>
    </c:plotArea>
    <c:legend>
      <c:legendPos val="b"/>
      <c:layout>
        <c:manualLayout>
          <c:xMode val="edge"/>
          <c:yMode val="edge"/>
          <c:x val="0.18984843551388503"/>
          <c:y val="0.12775113019022094"/>
          <c:w val="0.46237687010590256"/>
          <c:h val="9.5845008916752891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99455050571854"/>
          <c:y val="7.8421321916405162E-2"/>
          <c:w val="0.80524360070074441"/>
          <c:h val="0.83561762868904732"/>
        </c:manualLayout>
      </c:layout>
      <c:barChart>
        <c:barDir val="col"/>
        <c:grouping val="stacked"/>
        <c:varyColors val="0"/>
        <c:ser>
          <c:idx val="0"/>
          <c:order val="0"/>
          <c:tx>
            <c:strRef>
              <c:f>'112 Adoption'!$P$30</c:f>
              <c:strCache>
                <c:ptCount val="1"/>
                <c:pt idx="0">
                  <c:v>400G QSFP-DD/OSFP</c:v>
                </c:pt>
              </c:strCache>
            </c:strRef>
          </c:tx>
          <c:spPr>
            <a:solidFill>
              <a:schemeClr val="accent1"/>
            </a:solidFill>
            <a:ln>
              <a:noFill/>
            </a:ln>
            <a:effectLst/>
          </c:spPr>
          <c:invertIfNegative val="0"/>
          <c:cat>
            <c:numRef>
              <c:f>'112 Adoption'!$Q$29:$AB$29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'112 Adoption'!$Q$30:$AB$30</c:f>
              <c:numCache>
                <c:formatCode>_(* #,##0_);_(* \(#,##0\);_(* "-"??_);_(@_)</c:formatCode>
                <c:ptCount val="12"/>
                <c:pt idx="0">
                  <c:v>0</c:v>
                </c:pt>
                <c:pt idx="1">
                  <c:v>89</c:v>
                </c:pt>
                <c:pt idx="2">
                  <c:v>39000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441-D04E-AC2F-F514AB5AB329}"/>
            </c:ext>
          </c:extLst>
        </c:ser>
        <c:ser>
          <c:idx val="1"/>
          <c:order val="1"/>
          <c:tx>
            <c:strRef>
              <c:f>'112 Adoption'!$P$31</c:f>
              <c:strCache>
                <c:ptCount val="1"/>
                <c:pt idx="0">
                  <c:v>400G QSFP112</c:v>
                </c:pt>
              </c:strCache>
            </c:strRef>
          </c:tx>
          <c:spPr>
            <a:solidFill>
              <a:schemeClr val="accent2"/>
            </a:solidFill>
            <a:ln>
              <a:noFill/>
            </a:ln>
            <a:effectLst/>
          </c:spPr>
          <c:invertIfNegative val="0"/>
          <c:cat>
            <c:numRef>
              <c:f>'112 Adoption'!$Q$29:$AB$29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'112 Adoption'!$Q$31:$AB$31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441-D04E-AC2F-F514AB5AB329}"/>
            </c:ext>
          </c:extLst>
        </c:ser>
        <c:dLbls>
          <c:showLegendKey val="0"/>
          <c:showVal val="0"/>
          <c:showCatName val="0"/>
          <c:showSerName val="0"/>
          <c:showPercent val="0"/>
          <c:showBubbleSize val="0"/>
        </c:dLbls>
        <c:gapWidth val="150"/>
        <c:overlap val="100"/>
        <c:axId val="132876160"/>
        <c:axId val="132877696"/>
      </c:barChart>
      <c:catAx>
        <c:axId val="13287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2877696"/>
        <c:crosses val="autoZero"/>
        <c:auto val="1"/>
        <c:lblAlgn val="ctr"/>
        <c:lblOffset val="100"/>
        <c:noMultiLvlLbl val="0"/>
      </c:catAx>
      <c:valAx>
        <c:axId val="13287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sz="1200">
                    <a:solidFill>
                      <a:schemeClr val="tx1"/>
                    </a:solidFill>
                  </a:rPr>
                  <a:t>Shipments (Units)</a:t>
                </a:r>
              </a:p>
            </c:rich>
          </c:tx>
          <c:layout>
            <c:manualLayout>
              <c:xMode val="edge"/>
              <c:yMode val="edge"/>
              <c:x val="1.8733305876996963E-2"/>
              <c:y val="0.2834567368335528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32876160"/>
        <c:crosses val="autoZero"/>
        <c:crossBetween val="between"/>
      </c:valAx>
      <c:spPr>
        <a:noFill/>
        <a:ln>
          <a:noFill/>
        </a:ln>
        <a:effectLst/>
      </c:spPr>
    </c:plotArea>
    <c:legend>
      <c:legendPos val="b"/>
      <c:layout>
        <c:manualLayout>
          <c:xMode val="edge"/>
          <c:yMode val="edge"/>
          <c:x val="0.17626273340659526"/>
          <c:y val="0.12413337051698345"/>
          <c:w val="0.5493001622789454"/>
          <c:h val="8.1496837829758792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a:t>
            </a:r>
          </a:p>
          <a:p>
            <a:pPr>
              <a:defRPr/>
            </a:pPr>
            <a:r>
              <a:rPr lang="en-US" sz="1600" b="0"/>
              <a:t>(linear scale)</a:t>
            </a:r>
          </a:p>
        </c:rich>
      </c:tx>
      <c:overlay val="0"/>
    </c:title>
    <c:autoTitleDeleted val="0"/>
    <c:plotArea>
      <c:layout/>
      <c:lineChart>
        <c:grouping val="standard"/>
        <c:varyColors val="0"/>
        <c:ser>
          <c:idx val="1"/>
          <c:order val="0"/>
          <c:tx>
            <c:strRef>
              <c:f>'Cost per Gbps'!$D$35</c:f>
              <c:strCache>
                <c:ptCount val="1"/>
                <c:pt idx="0">
                  <c:v>1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Gbps'!$E$35:$U$35</c:f>
              <c:numCache>
                <c:formatCode>_("$"* #,##0_);_("$"* \(#,##0\);_("$"* "-"??_);_(@_)</c:formatCode>
                <c:ptCount val="17"/>
                <c:pt idx="0">
                  <c:v>22.693702827821532</c:v>
                </c:pt>
                <c:pt idx="1">
                  <c:v>19.293096563473824</c:v>
                </c:pt>
                <c:pt idx="2">
                  <c:v>18.103114071743498</c:v>
                </c:pt>
                <c:pt idx="3">
                  <c:v>16.178886053917275</c:v>
                </c:pt>
                <c:pt idx="4">
                  <c:v>14.755270803079455</c:v>
                </c:pt>
                <c:pt idx="5">
                  <c:v>14.157915068774409</c:v>
                </c:pt>
                <c:pt idx="6">
                  <c:v>11.362900504713087</c:v>
                </c:pt>
                <c:pt idx="7">
                  <c:v>9.8128791971601554</c:v>
                </c:pt>
                <c:pt idx="8" formatCode="_(&quot;$&quot;* #,##0.0_);_(&quot;$&quot;* \(#,##0.0\);_(&quot;$&quot;* &quot;-&quot;??_);_(@_)">
                  <c:v>9.1996642661233263</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476F-BB45-9EB4-52EF862F6C10}"/>
            </c:ext>
          </c:extLst>
        </c:ser>
        <c:ser>
          <c:idx val="2"/>
          <c:order val="1"/>
          <c:tx>
            <c:strRef>
              <c:f>'Cost per Gbps'!$D$36</c:f>
              <c:strCache>
                <c:ptCount val="1"/>
                <c:pt idx="0">
                  <c:v>10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Gbps'!$E$36:$U$36</c:f>
              <c:numCache>
                <c:formatCode>_("$"* #,##0_);_("$"* \(#,##0\);_("$"* "-"??_);_(@_)</c:formatCode>
                <c:ptCount val="17"/>
                <c:pt idx="0">
                  <c:v>9.8825247570260242</c:v>
                </c:pt>
                <c:pt idx="1">
                  <c:v>7.5412691899358517</c:v>
                </c:pt>
                <c:pt idx="2">
                  <c:v>6.7189149239794101</c:v>
                </c:pt>
                <c:pt idx="3">
                  <c:v>5.2861169818853488</c:v>
                </c:pt>
                <c:pt idx="4">
                  <c:v>4.5280339113800467</c:v>
                </c:pt>
                <c:pt idx="5">
                  <c:v>3.897031950093071</c:v>
                </c:pt>
                <c:pt idx="6">
                  <c:v>3.1803504158563904</c:v>
                </c:pt>
                <c:pt idx="7">
                  <c:v>2.439730741307288</c:v>
                </c:pt>
                <c:pt idx="8" formatCode="_(&quot;$&quot;* #,##0.0_);_(&quot;$&quot;* \(#,##0.0\);_(&quot;$&quot;* &quot;-&quot;??_);_(@_)">
                  <c:v>2.1411624078637841</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1-476F-BB45-9EB4-52EF862F6C10}"/>
            </c:ext>
          </c:extLst>
        </c:ser>
        <c:ser>
          <c:idx val="5"/>
          <c:order val="2"/>
          <c:tx>
            <c:strRef>
              <c:f>'Cost per Gbps'!$D$37</c:f>
              <c:strCache>
                <c:ptCount val="1"/>
                <c:pt idx="0">
                  <c:v>25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Gbps'!$E$37:$U$37</c:f>
              <c:numCache>
                <c:formatCode>_("$"* #,##0_);_("$"* \(#,##0\);_("$"* "-"??_);_(@_)</c:formatCode>
                <c:ptCount val="17"/>
                <c:pt idx="6">
                  <c:v>11.671989054215837</c:v>
                </c:pt>
                <c:pt idx="7">
                  <c:v>6.7722873832058497</c:v>
                </c:pt>
                <c:pt idx="8" formatCode="_(&quot;$&quot;* #,##0.0_);_(&quot;$&quot;* \(#,##0.0\);_(&quot;$&quot;* &quot;-&quot;??_);_(@_)">
                  <c:v>4.1399047739208452</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2-476F-BB45-9EB4-52EF862F6C10}"/>
            </c:ext>
          </c:extLst>
        </c:ser>
        <c:ser>
          <c:idx val="3"/>
          <c:order val="3"/>
          <c:tx>
            <c:strRef>
              <c:f>'Cost per Gbps'!$D$38</c:f>
              <c:strCache>
                <c:ptCount val="1"/>
                <c:pt idx="0">
                  <c:v>40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Gbps'!$E$38:$S$38</c:f>
              <c:numCache>
                <c:formatCode>_("$"* #,##0_);_("$"* \(#,##0\);_("$"* "-"??_);_(@_)</c:formatCode>
                <c:ptCount val="15"/>
                <c:pt idx="0">
                  <c:v>46.557521763382681</c:v>
                </c:pt>
                <c:pt idx="1">
                  <c:v>11.176711108652357</c:v>
                </c:pt>
                <c:pt idx="2">
                  <c:v>12.879950952573868</c:v>
                </c:pt>
                <c:pt idx="3">
                  <c:v>11.167363674734627</c:v>
                </c:pt>
                <c:pt idx="4">
                  <c:v>7.3590573700709259</c:v>
                </c:pt>
                <c:pt idx="5">
                  <c:v>6.2327425657156015</c:v>
                </c:pt>
                <c:pt idx="6">
                  <c:v>6.2473515491273455</c:v>
                </c:pt>
                <c:pt idx="7">
                  <c:v>5.850414550912757</c:v>
                </c:pt>
                <c:pt idx="8" formatCode="_(&quot;$&quot;* #,##0.0_);_(&quot;$&quot;* \(#,##0.0\);_(&quot;$&quot;* &quot;-&quot;??_);_(@_)">
                  <c:v>4.3533121656520768</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numCache>
            </c:numRef>
          </c:val>
          <c:smooth val="0"/>
          <c:extLst>
            <c:ext xmlns:c16="http://schemas.microsoft.com/office/drawing/2014/chart" uri="{C3380CC4-5D6E-409C-BE32-E72D297353CC}">
              <c16:uniqueId val="{00000003-476F-BB45-9EB4-52EF862F6C10}"/>
            </c:ext>
          </c:extLst>
        </c:ser>
        <c:ser>
          <c:idx val="7"/>
          <c:order val="4"/>
          <c:tx>
            <c:strRef>
              <c:f>'Cost per Gbps'!$D$39</c:f>
              <c:strCache>
                <c:ptCount val="1"/>
                <c:pt idx="0">
                  <c:v>50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Gbps'!$E$39:$S$39</c:f>
              <c:numCache>
                <c:formatCode>_("$"* #,##0_);_("$"* \(#,##0\);_("$"* "-"??_);_(@_)</c:formatCode>
                <c:ptCount val="15"/>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numCache>
            </c:numRef>
          </c:val>
          <c:smooth val="0"/>
          <c:extLst>
            <c:ext xmlns:c16="http://schemas.microsoft.com/office/drawing/2014/chart" uri="{C3380CC4-5D6E-409C-BE32-E72D297353CC}">
              <c16:uniqueId val="{00000004-476F-BB45-9EB4-52EF862F6C10}"/>
            </c:ext>
          </c:extLst>
        </c:ser>
        <c:ser>
          <c:idx val="4"/>
          <c:order val="5"/>
          <c:tx>
            <c:strRef>
              <c:f>'Cost per Gbps'!$D$40</c:f>
              <c:strCache>
                <c:ptCount val="1"/>
                <c:pt idx="0">
                  <c:v>100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Gbps'!$E$40:$U$40</c:f>
              <c:numCache>
                <c:formatCode>_("$"* #,##0_);_("$"* \(#,##0\);_("$"* "-"??_);_(@_)</c:formatCode>
                <c:ptCount val="17"/>
                <c:pt idx="0">
                  <c:v>262.22519083969468</c:v>
                </c:pt>
                <c:pt idx="1">
                  <c:v>223.61202964182792</c:v>
                </c:pt>
                <c:pt idx="2">
                  <c:v>118.45667534287716</c:v>
                </c:pt>
                <c:pt idx="3">
                  <c:v>80.594856591909462</c:v>
                </c:pt>
                <c:pt idx="4">
                  <c:v>55.871254639091049</c:v>
                </c:pt>
                <c:pt idx="5">
                  <c:v>31.55152277583019</c:v>
                </c:pt>
                <c:pt idx="6">
                  <c:v>12.434155600788019</c:v>
                </c:pt>
                <c:pt idx="7">
                  <c:v>5.7399969875798753</c:v>
                </c:pt>
                <c:pt idx="8" formatCode="_(&quot;$&quot;* #,##0.0_);_(&quot;$&quot;* \(#,##0.0\);_(&quot;$&quot;* &quot;-&quot;??_);_(@_)">
                  <c:v>3.4840774835874724</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5-476F-BB45-9EB4-52EF862F6C10}"/>
            </c:ext>
          </c:extLst>
        </c:ser>
        <c:ser>
          <c:idx val="8"/>
          <c:order val="6"/>
          <c:tx>
            <c:strRef>
              <c:f>'Cost per Gbps'!$D$41</c:f>
              <c:strCache>
                <c:ptCount val="1"/>
                <c:pt idx="0">
                  <c:v>200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Gbps'!$E$41:$U$41</c:f>
              <c:numCache>
                <c:formatCode>_("$"* #,##0_);_("$"* \(#,##0\);_("$"* "-"??_);_(@_)</c:formatCode>
                <c:ptCount val="17"/>
                <c:pt idx="8" formatCode="_(&quot;$&quot;* #,##0.0_);_(&quot;$&quot;* \(#,##0.0\);_(&quot;$&quot;* &quot;-&quot;??_);_(@_)">
                  <c:v>5.5</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6-476F-BB45-9EB4-52EF862F6C10}"/>
            </c:ext>
          </c:extLst>
        </c:ser>
        <c:ser>
          <c:idx val="0"/>
          <c:order val="7"/>
          <c:tx>
            <c:strRef>
              <c:f>'Cost per Gbps'!$D$42</c:f>
              <c:strCache>
                <c:ptCount val="1"/>
                <c:pt idx="0">
                  <c:v>400 G</c:v>
                </c:pt>
              </c:strCache>
            </c:strRef>
          </c:tx>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Gbps'!$E$42:$U$42</c:f>
              <c:numCache>
                <c:formatCode>_("$"* #,##0_);_("$"* \(#,##0\);_("$"* "-"??_);_(@_)</c:formatCode>
                <c:ptCount val="17"/>
                <c:pt idx="8" formatCode="_(&quot;$&quot;* #,##0.0_);_(&quot;$&quot;* \(#,##0.0\);_(&quot;$&quot;* &quot;-&quot;??_);_(@_)">
                  <c:v>3.1546153846153846</c:v>
                </c:pt>
                <c:pt idx="9" formatCode="_(&quot;$&quot;* #,##0.0_);_(&quot;$&quot;* \(#,##0.0\);_(&quot;$&quot;* &quot;-&quot;??_);_(@_)">
                  <c:v>0</c:v>
                </c:pt>
                <c:pt idx="10" formatCode="_(&quot;$&quot;* #,##0.0_);_(&quot;$&quot;* \(#,##0.0\);_(&quot;$&quot;* &quot;-&quot;??_);_(@_)">
                  <c:v>0</c:v>
                </c:pt>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84A9-1B4A-9B5E-0BCCAF04E2DC}"/>
            </c:ext>
          </c:extLst>
        </c:ser>
        <c:ser>
          <c:idx val="6"/>
          <c:order val="8"/>
          <c:cat>
            <c:numRef>
              <c:f>'Cost per Gbps'!$E$34:$U$34</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'Cost per Gbps'!$E$43:$U$43</c:f>
              <c:numCache>
                <c:formatCode>_("$"* #,##0_);_("$"* \(#,##0\);_("$"* "-"??_);_(@_)</c:formatCode>
                <c:ptCount val="17"/>
                <c:pt idx="11" formatCode="_(&quot;$&quot;* #,##0.0_);_(&quot;$&quot;* \(#,##0.0\);_(&quot;$&quot;* &quot;-&quot;??_);_(@_)">
                  <c:v>0</c:v>
                </c:pt>
                <c:pt idx="12" formatCode="_(&quot;$&quot;* #,##0.0_);_(&quot;$&quot;* \(#,##0.0\);_(&quot;$&quot;* &quot;-&quot;??_);_(@_)">
                  <c:v>0</c:v>
                </c:pt>
                <c:pt idx="13" formatCode="_(&quot;$&quot;* #,##0.0_);_(&quot;$&quot;* \(#,##0.0\);_(&quot;$&quot;* &quot;-&quot;??_);_(@_)">
                  <c:v>0</c:v>
                </c:pt>
                <c:pt idx="14" formatCode="_(&quot;$&quot;* #,##0.0_);_(&quot;$&quot;* \(#,##0.0\);_(&quot;$&quot;* &quot;-&quot;??_);_(@_)">
                  <c:v>0</c:v>
                </c:pt>
                <c:pt idx="15" formatCode="_(&quot;$&quot;* #,##0.0_);_(&quot;$&quot;* \(#,##0.0\);_(&quot;$&quot;* &quot;-&quot;??_);_(@_)">
                  <c:v>0</c:v>
                </c:pt>
                <c:pt idx="16" formatCode="_(&quot;$&quot;* #,##0.0_);_(&quot;$&quot;* \(#,##0.0\);_(&quot;$&quot;* &quot;-&quot;??_);_(@_)">
                  <c:v>0</c:v>
                </c:pt>
              </c:numCache>
            </c:numRef>
          </c:val>
          <c:smooth val="0"/>
          <c:extLst>
            <c:ext xmlns:c16="http://schemas.microsoft.com/office/drawing/2014/chart" uri="{C3380CC4-5D6E-409C-BE32-E72D297353CC}">
              <c16:uniqueId val="{00000000-D9F2-7E40-947D-B4389C7322BD}"/>
            </c:ext>
          </c:extLst>
        </c:ser>
        <c:dLbls>
          <c:showLegendKey val="0"/>
          <c:showVal val="0"/>
          <c:showCatName val="0"/>
          <c:showSerName val="0"/>
          <c:showPercent val="0"/>
          <c:showBubbleSize val="0"/>
        </c:dLbls>
        <c:marker val="1"/>
        <c:smooth val="0"/>
        <c:axId val="134093056"/>
        <c:axId val="134098944"/>
      </c:lineChart>
      <c:catAx>
        <c:axId val="134093056"/>
        <c:scaling>
          <c:orientation val="minMax"/>
        </c:scaling>
        <c:delete val="0"/>
        <c:axPos val="b"/>
        <c:numFmt formatCode="General" sourceLinked="1"/>
        <c:majorTickMark val="out"/>
        <c:minorTickMark val="none"/>
        <c:tickLblPos val="nextTo"/>
        <c:crossAx val="134098944"/>
        <c:crosses val="autoZero"/>
        <c:auto val="1"/>
        <c:lblAlgn val="ctr"/>
        <c:lblOffset val="100"/>
        <c:noMultiLvlLbl val="0"/>
      </c:catAx>
      <c:valAx>
        <c:axId val="134098944"/>
        <c:scaling>
          <c:orientation val="minMax"/>
          <c:max val="30"/>
        </c:scaling>
        <c:delete val="0"/>
        <c:axPos val="l"/>
        <c:majorGridlines/>
        <c:numFmt formatCode="_(&quot;$&quot;* #,##0_);_(&quot;$&quot;* \(#,##0\);_(&quot;$&quot;* &quot;-&quot;??_);_(@_)" sourceLinked="1"/>
        <c:majorTickMark val="out"/>
        <c:minorTickMark val="none"/>
        <c:tickLblPos val="nextTo"/>
        <c:crossAx val="1340930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Gbps </a:t>
            </a:r>
          </a:p>
          <a:p>
            <a:pPr>
              <a:defRPr/>
            </a:pPr>
            <a:r>
              <a:rPr lang="en-US" sz="1400" b="0"/>
              <a:t>(average of all data rates)</a:t>
            </a:r>
          </a:p>
        </c:rich>
      </c:tx>
      <c:overlay val="0"/>
    </c:title>
    <c:autoTitleDeleted val="0"/>
    <c:plotArea>
      <c:layout/>
      <c:lineChart>
        <c:grouping val="standard"/>
        <c:varyColors val="0"/>
        <c:ser>
          <c:idx val="0"/>
          <c:order val="0"/>
          <c:tx>
            <c:strRef>
              <c:f>'Cost per Gbps'!$D$44</c:f>
              <c:strCache>
                <c:ptCount val="1"/>
                <c:pt idx="0">
                  <c:v>Grand average</c:v>
                </c:pt>
              </c:strCache>
            </c:strRef>
          </c:tx>
          <c:cat>
            <c:numRef>
              <c:f>'Cost per Gbps'!$E$34:$V$34</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Gbps'!$E$44:$V$44</c:f>
              <c:numCache>
                <c:formatCode>_("$"* #,##0.0_);_("$"* \(#,##0.0\);_("$"* "-"??_);_(@_)</c:formatCode>
                <c:ptCount val="18"/>
                <c:pt idx="0" formatCode="_(&quot;$&quot;* #,##0_);_(&quot;$&quot;* \(#,##0\);_(&quot;$&quot;* &quot;-&quot;??_);_(@_)">
                  <c:v>18.659177244454714</c:v>
                </c:pt>
                <c:pt idx="1">
                  <c:v>12.491157998353826</c:v>
                </c:pt>
                <c:pt idx="2">
                  <c:v>11.206910619233915</c:v>
                </c:pt>
                <c:pt idx="3">
                  <c:v>9.2919679279757297</c:v>
                </c:pt>
                <c:pt idx="4">
                  <c:v>7.2488549734174947</c:v>
                </c:pt>
                <c:pt idx="5">
                  <c:v>6.6238891591280309</c:v>
                </c:pt>
                <c:pt idx="6">
                  <c:v>6.4437661546773315</c:v>
                </c:pt>
                <c:pt idx="7">
                  <c:v>4.8427153884449652</c:v>
                </c:pt>
                <c:pt idx="8">
                  <c:v>3.3801484891656242</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0-7BF3-A94D-AA6A-44EFFFB8AC0C}"/>
            </c:ext>
          </c:extLst>
        </c:ser>
        <c:dLbls>
          <c:showLegendKey val="0"/>
          <c:showVal val="0"/>
          <c:showCatName val="0"/>
          <c:showSerName val="0"/>
          <c:showPercent val="0"/>
          <c:showBubbleSize val="0"/>
        </c:dLbls>
        <c:marker val="1"/>
        <c:smooth val="0"/>
        <c:axId val="134119808"/>
        <c:axId val="134121344"/>
      </c:lineChart>
      <c:catAx>
        <c:axId val="134119808"/>
        <c:scaling>
          <c:orientation val="minMax"/>
        </c:scaling>
        <c:delete val="0"/>
        <c:axPos val="b"/>
        <c:numFmt formatCode="General" sourceLinked="1"/>
        <c:majorTickMark val="out"/>
        <c:minorTickMark val="none"/>
        <c:tickLblPos val="nextTo"/>
        <c:crossAx val="134121344"/>
        <c:crosses val="autoZero"/>
        <c:auto val="1"/>
        <c:lblAlgn val="ctr"/>
        <c:lblOffset val="100"/>
        <c:noMultiLvlLbl val="0"/>
      </c:catAx>
      <c:valAx>
        <c:axId val="134121344"/>
        <c:scaling>
          <c:orientation val="minMax"/>
        </c:scaling>
        <c:delete val="0"/>
        <c:axPos val="l"/>
        <c:majorGridlines/>
        <c:numFmt formatCode="_(&quot;$&quot;* #,##0_);_(&quot;$&quot;* \(#,##0\);_(&quot;$&quot;* &quot;-&quot;_);_(@_)" sourceLinked="0"/>
        <c:majorTickMark val="out"/>
        <c:minorTickMark val="none"/>
        <c:tickLblPos val="nextTo"/>
        <c:crossAx val="134119808"/>
        <c:crosses val="autoZero"/>
        <c:crossBetween val="between"/>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Cost/Gbps: Ethernet Short Reach (MMF) by Data Rate</a:t>
            </a:r>
          </a:p>
          <a:p>
            <a:pPr>
              <a:defRPr sz="1600"/>
            </a:pPr>
            <a:r>
              <a:rPr lang="en-US" sz="1400" b="0"/>
              <a:t>(all form factors included)</a:t>
            </a:r>
          </a:p>
        </c:rich>
      </c:tx>
      <c:overlay val="0"/>
    </c:title>
    <c:autoTitleDeleted val="0"/>
    <c:plotArea>
      <c:layout>
        <c:manualLayout>
          <c:layoutTarget val="inner"/>
          <c:xMode val="edge"/>
          <c:yMode val="edge"/>
          <c:x val="0.11352885740846669"/>
          <c:y val="0.13452250829404996"/>
          <c:w val="0.71784689411287295"/>
          <c:h val="0.74397431112217027"/>
        </c:manualLayout>
      </c:layout>
      <c:lineChart>
        <c:grouping val="standard"/>
        <c:varyColors val="0"/>
        <c:ser>
          <c:idx val="0"/>
          <c:order val="0"/>
          <c:tx>
            <c:strRef>
              <c:f>'Cost per Gbps'!$D$72</c:f>
              <c:strCache>
                <c:ptCount val="1"/>
                <c:pt idx="0">
                  <c:v>1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Gbps'!$E$72:$V$72</c:f>
              <c:numCache>
                <c:formatCode>_("$"* #,##0.0_);_("$"* \(#,##0.0\);_("$"* "-"??_);_(@_)</c:formatCode>
                <c:ptCount val="18"/>
                <c:pt idx="0">
                  <c:v>13.753951556800791</c:v>
                </c:pt>
                <c:pt idx="1">
                  <c:v>12.985268264022558</c:v>
                </c:pt>
                <c:pt idx="2">
                  <c:v>12.565352668140264</c:v>
                </c:pt>
                <c:pt idx="3">
                  <c:v>11.996692618609446</c:v>
                </c:pt>
                <c:pt idx="4">
                  <c:v>11.174241369596015</c:v>
                </c:pt>
                <c:pt idx="5">
                  <c:v>10.470983555845212</c:v>
                </c:pt>
                <c:pt idx="6">
                  <c:v>10.178233731377588</c:v>
                </c:pt>
                <c:pt idx="7">
                  <c:v>8.9746992158904888</c:v>
                </c:pt>
                <c:pt idx="8">
                  <c:v>8.1963947817703744</c:v>
                </c:pt>
              </c:numCache>
            </c:numRef>
          </c:val>
          <c:smooth val="0"/>
          <c:extLst>
            <c:ext xmlns:c16="http://schemas.microsoft.com/office/drawing/2014/chart" uri="{C3380CC4-5D6E-409C-BE32-E72D297353CC}">
              <c16:uniqueId val="{00000000-4933-654E-A155-6C3CE82B255E}"/>
            </c:ext>
          </c:extLst>
        </c:ser>
        <c:ser>
          <c:idx val="1"/>
          <c:order val="1"/>
          <c:tx>
            <c:strRef>
              <c:f>'Cost per Gbps'!$D$73</c:f>
              <c:strCache>
                <c:ptCount val="1"/>
                <c:pt idx="0">
                  <c:v>10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Gbps'!$E$73:$V$73</c:f>
              <c:numCache>
                <c:formatCode>_("$"* #,##0.0_);_("$"* \(#,##0.0\);_("$"* "-"??_);_(@_)</c:formatCode>
                <c:ptCount val="18"/>
                <c:pt idx="0">
                  <c:v>7.2693971450474013</c:v>
                </c:pt>
                <c:pt idx="1">
                  <c:v>5.6225638648096545</c:v>
                </c:pt>
                <c:pt idx="2">
                  <c:v>4.7234436834010181</c:v>
                </c:pt>
                <c:pt idx="3">
                  <c:v>3.5859981642836827</c:v>
                </c:pt>
                <c:pt idx="4">
                  <c:v>2.7640696017573658</c:v>
                </c:pt>
                <c:pt idx="5">
                  <c:v>2.1809560564685277</c:v>
                </c:pt>
                <c:pt idx="6">
                  <c:v>1.8308628817969292</c:v>
                </c:pt>
                <c:pt idx="7">
                  <c:v>1.5256493367606148</c:v>
                </c:pt>
                <c:pt idx="8">
                  <c:v>1.294694247720833</c:v>
                </c:pt>
              </c:numCache>
            </c:numRef>
          </c:val>
          <c:smooth val="0"/>
          <c:extLst>
            <c:ext xmlns:c16="http://schemas.microsoft.com/office/drawing/2014/chart" uri="{C3380CC4-5D6E-409C-BE32-E72D297353CC}">
              <c16:uniqueId val="{00000001-4933-654E-A155-6C3CE82B255E}"/>
            </c:ext>
          </c:extLst>
        </c:ser>
        <c:ser>
          <c:idx val="2"/>
          <c:order val="2"/>
          <c:tx>
            <c:strRef>
              <c:f>'Cost per Gbps'!$D$74</c:f>
              <c:strCache>
                <c:ptCount val="1"/>
                <c:pt idx="0">
                  <c:v>25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Gbps'!$E$74:$V$74</c:f>
              <c:numCache>
                <c:formatCode>_("$"* #,##0_);_("$"* \(#,##0\);_("$"* "-"??_);_(@_)</c:formatCode>
                <c:ptCount val="18"/>
                <c:pt idx="6">
                  <c:v>7.4857262804366078</c:v>
                </c:pt>
                <c:pt idx="7">
                  <c:v>5.6444287278986067</c:v>
                </c:pt>
                <c:pt idx="8">
                  <c:v>3.4918688536513516</c:v>
                </c:pt>
              </c:numCache>
            </c:numRef>
          </c:val>
          <c:smooth val="0"/>
          <c:extLst>
            <c:ext xmlns:c16="http://schemas.microsoft.com/office/drawing/2014/chart" uri="{C3380CC4-5D6E-409C-BE32-E72D297353CC}">
              <c16:uniqueId val="{00000002-4933-654E-A155-6C3CE82B255E}"/>
            </c:ext>
          </c:extLst>
        </c:ser>
        <c:ser>
          <c:idx val="5"/>
          <c:order val="3"/>
          <c:tx>
            <c:strRef>
              <c:f>'Cost per Gbps'!$D$75</c:f>
              <c:strCache>
                <c:ptCount val="1"/>
                <c:pt idx="0">
                  <c:v>40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Gbps'!$E$75:$V$75</c:f>
              <c:numCache>
                <c:formatCode>_("$"* #,##0.0_);_("$"* \(#,##0.0\);_("$"* "-"??_);_(@_)</c:formatCode>
                <c:ptCount val="18"/>
                <c:pt idx="0">
                  <c:v>16</c:v>
                </c:pt>
                <c:pt idx="1">
                  <c:v>7.186692574411718</c:v>
                </c:pt>
                <c:pt idx="2">
                  <c:v>5.2569352371264841</c:v>
                </c:pt>
                <c:pt idx="3">
                  <c:v>4.7415806558600639</c:v>
                </c:pt>
                <c:pt idx="4">
                  <c:v>4.5976611884346736</c:v>
                </c:pt>
                <c:pt idx="5">
                  <c:v>3.0556100659675449</c:v>
                </c:pt>
                <c:pt idx="6">
                  <c:v>4.0004946969346946</c:v>
                </c:pt>
                <c:pt idx="7">
                  <c:v>3.5024711725363686</c:v>
                </c:pt>
                <c:pt idx="8">
                  <c:v>2.7201250149338185</c:v>
                </c:pt>
              </c:numCache>
            </c:numRef>
          </c:val>
          <c:smooth val="0"/>
          <c:extLst>
            <c:ext xmlns:c16="http://schemas.microsoft.com/office/drawing/2014/chart" uri="{C3380CC4-5D6E-409C-BE32-E72D297353CC}">
              <c16:uniqueId val="{00000003-4933-654E-A155-6C3CE82B255E}"/>
            </c:ext>
          </c:extLst>
        </c:ser>
        <c:ser>
          <c:idx val="6"/>
          <c:order val="4"/>
          <c:tx>
            <c:strRef>
              <c:f>'Cost per Gbps'!$D$76</c:f>
              <c:strCache>
                <c:ptCount val="1"/>
                <c:pt idx="0">
                  <c:v>50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Gbps'!$E$76:$V$76</c:f>
              <c:numCache>
                <c:formatCode>_("$"* #,##0.0_);_("$"* \(#,##0.0\);_("$"* "-"??_);_(@_)</c:formatCode>
                <c:ptCount val="18"/>
              </c:numCache>
            </c:numRef>
          </c:val>
          <c:smooth val="0"/>
          <c:extLst>
            <c:ext xmlns:c16="http://schemas.microsoft.com/office/drawing/2014/chart" uri="{C3380CC4-5D6E-409C-BE32-E72D297353CC}">
              <c16:uniqueId val="{00000004-4933-654E-A155-6C3CE82B255E}"/>
            </c:ext>
          </c:extLst>
        </c:ser>
        <c:ser>
          <c:idx val="3"/>
          <c:order val="5"/>
          <c:tx>
            <c:strRef>
              <c:f>'Cost per Gbps'!$D$77</c:f>
              <c:strCache>
                <c:ptCount val="1"/>
                <c:pt idx="0">
                  <c:v>100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Gbps'!$E$77:$V$77</c:f>
              <c:numCache>
                <c:formatCode>_("$"* #,##0.0_);_("$"* \(#,##0.0\);_("$"* "-"??_);_(@_)</c:formatCode>
                <c:ptCount val="18"/>
                <c:pt idx="2">
                  <c:v>23.897826358525922</c:v>
                </c:pt>
                <c:pt idx="3">
                  <c:v>18.815171215351814</c:v>
                </c:pt>
                <c:pt idx="4">
                  <c:v>17.880221269073317</c:v>
                </c:pt>
                <c:pt idx="5">
                  <c:v>13.672506526121772</c:v>
                </c:pt>
                <c:pt idx="6">
                  <c:v>3.2957163623968637</c:v>
                </c:pt>
                <c:pt idx="7">
                  <c:v>1.9723036134511864</c:v>
                </c:pt>
                <c:pt idx="8">
                  <c:v>1.2095252871913105</c:v>
                </c:pt>
              </c:numCache>
            </c:numRef>
          </c:val>
          <c:smooth val="0"/>
          <c:extLst>
            <c:ext xmlns:c16="http://schemas.microsoft.com/office/drawing/2014/chart" uri="{C3380CC4-5D6E-409C-BE32-E72D297353CC}">
              <c16:uniqueId val="{00000005-4933-654E-A155-6C3CE82B255E}"/>
            </c:ext>
          </c:extLst>
        </c:ser>
        <c:ser>
          <c:idx val="7"/>
          <c:order val="6"/>
          <c:tx>
            <c:strRef>
              <c:f>'Cost per Gbps'!$D$78</c:f>
              <c:strCache>
                <c:ptCount val="1"/>
                <c:pt idx="0">
                  <c:v>200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Gbps'!$E$78:$V$78</c:f>
              <c:numCache>
                <c:formatCode>_("$"* #,##0_);_("$"* \(#,##0\);_("$"* "-"??_);_(@_)</c:formatCode>
                <c:ptCount val="18"/>
              </c:numCache>
            </c:numRef>
          </c:val>
          <c:smooth val="0"/>
          <c:extLst>
            <c:ext xmlns:c16="http://schemas.microsoft.com/office/drawing/2014/chart" uri="{C3380CC4-5D6E-409C-BE32-E72D297353CC}">
              <c16:uniqueId val="{00000006-4933-654E-A155-6C3CE82B255E}"/>
            </c:ext>
          </c:extLst>
        </c:ser>
        <c:ser>
          <c:idx val="4"/>
          <c:order val="7"/>
          <c:tx>
            <c:strRef>
              <c:f>'Cost per Gbps'!$D$79</c:f>
              <c:strCache>
                <c:ptCount val="1"/>
                <c:pt idx="0">
                  <c:v>400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Gbps'!$E$79:$V$79</c:f>
              <c:numCache>
                <c:formatCode>_("$"* #,##0_);_("$"* \(#,##0\);_("$"* "-"??_);_(@_)</c:formatCode>
                <c:ptCount val="18"/>
              </c:numCache>
            </c:numRef>
          </c:val>
          <c:smooth val="0"/>
          <c:extLst>
            <c:ext xmlns:c16="http://schemas.microsoft.com/office/drawing/2014/chart" uri="{C3380CC4-5D6E-409C-BE32-E72D297353CC}">
              <c16:uniqueId val="{00000007-4933-654E-A155-6C3CE82B255E}"/>
            </c:ext>
          </c:extLst>
        </c:ser>
        <c:ser>
          <c:idx val="8"/>
          <c:order val="8"/>
          <c:tx>
            <c:strRef>
              <c:f>'Cost per Gbps'!$D$80</c:f>
              <c:strCache>
                <c:ptCount val="1"/>
                <c:pt idx="0">
                  <c:v>800 G</c:v>
                </c:pt>
              </c:strCache>
            </c:strRef>
          </c:tx>
          <c:marker>
            <c:symbol val="none"/>
          </c:marker>
          <c:cat>
            <c:numRef>
              <c:f>'Cost per Gbps'!$E$71:$V$71</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Gbps'!$E$80:$V$80</c:f>
              <c:numCache>
                <c:formatCode>_("$"* #,##0_);_("$"* \(#,##0\);_("$"* "-"??_);_(@_)</c:formatCode>
                <c:ptCount val="18"/>
              </c:numCache>
            </c:numRef>
          </c:val>
          <c:smooth val="0"/>
          <c:extLst>
            <c:ext xmlns:c16="http://schemas.microsoft.com/office/drawing/2014/chart" uri="{C3380CC4-5D6E-409C-BE32-E72D297353CC}">
              <c16:uniqueId val="{00000000-B42F-C44F-99F1-C64419DCC12A}"/>
            </c:ext>
          </c:extLst>
        </c:ser>
        <c:dLbls>
          <c:showLegendKey val="0"/>
          <c:showVal val="0"/>
          <c:showCatName val="0"/>
          <c:showSerName val="0"/>
          <c:showPercent val="0"/>
          <c:showBubbleSize val="0"/>
        </c:dLbls>
        <c:smooth val="0"/>
        <c:axId val="134249856"/>
        <c:axId val="134251648"/>
      </c:lineChart>
      <c:catAx>
        <c:axId val="134249856"/>
        <c:scaling>
          <c:orientation val="minMax"/>
        </c:scaling>
        <c:delete val="0"/>
        <c:axPos val="b"/>
        <c:numFmt formatCode="General" sourceLinked="1"/>
        <c:majorTickMark val="out"/>
        <c:minorTickMark val="none"/>
        <c:tickLblPos val="nextTo"/>
        <c:txPr>
          <a:bodyPr/>
          <a:lstStyle/>
          <a:p>
            <a:pPr>
              <a:defRPr sz="1100"/>
            </a:pPr>
            <a:endParaRPr lang="en-US"/>
          </a:p>
        </c:txPr>
        <c:crossAx val="134251648"/>
        <c:crosses val="autoZero"/>
        <c:auto val="1"/>
        <c:lblAlgn val="ctr"/>
        <c:lblOffset val="100"/>
        <c:noMultiLvlLbl val="0"/>
      </c:catAx>
      <c:valAx>
        <c:axId val="134251648"/>
        <c:scaling>
          <c:orientation val="minMax"/>
          <c:max val="8"/>
          <c:min val="0"/>
        </c:scaling>
        <c:delete val="0"/>
        <c:axPos val="l"/>
        <c:majorGridlines/>
        <c:title>
          <c:tx>
            <c:rich>
              <a:bodyPr rot="-5400000" vert="horz"/>
              <a:lstStyle/>
              <a:p>
                <a:pPr>
                  <a:defRPr sz="1400"/>
                </a:pPr>
                <a:r>
                  <a:rPr lang="en-US" sz="1400"/>
                  <a:t>$ per Gb/s</a:t>
                </a:r>
              </a:p>
            </c:rich>
          </c:tx>
          <c:overlay val="0"/>
        </c:title>
        <c:numFmt formatCode="&quot;$&quot;#,##0" sourceLinked="0"/>
        <c:majorTickMark val="out"/>
        <c:minorTickMark val="none"/>
        <c:tickLblPos val="nextTo"/>
        <c:txPr>
          <a:bodyPr/>
          <a:lstStyle/>
          <a:p>
            <a:pPr>
              <a:defRPr sz="1200"/>
            </a:pPr>
            <a:endParaRPr lang="en-US"/>
          </a:p>
        </c:txPr>
        <c:crossAx val="134249856"/>
        <c:crosses val="autoZero"/>
        <c:crossBetween val="between"/>
      </c:valAx>
    </c:plotArea>
    <c:legend>
      <c:legendPos val="r"/>
      <c:layout>
        <c:manualLayout>
          <c:xMode val="edge"/>
          <c:yMode val="edge"/>
          <c:x val="0.837706401610808"/>
          <c:y val="0.172794630008099"/>
          <c:w val="0.12954351867310265"/>
          <c:h val="0.56422531888154315"/>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600"/>
            </a:pPr>
            <a:r>
              <a:rPr lang="en-US" sz="1600"/>
              <a:t>Cost/Gbps: Ethernet 0.5-10km Reach by Data Rate</a:t>
            </a:r>
          </a:p>
          <a:p>
            <a:pPr algn="ctr">
              <a:defRPr sz="1600"/>
            </a:pPr>
            <a:r>
              <a:rPr lang="en-US" sz="1400" b="0"/>
              <a:t>(all form factors</a:t>
            </a:r>
            <a:r>
              <a:rPr lang="en-US" sz="1400" b="0" baseline="0"/>
              <a:t> included)</a:t>
            </a:r>
            <a:endParaRPr lang="en-US" sz="1400" b="0"/>
          </a:p>
        </c:rich>
      </c:tx>
      <c:overlay val="1"/>
    </c:title>
    <c:autoTitleDeleted val="0"/>
    <c:plotArea>
      <c:layout>
        <c:manualLayout>
          <c:layoutTarget val="inner"/>
          <c:xMode val="edge"/>
          <c:yMode val="edge"/>
          <c:x val="0.1184368945361"/>
          <c:y val="0.13704906814284301"/>
          <c:w val="0.70731561157496403"/>
          <c:h val="0.73572272119726889"/>
        </c:manualLayout>
      </c:layout>
      <c:lineChart>
        <c:grouping val="standard"/>
        <c:varyColors val="0"/>
        <c:ser>
          <c:idx val="0"/>
          <c:order val="0"/>
          <c:tx>
            <c:strRef>
              <c:f>'Cost per Gbps'!$D$83</c:f>
              <c:strCache>
                <c:ptCount val="1"/>
                <c:pt idx="0">
                  <c:v>1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Gbps'!$E$83:$V$83</c:f>
              <c:numCache>
                <c:formatCode>_("$"* #,##0.0_);_("$"* \(#,##0.0\);_("$"* "-"??_);_(@_)</c:formatCode>
                <c:ptCount val="18"/>
                <c:pt idx="0">
                  <c:v>25.149205126655112</c:v>
                </c:pt>
                <c:pt idx="1">
                  <c:v>22.542686548685776</c:v>
                </c:pt>
                <c:pt idx="2">
                  <c:v>20.494201491669465</c:v>
                </c:pt>
                <c:pt idx="3">
                  <c:v>17.059287862972699</c:v>
                </c:pt>
                <c:pt idx="4">
                  <c:v>15.209922341136267</c:v>
                </c:pt>
                <c:pt idx="5">
                  <c:v>14.316550029685587</c:v>
                </c:pt>
                <c:pt idx="6">
                  <c:v>11.313150064475876</c:v>
                </c:pt>
                <c:pt idx="7">
                  <c:v>9.7279618337487541</c:v>
                </c:pt>
                <c:pt idx="8">
                  <c:v>7.9991133376783168</c:v>
                </c:pt>
              </c:numCache>
            </c:numRef>
          </c:val>
          <c:smooth val="0"/>
          <c:extLst>
            <c:ext xmlns:c16="http://schemas.microsoft.com/office/drawing/2014/chart" uri="{C3380CC4-5D6E-409C-BE32-E72D297353CC}">
              <c16:uniqueId val="{00000000-7135-3142-A118-62422BC6C4FF}"/>
            </c:ext>
          </c:extLst>
        </c:ser>
        <c:ser>
          <c:idx val="1"/>
          <c:order val="1"/>
          <c:tx>
            <c:strRef>
              <c:f>'Cost per Gbps'!$D$84</c:f>
              <c:strCache>
                <c:ptCount val="1"/>
                <c:pt idx="0">
                  <c:v>10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Gbps'!$E$84:$V$84</c:f>
              <c:numCache>
                <c:formatCode>_("$"* #,##0.0_);_("$"* \(#,##0.0\);_("$"* "-"??_);_(@_)</c:formatCode>
                <c:ptCount val="18"/>
                <c:pt idx="0">
                  <c:v>20.083089586633925</c:v>
                </c:pt>
                <c:pt idx="1">
                  <c:v>15.192387099264787</c:v>
                </c:pt>
                <c:pt idx="2">
                  <c:v>12.606537702368776</c:v>
                </c:pt>
                <c:pt idx="3">
                  <c:v>9.5723766997270552</c:v>
                </c:pt>
                <c:pt idx="4">
                  <c:v>6.7015289167061241</c:v>
                </c:pt>
                <c:pt idx="5">
                  <c:v>5.5401360004392348</c:v>
                </c:pt>
                <c:pt idx="6">
                  <c:v>3.9011693498104392</c:v>
                </c:pt>
                <c:pt idx="7">
                  <c:v>3.0703885502204229</c:v>
                </c:pt>
                <c:pt idx="8">
                  <c:v>2.4729885950225219</c:v>
                </c:pt>
              </c:numCache>
            </c:numRef>
          </c:val>
          <c:smooth val="0"/>
          <c:extLst>
            <c:ext xmlns:c16="http://schemas.microsoft.com/office/drawing/2014/chart" uri="{C3380CC4-5D6E-409C-BE32-E72D297353CC}">
              <c16:uniqueId val="{00000001-7135-3142-A118-62422BC6C4FF}"/>
            </c:ext>
          </c:extLst>
        </c:ser>
        <c:ser>
          <c:idx val="2"/>
          <c:order val="2"/>
          <c:tx>
            <c:strRef>
              <c:f>'Cost per Gbps'!$D$85</c:f>
              <c:strCache>
                <c:ptCount val="1"/>
                <c:pt idx="0">
                  <c:v>25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Gbps'!$E$85:$V$85</c:f>
              <c:numCache>
                <c:formatCode>_("$"* #,##0.0_);_("$"* \(#,##0.0\);_("$"* "-"??_);_(@_)</c:formatCode>
                <c:ptCount val="18"/>
                <c:pt idx="6">
                  <c:v>18.249613016710644</c:v>
                </c:pt>
                <c:pt idx="7">
                  <c:v>12.964142267585002</c:v>
                </c:pt>
                <c:pt idx="8">
                  <c:v>7.7849911231021514</c:v>
                </c:pt>
              </c:numCache>
            </c:numRef>
          </c:val>
          <c:smooth val="0"/>
          <c:extLst>
            <c:ext xmlns:c16="http://schemas.microsoft.com/office/drawing/2014/chart" uri="{C3380CC4-5D6E-409C-BE32-E72D297353CC}">
              <c16:uniqueId val="{00000002-7135-3142-A118-62422BC6C4FF}"/>
            </c:ext>
          </c:extLst>
        </c:ser>
        <c:ser>
          <c:idx val="5"/>
          <c:order val="3"/>
          <c:tx>
            <c:strRef>
              <c:f>'Cost per Gbps'!$D$86</c:f>
              <c:strCache>
                <c:ptCount val="1"/>
                <c:pt idx="0">
                  <c:v>40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Gbps'!$E$86:$V$86</c:f>
              <c:numCache>
                <c:formatCode>_("$"* #,##0.0_);_("$"* \(#,##0.0\);_("$"* "-"??_);_(@_)</c:formatCode>
                <c:ptCount val="18"/>
                <c:pt idx="0">
                  <c:v>80.784136641723492</c:v>
                </c:pt>
                <c:pt idx="1">
                  <c:v>77.777449856733512</c:v>
                </c:pt>
                <c:pt idx="2">
                  <c:v>31.374042015224383</c:v>
                </c:pt>
                <c:pt idx="3">
                  <c:v>20.904356576912654</c:v>
                </c:pt>
                <c:pt idx="4">
                  <c:v>18.050742044044327</c:v>
                </c:pt>
                <c:pt idx="5">
                  <c:v>16.332734902464885</c:v>
                </c:pt>
                <c:pt idx="6">
                  <c:v>16.617107346810069</c:v>
                </c:pt>
                <c:pt idx="7">
                  <c:v>12.449764992846998</c:v>
                </c:pt>
                <c:pt idx="8">
                  <c:v>14.161471083306537</c:v>
                </c:pt>
              </c:numCache>
            </c:numRef>
          </c:val>
          <c:smooth val="0"/>
          <c:extLst>
            <c:ext xmlns:c16="http://schemas.microsoft.com/office/drawing/2014/chart" uri="{C3380CC4-5D6E-409C-BE32-E72D297353CC}">
              <c16:uniqueId val="{00000003-7135-3142-A118-62422BC6C4FF}"/>
            </c:ext>
          </c:extLst>
        </c:ser>
        <c:ser>
          <c:idx val="6"/>
          <c:order val="4"/>
          <c:tx>
            <c:strRef>
              <c:f>'Cost per Gbps'!$D$87</c:f>
              <c:strCache>
                <c:ptCount val="1"/>
                <c:pt idx="0">
                  <c:v>50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Gbps'!$E$87:$V$87</c:f>
              <c:numCache>
                <c:formatCode>_("$"* #,##0.0_);_("$"* \(#,##0.0\);_("$"* "-"??_);_(@_)</c:formatCode>
                <c:ptCount val="18"/>
              </c:numCache>
            </c:numRef>
          </c:val>
          <c:smooth val="0"/>
          <c:extLst>
            <c:ext xmlns:c16="http://schemas.microsoft.com/office/drawing/2014/chart" uri="{C3380CC4-5D6E-409C-BE32-E72D297353CC}">
              <c16:uniqueId val="{00000004-7135-3142-A118-62422BC6C4FF}"/>
            </c:ext>
          </c:extLst>
        </c:ser>
        <c:ser>
          <c:idx val="3"/>
          <c:order val="5"/>
          <c:tx>
            <c:strRef>
              <c:f>'Cost per Gbps'!$D$88</c:f>
              <c:strCache>
                <c:ptCount val="1"/>
                <c:pt idx="0">
                  <c:v>100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Gbps'!$E$88:$V$88</c:f>
              <c:numCache>
                <c:formatCode>_("$"* #,##0.0_);_("$"* \(#,##0.0\);_("$"* "-"??_);_(@_)</c:formatCode>
                <c:ptCount val="18"/>
                <c:pt idx="0">
                  <c:v>262.22519083969468</c:v>
                </c:pt>
                <c:pt idx="1">
                  <c:v>223.61202964182792</c:v>
                </c:pt>
                <c:pt idx="2">
                  <c:v>136.50492489270385</c:v>
                </c:pt>
                <c:pt idx="3">
                  <c:v>102.5432875674652</c:v>
                </c:pt>
                <c:pt idx="4">
                  <c:v>65.878548873851983</c:v>
                </c:pt>
                <c:pt idx="5">
                  <c:v>36.595237268483366</c:v>
                </c:pt>
                <c:pt idx="6">
                  <c:v>15.954523504961168</c:v>
                </c:pt>
                <c:pt idx="7">
                  <c:v>6.5519248022538541</c:v>
                </c:pt>
                <c:pt idx="8">
                  <c:v>4.5550227461298292</c:v>
                </c:pt>
              </c:numCache>
            </c:numRef>
          </c:val>
          <c:smooth val="0"/>
          <c:extLst>
            <c:ext xmlns:c16="http://schemas.microsoft.com/office/drawing/2014/chart" uri="{C3380CC4-5D6E-409C-BE32-E72D297353CC}">
              <c16:uniqueId val="{00000005-7135-3142-A118-62422BC6C4FF}"/>
            </c:ext>
          </c:extLst>
        </c:ser>
        <c:ser>
          <c:idx val="7"/>
          <c:order val="6"/>
          <c:tx>
            <c:strRef>
              <c:f>'Cost per Gbps'!$D$89</c:f>
              <c:strCache>
                <c:ptCount val="1"/>
                <c:pt idx="0">
                  <c:v>200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Gbps'!$E$89:$V$89</c:f>
              <c:numCache>
                <c:formatCode>General</c:formatCode>
                <c:ptCount val="18"/>
                <c:pt idx="8" formatCode="_(&quot;$&quot;* #,##0.0_);_(&quot;$&quot;* \(#,##0.0\);_(&quot;$&quot;* &quot;-&quot;??_);_(@_)">
                  <c:v>5.3282666666666669</c:v>
                </c:pt>
              </c:numCache>
            </c:numRef>
          </c:val>
          <c:smooth val="0"/>
          <c:extLst>
            <c:ext xmlns:c16="http://schemas.microsoft.com/office/drawing/2014/chart" uri="{C3380CC4-5D6E-409C-BE32-E72D297353CC}">
              <c16:uniqueId val="{00000006-7135-3142-A118-62422BC6C4FF}"/>
            </c:ext>
          </c:extLst>
        </c:ser>
        <c:ser>
          <c:idx val="4"/>
          <c:order val="7"/>
          <c:tx>
            <c:strRef>
              <c:f>'Cost per Gbps'!$D$90</c:f>
              <c:strCache>
                <c:ptCount val="1"/>
                <c:pt idx="0">
                  <c:v>400 G</c:v>
                </c:pt>
              </c:strCache>
            </c:strRef>
          </c:tx>
          <c:marker>
            <c:symbol val="none"/>
          </c:marker>
          <c:cat>
            <c:numRef>
              <c:f>'Cost per Gbps'!$E$82:$V$82</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'Cost per Gbps'!$E$90:$V$90</c:f>
              <c:numCache>
                <c:formatCode>General</c:formatCode>
                <c:ptCount val="18"/>
                <c:pt idx="8" formatCode="_(&quot;$&quot;* #,##0.0_);_(&quot;$&quot;* \(#,##0.0\);_(&quot;$&quot;* &quot;-&quot;??_);_(@_)">
                  <c:v>5.375</c:v>
                </c:pt>
              </c:numCache>
            </c:numRef>
          </c:val>
          <c:smooth val="0"/>
          <c:extLst>
            <c:ext xmlns:c16="http://schemas.microsoft.com/office/drawing/2014/chart" uri="{C3380CC4-5D6E-409C-BE32-E72D297353CC}">
              <c16:uniqueId val="{00000007-7135-3142-A118-62422BC6C4FF}"/>
            </c:ext>
          </c:extLst>
        </c:ser>
        <c:dLbls>
          <c:showLegendKey val="0"/>
          <c:showVal val="0"/>
          <c:showCatName val="0"/>
          <c:showSerName val="0"/>
          <c:showPercent val="0"/>
          <c:showBubbleSize val="0"/>
        </c:dLbls>
        <c:smooth val="0"/>
        <c:axId val="134367488"/>
        <c:axId val="134385664"/>
      </c:lineChart>
      <c:catAx>
        <c:axId val="134367488"/>
        <c:scaling>
          <c:orientation val="minMax"/>
        </c:scaling>
        <c:delete val="0"/>
        <c:axPos val="b"/>
        <c:numFmt formatCode="General" sourceLinked="1"/>
        <c:majorTickMark val="out"/>
        <c:minorTickMark val="none"/>
        <c:tickLblPos val="nextTo"/>
        <c:txPr>
          <a:bodyPr/>
          <a:lstStyle/>
          <a:p>
            <a:pPr>
              <a:defRPr sz="1100"/>
            </a:pPr>
            <a:endParaRPr lang="en-US"/>
          </a:p>
        </c:txPr>
        <c:crossAx val="134385664"/>
        <c:crosses val="autoZero"/>
        <c:auto val="1"/>
        <c:lblAlgn val="ctr"/>
        <c:lblOffset val="100"/>
        <c:noMultiLvlLbl val="0"/>
      </c:catAx>
      <c:valAx>
        <c:axId val="134385664"/>
        <c:scaling>
          <c:orientation val="minMax"/>
          <c:max val="20"/>
          <c:min val="0"/>
        </c:scaling>
        <c:delete val="0"/>
        <c:axPos val="l"/>
        <c:majorGridlines/>
        <c:minorGridlines/>
        <c:title>
          <c:tx>
            <c:rich>
              <a:bodyPr rot="-5400000" vert="horz"/>
              <a:lstStyle/>
              <a:p>
                <a:pPr>
                  <a:defRPr sz="1400"/>
                </a:pPr>
                <a:r>
                  <a:rPr lang="en-US" sz="1400"/>
                  <a:t>$ per Gb/s</a:t>
                </a:r>
              </a:p>
            </c:rich>
          </c:tx>
          <c:layout>
            <c:manualLayout>
              <c:xMode val="edge"/>
              <c:yMode val="edge"/>
              <c:x val="9.9354166624291192E-3"/>
              <c:y val="0.44785531412730101"/>
            </c:manualLayout>
          </c:layout>
          <c:overlay val="0"/>
        </c:title>
        <c:numFmt formatCode="&quot;$&quot;#,##0" sourceLinked="0"/>
        <c:majorTickMark val="out"/>
        <c:minorTickMark val="none"/>
        <c:tickLblPos val="nextTo"/>
        <c:txPr>
          <a:bodyPr/>
          <a:lstStyle/>
          <a:p>
            <a:pPr>
              <a:defRPr sz="1200"/>
            </a:pPr>
            <a:endParaRPr lang="en-US"/>
          </a:p>
        </c:txPr>
        <c:crossAx val="134367488"/>
        <c:crosses val="autoZero"/>
        <c:crossBetween val="between"/>
        <c:majorUnit val="5"/>
        <c:minorUnit val="5"/>
      </c:valAx>
    </c:plotArea>
    <c:legend>
      <c:legendPos val="r"/>
      <c:layout>
        <c:manualLayout>
          <c:xMode val="edge"/>
          <c:yMode val="edge"/>
          <c:x val="0.83575230541553103"/>
          <c:y val="0.198129908536294"/>
          <c:w val="0.143772923836851"/>
          <c:h val="0.71348412036306796"/>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66115212177465"/>
          <c:y val="5.9278041872113545E-2"/>
          <c:w val="0.84443625584947379"/>
          <c:h val="0.84387870259969489"/>
        </c:manualLayout>
      </c:layout>
      <c:lineChart>
        <c:grouping val="standard"/>
        <c:varyColors val="0"/>
        <c:ser>
          <c:idx val="0"/>
          <c:order val="0"/>
          <c:tx>
            <c:strRef>
              <c:f>Summary!$B$415</c:f>
              <c:strCache>
                <c:ptCount val="1"/>
                <c:pt idx="0">
                  <c:v>100 m  40G QSFP+</c:v>
                </c:pt>
              </c:strCache>
            </c:strRef>
          </c:tx>
          <c:cat>
            <c:numRef>
              <c:f>Summary!$C$414:$N$414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Summary!$C$415:$N$415</c:f>
              <c:numCache>
                <c:formatCode>_("$"* #,##0.0_);_("$"* \(#,##0.0\);_("$"* "-"??_);_(@_)</c:formatCode>
                <c:ptCount val="12"/>
                <c:pt idx="0">
                  <c:v>61.814562208888887</c:v>
                </c:pt>
                <c:pt idx="1">
                  <c:v>63.806447873340716</c:v>
                </c:pt>
                <c:pt idx="2">
                  <c:v>56.351367198170891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A1F-7040-96D1-DBBB2C2273F7}"/>
            </c:ext>
          </c:extLst>
        </c:ser>
        <c:ser>
          <c:idx val="2"/>
          <c:order val="1"/>
          <c:tx>
            <c:strRef>
              <c:f>Summary!$B$416</c:f>
              <c:strCache>
                <c:ptCount val="1"/>
                <c:pt idx="0">
                  <c:v>100 m  40G MM duplex</c:v>
                </c:pt>
              </c:strCache>
            </c:strRef>
          </c:tx>
          <c:cat>
            <c:numRef>
              <c:f>Summary!$C$414:$N$414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Summary!$C$416:$N$416</c:f>
              <c:numCache>
                <c:formatCode>_("$"* #,##0.0_);_("$"* \(#,##0.0\);_("$"* "-"??_);_(@_)</c:formatCode>
                <c:ptCount val="12"/>
                <c:pt idx="0">
                  <c:v>153.5735</c:v>
                </c:pt>
                <c:pt idx="1">
                  <c:v>180.12456</c:v>
                </c:pt>
                <c:pt idx="2">
                  <c:v>134.912229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A1F-7040-96D1-DBBB2C2273F7}"/>
            </c:ext>
          </c:extLst>
        </c:ser>
        <c:ser>
          <c:idx val="1"/>
          <c:order val="2"/>
          <c:tx>
            <c:strRef>
              <c:f>Summary!$B$407</c:f>
              <c:strCache>
                <c:ptCount val="1"/>
                <c:pt idx="0">
                  <c:v>300 m  40 G eSR QSFP+</c:v>
                </c:pt>
              </c:strCache>
            </c:strRef>
          </c:tx>
          <c:cat>
            <c:numRef>
              <c:f>Summary!$C$414:$N$414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Summary!$C$417:$N$417</c:f>
              <c:numCache>
                <c:formatCode>_("$"* #,##0.0_);_("$"* \(#,##0.0\);_("$"* "-"??_);_(@_)</c:formatCode>
                <c:ptCount val="12"/>
                <c:pt idx="0">
                  <c:v>29.361883310000003</c:v>
                </c:pt>
                <c:pt idx="1">
                  <c:v>37.789000000000001</c:v>
                </c:pt>
                <c:pt idx="2">
                  <c:v>31.355079991532847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A1F-7040-96D1-DBBB2C2273F7}"/>
            </c:ext>
          </c:extLst>
        </c:ser>
        <c:dLbls>
          <c:showLegendKey val="0"/>
          <c:showVal val="0"/>
          <c:showCatName val="0"/>
          <c:showSerName val="0"/>
          <c:showPercent val="0"/>
          <c:showBubbleSize val="0"/>
        </c:dLbls>
        <c:marker val="1"/>
        <c:smooth val="0"/>
        <c:axId val="125117184"/>
        <c:axId val="125118720"/>
      </c:lineChart>
      <c:catAx>
        <c:axId val="125117184"/>
        <c:scaling>
          <c:orientation val="minMax"/>
        </c:scaling>
        <c:delete val="0"/>
        <c:axPos val="b"/>
        <c:numFmt formatCode="General" sourceLinked="1"/>
        <c:majorTickMark val="out"/>
        <c:minorTickMark val="none"/>
        <c:tickLblPos val="nextTo"/>
        <c:txPr>
          <a:bodyPr/>
          <a:lstStyle/>
          <a:p>
            <a:pPr>
              <a:defRPr sz="1000"/>
            </a:pPr>
            <a:endParaRPr lang="en-US"/>
          </a:p>
        </c:txPr>
        <c:crossAx val="125118720"/>
        <c:crosses val="autoZero"/>
        <c:auto val="1"/>
        <c:lblAlgn val="ctr"/>
        <c:lblOffset val="100"/>
        <c:noMultiLvlLbl val="0"/>
      </c:catAx>
      <c:valAx>
        <c:axId val="125118720"/>
        <c:scaling>
          <c:orientation val="minMax"/>
          <c:min val="0"/>
        </c:scaling>
        <c:delete val="0"/>
        <c:axPos val="l"/>
        <c:majorGridlines/>
        <c:title>
          <c:tx>
            <c:rich>
              <a:bodyPr rot="-5400000" vert="horz"/>
              <a:lstStyle/>
              <a:p>
                <a:pPr>
                  <a:defRPr sz="1400"/>
                </a:pPr>
                <a:r>
                  <a:rPr lang="en-US" sz="1400"/>
                  <a:t>Annual sales ($ mn)</a:t>
                </a:r>
              </a:p>
            </c:rich>
          </c:tx>
          <c:layout>
            <c:manualLayout>
              <c:xMode val="edge"/>
              <c:yMode val="edge"/>
              <c:x val="7.9851818019081346E-3"/>
              <c:y val="0.22182210339423408"/>
            </c:manualLayout>
          </c:layout>
          <c:overlay val="0"/>
        </c:title>
        <c:numFmt formatCode="&quot;$&quot;#,##0" sourceLinked="0"/>
        <c:majorTickMark val="out"/>
        <c:minorTickMark val="none"/>
        <c:tickLblPos val="nextTo"/>
        <c:txPr>
          <a:bodyPr/>
          <a:lstStyle/>
          <a:p>
            <a:pPr>
              <a:defRPr sz="1200"/>
            </a:pPr>
            <a:endParaRPr lang="en-US"/>
          </a:p>
        </c:txPr>
        <c:crossAx val="125117184"/>
        <c:crosses val="autoZero"/>
        <c:crossBetween val="between"/>
      </c:valAx>
    </c:plotArea>
    <c:legend>
      <c:legendPos val="t"/>
      <c:layout>
        <c:manualLayout>
          <c:xMode val="edge"/>
          <c:yMode val="edge"/>
          <c:x val="0.61988535203373774"/>
          <c:y val="8.9101899917213789E-2"/>
          <c:w val="0.33111871584780544"/>
          <c:h val="0.33917251550288713"/>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93183253562663"/>
          <c:y val="6.1043671624380277E-2"/>
          <c:w val="0.75667207522978308"/>
          <c:h val="0.82297645086030913"/>
        </c:manualLayout>
      </c:layout>
      <c:lineChart>
        <c:grouping val="standard"/>
        <c:varyColors val="0"/>
        <c:ser>
          <c:idx val="0"/>
          <c:order val="0"/>
          <c:tx>
            <c:strRef>
              <c:f>'Figures for Report'!$B$146:$C$146</c:f>
              <c:strCache>
                <c:ptCount val="2"/>
                <c:pt idx="0">
                  <c:v>200G QSFP56</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Report'!$F$146:$O$146</c:f>
              <c:numCache>
                <c:formatCode>_(* #,##0_);_(* \(#,##0\);_(* "-"??_);_(@_)</c:formatCode>
                <c:ptCount val="10"/>
                <c:pt idx="0">
                  <c:v>1000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489-A949-B1CD-CF00F2F9D84A}"/>
            </c:ext>
          </c:extLst>
        </c:ser>
        <c:ser>
          <c:idx val="1"/>
          <c:order val="1"/>
          <c:tx>
            <c:strRef>
              <c:f>'Figures for Report'!$B$147:$C$147</c:f>
              <c:strCache>
                <c:ptCount val="2"/>
                <c:pt idx="0">
                  <c:v>2x200G OSFP</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Report'!$F$147:$O$147</c:f>
              <c:numCache>
                <c:formatCode>_(* #,##0_);_(* \(#,##0\);_(* "-"??_);_(@_)</c:formatCode>
                <c:ptCount val="10"/>
                <c:pt idx="0">
                  <c:v>35000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D489-A949-B1CD-CF00F2F9D84A}"/>
            </c:ext>
          </c:extLst>
        </c:ser>
        <c:ser>
          <c:idx val="2"/>
          <c:order val="2"/>
          <c:tx>
            <c:strRef>
              <c:f>'Figures for Report'!$B$148:$C$148</c:f>
              <c:strCache>
                <c:ptCount val="2"/>
                <c:pt idx="0">
                  <c:v>400G (all)</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Report'!$F$148:$O$148</c:f>
              <c:numCache>
                <c:formatCode>_(* #,##0_);_(* \(#,##0\);_(* "-"??_);_(@_)</c:formatCode>
                <c:ptCount val="10"/>
                <c:pt idx="0">
                  <c:v>16000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D489-A949-B1CD-CF00F2F9D84A}"/>
            </c:ext>
          </c:extLst>
        </c:ser>
        <c:ser>
          <c:idx val="3"/>
          <c:order val="3"/>
          <c:tx>
            <c:strRef>
              <c:f>'Figures for Report'!$B$149:$C$149</c:f>
              <c:strCache>
                <c:ptCount val="2"/>
                <c:pt idx="0">
                  <c:v>800G (all)</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Report'!$F$149:$O$149</c:f>
              <c:numCache>
                <c:formatCode>General</c:formatCode>
                <c:ptCount val="10"/>
                <c:pt idx="2" formatCode="_(* #,##0_);_(* \(#,##0\);_(* &quot;-&quot;??_);_(@_)">
                  <c:v>0</c:v>
                </c:pt>
                <c:pt idx="3" formatCode="_(* #,##0_);_(* \(#,##0\);_(* &quot;-&quot;??_);_(@_)">
                  <c:v>0</c:v>
                </c:pt>
                <c:pt idx="4" formatCode="_(* #,##0_);_(* \(#,##0\);_(* &quot;-&quot;??_);_(@_)">
                  <c:v>0</c:v>
                </c:pt>
                <c:pt idx="5" formatCode="_(* #,##0_);_(* \(#,##0\);_(* &quot;-&quot;??_);_(@_)">
                  <c:v>0</c:v>
                </c:pt>
                <c:pt idx="6" formatCode="_(* #,##0_);_(* \(#,##0\);_(* &quot;-&quot;??_);_(@_)">
                  <c:v>0</c:v>
                </c:pt>
                <c:pt idx="7" formatCode="_(* #,##0_);_(* \(#,##0\);_(* &quot;-&quot;??_);_(@_)">
                  <c:v>0</c:v>
                </c:pt>
                <c:pt idx="8" formatCode="_(* #,##0_);_(* \(#,##0\);_(* &quot;-&quot;??_);_(@_)">
                  <c:v>0</c:v>
                </c:pt>
                <c:pt idx="9" formatCode="_(* #,##0_);_(* \(#,##0\);_(* &quot;-&quot;??_);_(@_)">
                  <c:v>0</c:v>
                </c:pt>
              </c:numCache>
            </c:numRef>
          </c:val>
          <c:smooth val="0"/>
          <c:extLst>
            <c:ext xmlns:c16="http://schemas.microsoft.com/office/drawing/2014/chart" uri="{C3380CC4-5D6E-409C-BE32-E72D297353CC}">
              <c16:uniqueId val="{00000000-AD43-C14F-8144-CE3536D36ACA}"/>
            </c:ext>
          </c:extLst>
        </c:ser>
        <c:ser>
          <c:idx val="4"/>
          <c:order val="4"/>
          <c:tx>
            <c:strRef>
              <c:f>'Figures for Report'!$B$150:$C$150</c:f>
              <c:strCache>
                <c:ptCount val="2"/>
                <c:pt idx="0">
                  <c:v>1.6T (all)</c:v>
                </c:pt>
              </c:strCache>
            </c:strRef>
          </c:tx>
          <c:cat>
            <c:numRef>
              <c:f>'Figures for Report'!$F$145:$O$145</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'Figures for Report'!$F$150:$O$150</c:f>
              <c:numCache>
                <c:formatCode>General</c:formatCode>
                <c:ptCount val="10"/>
                <c:pt idx="6" formatCode="_(* #,##0_);_(* \(#,##0\);_(* &quot;-&quot;??_);_(@_)">
                  <c:v>0</c:v>
                </c:pt>
                <c:pt idx="7" formatCode="_(* #,##0_);_(* \(#,##0\);_(* &quot;-&quot;??_);_(@_)">
                  <c:v>0</c:v>
                </c:pt>
                <c:pt idx="8" formatCode="_(* #,##0_);_(* \(#,##0\);_(* &quot;-&quot;??_);_(@_)">
                  <c:v>0</c:v>
                </c:pt>
                <c:pt idx="9" formatCode="_(* #,##0_);_(* \(#,##0\);_(* &quot;-&quot;??_);_(@_)">
                  <c:v>0</c:v>
                </c:pt>
              </c:numCache>
            </c:numRef>
          </c:val>
          <c:smooth val="0"/>
          <c:extLst>
            <c:ext xmlns:c16="http://schemas.microsoft.com/office/drawing/2014/chart" uri="{C3380CC4-5D6E-409C-BE32-E72D297353CC}">
              <c16:uniqueId val="{00000000-834A-E848-9F1E-0BEEFB606F91}"/>
            </c:ext>
          </c:extLst>
        </c:ser>
        <c:dLbls>
          <c:showLegendKey val="0"/>
          <c:showVal val="0"/>
          <c:showCatName val="0"/>
          <c:showSerName val="0"/>
          <c:showPercent val="0"/>
          <c:showBubbleSize val="0"/>
        </c:dLbls>
        <c:marker val="1"/>
        <c:smooth val="0"/>
        <c:axId val="134330240"/>
        <c:axId val="134331776"/>
      </c:lineChart>
      <c:catAx>
        <c:axId val="134330240"/>
        <c:scaling>
          <c:orientation val="minMax"/>
        </c:scaling>
        <c:delete val="0"/>
        <c:axPos val="b"/>
        <c:numFmt formatCode="General" sourceLinked="1"/>
        <c:majorTickMark val="out"/>
        <c:minorTickMark val="none"/>
        <c:tickLblPos val="nextTo"/>
        <c:txPr>
          <a:bodyPr/>
          <a:lstStyle/>
          <a:p>
            <a:pPr>
              <a:defRPr sz="1000"/>
            </a:pPr>
            <a:endParaRPr lang="en-US"/>
          </a:p>
        </c:txPr>
        <c:crossAx val="134331776"/>
        <c:crosses val="autoZero"/>
        <c:auto val="1"/>
        <c:lblAlgn val="ctr"/>
        <c:lblOffset val="100"/>
        <c:noMultiLvlLbl val="0"/>
      </c:catAx>
      <c:valAx>
        <c:axId val="134331776"/>
        <c:scaling>
          <c:orientation val="minMax"/>
        </c:scaling>
        <c:delete val="0"/>
        <c:axPos val="l"/>
        <c:majorGridlines/>
        <c:title>
          <c:tx>
            <c:rich>
              <a:bodyPr rot="-5400000" vert="horz"/>
              <a:lstStyle/>
              <a:p>
                <a:pPr>
                  <a:defRPr sz="1200"/>
                </a:pPr>
                <a:r>
                  <a:rPr lang="en-US" sz="1200"/>
                  <a:t>Annual shipments (Units)</a:t>
                </a:r>
              </a:p>
            </c:rich>
          </c:tx>
          <c:layout>
            <c:manualLayout>
              <c:xMode val="edge"/>
              <c:yMode val="edge"/>
              <c:x val="1.9388306471932945E-2"/>
              <c:y val="0.14852837095662924"/>
            </c:manualLayout>
          </c:layout>
          <c:overlay val="0"/>
        </c:title>
        <c:numFmt formatCode="_(* #,##0_);_(* \(#,##0\);_(* &quot;-&quot;??_);_(@_)" sourceLinked="1"/>
        <c:majorTickMark val="out"/>
        <c:minorTickMark val="none"/>
        <c:tickLblPos val="nextTo"/>
        <c:txPr>
          <a:bodyPr/>
          <a:lstStyle/>
          <a:p>
            <a:pPr>
              <a:defRPr sz="1000"/>
            </a:pPr>
            <a:endParaRPr lang="en-US"/>
          </a:p>
        </c:txPr>
        <c:crossAx val="134330240"/>
        <c:crosses val="autoZero"/>
        <c:crossBetween val="between"/>
      </c:valAx>
    </c:plotArea>
    <c:legend>
      <c:legendPos val="t"/>
      <c:layout>
        <c:manualLayout>
          <c:xMode val="edge"/>
          <c:yMode val="edge"/>
          <c:x val="0.22158628624904447"/>
          <c:y val="8.7962962962962965E-2"/>
          <c:w val="0.27626885071929058"/>
          <c:h val="0.48314353238883845"/>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800G</a:t>
            </a:r>
            <a:r>
              <a:rPr lang="en-US" baseline="0"/>
              <a:t> Ports by 2027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AEBA-F24C-9B0B-AE7DF8C3D7F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AEBA-F24C-9B0B-AE7DF8C3D7F8}"/>
              </c:ext>
            </c:extLst>
          </c:dPt>
          <c:cat>
            <c:strRef>
              <c:f>'Figures for Report'!$C$117:$C$118</c:f>
              <c:strCache>
                <c:ptCount val="2"/>
                <c:pt idx="0">
                  <c:v>800G XCVRs</c:v>
                </c:pt>
                <c:pt idx="1">
                  <c:v>800G CPO</c:v>
                </c:pt>
              </c:strCache>
            </c:strRef>
          </c:cat>
          <c:val>
            <c:numRef>
              <c:f>'Figures for Report'!$J$117:$J$118</c:f>
              <c:numCache>
                <c:formatCode>_(* #,##0_);_(* \(#,##0\);_(* "-"??_);_(@_)</c:formatCode>
                <c:ptCount val="2"/>
                <c:pt idx="0">
                  <c:v>0</c:v>
                </c:pt>
              </c:numCache>
            </c:numRef>
          </c:val>
          <c:extLst>
            <c:ext xmlns:c16="http://schemas.microsoft.com/office/drawing/2014/chart" uri="{C3380CC4-5D6E-409C-BE32-E72D297353CC}">
              <c16:uniqueId val="{00000000-C498-CC4C-A340-9AC7FC8B97C9}"/>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1.6T</a:t>
            </a:r>
            <a:r>
              <a:rPr lang="en-US" baseline="0"/>
              <a:t> Ports by 2027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F00-2746-910B-C349D9BE4467}"/>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F00-2746-910B-C349D9BE4467}"/>
              </c:ext>
            </c:extLst>
          </c:dPt>
          <c:cat>
            <c:strRef>
              <c:f>'Figures for Report'!$C$119:$C$120</c:f>
              <c:strCache>
                <c:ptCount val="2"/>
                <c:pt idx="0">
                  <c:v>1.6T XCVRs</c:v>
                </c:pt>
                <c:pt idx="1">
                  <c:v>1.6T CPO</c:v>
                </c:pt>
              </c:strCache>
            </c:strRef>
          </c:cat>
          <c:val>
            <c:numRef>
              <c:f>'Figures for Report'!$J$119:$J$120</c:f>
              <c:numCache>
                <c:formatCode>_(* #,##0_);_(* \(#,##0\);_(* "-"??_);_(@_)</c:formatCode>
                <c:ptCount val="2"/>
              </c:numCache>
            </c:numRef>
          </c:val>
          <c:extLst>
            <c:ext xmlns:c16="http://schemas.microsoft.com/office/drawing/2014/chart" uri="{C3380CC4-5D6E-409C-BE32-E72D297353CC}">
              <c16:uniqueId val="{00000004-1F00-2746-910B-C349D9BE4467}"/>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3528814953905"/>
          <c:y val="4.437445319335083E-2"/>
          <c:w val="0.83434416962669766"/>
          <c:h val="0.84236701350683529"/>
        </c:manualLayout>
      </c:layout>
      <c:barChart>
        <c:barDir val="col"/>
        <c:grouping val="stacked"/>
        <c:varyColors val="0"/>
        <c:ser>
          <c:idx val="0"/>
          <c:order val="0"/>
          <c:tx>
            <c:strRef>
              <c:f>Summary!$B$158</c:f>
              <c:strCache>
                <c:ptCount val="1"/>
                <c:pt idx="0">
                  <c:v>100G &amp; below</c:v>
                </c:pt>
              </c:strCache>
            </c:strRef>
          </c:tx>
          <c:invertIfNegative val="0"/>
          <c:cat>
            <c:numRef>
              <c:f>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Summary!$C$158:$N$158</c:f>
              <c:numCache>
                <c:formatCode>_("$"* #,##0_);_("$"* \(#,##0\);_("$"* "-"??_);_(@_)</c:formatCode>
                <c:ptCount val="12"/>
                <c:pt idx="0">
                  <c:v>2677.5690986151867</c:v>
                </c:pt>
                <c:pt idx="1">
                  <c:v>3174.6712260887743</c:v>
                </c:pt>
                <c:pt idx="2">
                  <c:v>3337.3055278135298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D65-1F4A-9073-3D899F10AD6F}"/>
            </c:ext>
          </c:extLst>
        </c:ser>
        <c:ser>
          <c:idx val="1"/>
          <c:order val="1"/>
          <c:tx>
            <c:strRef>
              <c:f>Summary!$B$159</c:f>
              <c:strCache>
                <c:ptCount val="1"/>
                <c:pt idx="0">
                  <c:v>200G &amp; above</c:v>
                </c:pt>
              </c:strCache>
            </c:strRef>
          </c:tx>
          <c:invertIfNegative val="0"/>
          <c:cat>
            <c:numRef>
              <c:f>Summary!$C$157:$N$157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Summary!$C$159:$N$159</c:f>
              <c:numCache>
                <c:formatCode>_("$"* #,##0_);_("$"* \(#,##0\);_("$"* "-"??_);_(@_)</c:formatCode>
                <c:ptCount val="12"/>
                <c:pt idx="0">
                  <c:v>0</c:v>
                </c:pt>
                <c:pt idx="1">
                  <c:v>1.3482999999999998</c:v>
                </c:pt>
                <c:pt idx="2">
                  <c:v>50.312000000000005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D65-1F4A-9073-3D899F10AD6F}"/>
            </c:ext>
          </c:extLst>
        </c:ser>
        <c:dLbls>
          <c:showLegendKey val="0"/>
          <c:showVal val="0"/>
          <c:showCatName val="0"/>
          <c:showSerName val="0"/>
          <c:showPercent val="0"/>
          <c:showBubbleSize val="0"/>
        </c:dLbls>
        <c:gapWidth val="150"/>
        <c:overlap val="100"/>
        <c:axId val="134020096"/>
        <c:axId val="134025984"/>
      </c:barChart>
      <c:catAx>
        <c:axId val="134020096"/>
        <c:scaling>
          <c:orientation val="minMax"/>
        </c:scaling>
        <c:delete val="0"/>
        <c:axPos val="b"/>
        <c:numFmt formatCode="General" sourceLinked="1"/>
        <c:majorTickMark val="out"/>
        <c:minorTickMark val="none"/>
        <c:tickLblPos val="nextTo"/>
        <c:txPr>
          <a:bodyPr/>
          <a:lstStyle/>
          <a:p>
            <a:pPr>
              <a:defRPr sz="1200"/>
            </a:pPr>
            <a:endParaRPr lang="en-US"/>
          </a:p>
        </c:txPr>
        <c:crossAx val="134025984"/>
        <c:crosses val="autoZero"/>
        <c:auto val="1"/>
        <c:lblAlgn val="ctr"/>
        <c:lblOffset val="100"/>
        <c:noMultiLvlLbl val="0"/>
      </c:catAx>
      <c:valAx>
        <c:axId val="134025984"/>
        <c:scaling>
          <c:orientation val="minMax"/>
          <c:min val="0"/>
        </c:scaling>
        <c:delete val="0"/>
        <c:axPos val="l"/>
        <c:majorGridlines/>
        <c:title>
          <c:tx>
            <c:rich>
              <a:bodyPr rot="-5400000" vert="horz"/>
              <a:lstStyle/>
              <a:p>
                <a:pPr>
                  <a:defRPr sz="1400"/>
                </a:pPr>
                <a:r>
                  <a:rPr lang="en-US" sz="1400"/>
                  <a:t>Annual</a:t>
                </a:r>
                <a:r>
                  <a:rPr lang="en-US" sz="1400" baseline="0"/>
                  <a:t> s</a:t>
                </a:r>
                <a:r>
                  <a:rPr lang="en-US" sz="1400"/>
                  <a:t>ales ($</a:t>
                </a:r>
                <a:r>
                  <a:rPr lang="en-US" sz="1400" baseline="0"/>
                  <a:t> </a:t>
                </a:r>
                <a:r>
                  <a:rPr lang="en-US" sz="1400"/>
                  <a:t>mn)</a:t>
                </a:r>
              </a:p>
            </c:rich>
          </c:tx>
          <c:layout>
            <c:manualLayout>
              <c:xMode val="edge"/>
              <c:yMode val="edge"/>
              <c:x val="5.5310462085552698E-3"/>
              <c:y val="0.27541095281984951"/>
            </c:manualLayout>
          </c:layout>
          <c:overlay val="0"/>
        </c:title>
        <c:numFmt formatCode="&quot;$&quot;#,##0" sourceLinked="0"/>
        <c:majorTickMark val="out"/>
        <c:minorTickMark val="none"/>
        <c:tickLblPos val="nextTo"/>
        <c:txPr>
          <a:bodyPr/>
          <a:lstStyle/>
          <a:p>
            <a:pPr>
              <a:defRPr sz="1200"/>
            </a:pPr>
            <a:endParaRPr lang="en-US"/>
          </a:p>
        </c:txPr>
        <c:crossAx val="134020096"/>
        <c:crosses val="autoZero"/>
        <c:crossBetween val="between"/>
      </c:valAx>
    </c:plotArea>
    <c:legend>
      <c:legendPos val="t"/>
      <c:layout>
        <c:manualLayout>
          <c:xMode val="edge"/>
          <c:yMode val="edge"/>
          <c:x val="0.19283549769638877"/>
          <c:y val="0.10056285528542498"/>
          <c:w val="0.26891121022419684"/>
          <c:h val="0.27324055387042218"/>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spPr>
    <a:ln>
      <a:solidFill>
        <a:schemeClr val="bg1">
          <a:lumMod val="75000"/>
        </a:schemeClr>
      </a:solidFill>
    </a:ln>
  </c:spPr>
  <c:txPr>
    <a:bodyPr/>
    <a:lstStyle/>
    <a:p>
      <a:pPr>
        <a:defRPr sz="1000"/>
      </a:pPr>
      <a:endParaRPr lang="en-US"/>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a:t>
            </a:r>
            <a:r>
              <a:rPr lang="en-US" baseline="0"/>
              <a:t> Price Declines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276647449697877E-2"/>
          <c:y val="0.13445367837106112"/>
          <c:w val="0.90108334882519914"/>
          <c:h val="0.82249824098693103"/>
        </c:manualLayout>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#REF!</c:f>
              <c:numCache>
                <c:formatCode>General</c:formatCode>
                <c:ptCount val="1"/>
                <c:pt idx="0">
                  <c:v>1</c:v>
                </c:pt>
              </c:numCache>
            </c:numRef>
          </c:val>
          <c:smooth val="1"/>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7378-EC4C-8ED7-01FB1E5D7A4E}"/>
            </c:ext>
          </c:extLst>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#REF!</c:f>
              <c:numCache>
                <c:formatCode>General</c:formatCode>
                <c:ptCount val="1"/>
                <c:pt idx="0">
                  <c:v>1</c:v>
                </c:pt>
              </c:numCache>
            </c:numRef>
          </c:val>
          <c:smooth val="1"/>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7378-EC4C-8ED7-01FB1E5D7A4E}"/>
            </c:ext>
          </c:extLst>
        </c:ser>
        <c:ser>
          <c:idx val="2"/>
          <c:order val="2"/>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#REF!</c:f>
              <c:numCache>
                <c:formatCode>General</c:formatCode>
                <c:ptCount val="1"/>
                <c:pt idx="0">
                  <c:v>1</c:v>
                </c:pt>
              </c:numCache>
            </c:numRef>
          </c:val>
          <c:smooth val="1"/>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7378-EC4C-8ED7-01FB1E5D7A4E}"/>
            </c:ext>
          </c:extLst>
        </c:ser>
        <c:dLbls>
          <c:showLegendKey val="0"/>
          <c:showVal val="0"/>
          <c:showCatName val="0"/>
          <c:showSerName val="0"/>
          <c:showPercent val="0"/>
          <c:showBubbleSize val="0"/>
        </c:dLbls>
        <c:marker val="1"/>
        <c:smooth val="0"/>
        <c:axId val="134061440"/>
        <c:axId val="134075904"/>
      </c:lineChart>
      <c:catAx>
        <c:axId val="13406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075904"/>
        <c:crosses val="autoZero"/>
        <c:auto val="1"/>
        <c:lblAlgn val="ctr"/>
        <c:lblOffset val="100"/>
        <c:noMultiLvlLbl val="1"/>
      </c:catAx>
      <c:valAx>
        <c:axId val="13407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061440"/>
        <c:crosses val="autoZero"/>
        <c:crossBetween val="between"/>
      </c:valAx>
      <c:spPr>
        <a:noFill/>
        <a:ln>
          <a:noFill/>
        </a:ln>
        <a:effectLst/>
      </c:spPr>
    </c:plotArea>
    <c:legend>
      <c:legendPos val="b"/>
      <c:layout>
        <c:manualLayout>
          <c:xMode val="edge"/>
          <c:yMode val="edge"/>
          <c:x val="0.11371333779328033"/>
          <c:y val="0.56315874697839408"/>
          <c:w val="0.38226666666666664"/>
          <c:h val="7.6342961213864649E-2"/>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segment'!$B$34</c:f>
              <c:strCache>
                <c:ptCount val="1"/>
                <c:pt idx="0">
                  <c:v>Enterprise</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segment'!$C$34:$N$34</c:f>
              <c:numCache>
                <c:formatCode>_(* #,##0_);_(* \(#,##0\);_(* "-"??_);_(@_)</c:formatCode>
                <c:ptCount val="12"/>
                <c:pt idx="0">
                  <c:v>21287441.14376694</c:v>
                </c:pt>
                <c:pt idx="1">
                  <c:v>20863877.916871279</c:v>
                </c:pt>
                <c:pt idx="2">
                  <c:v>24290440.800063994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A5F-B64E-8BD7-4E809B7C3AC2}"/>
            </c:ext>
          </c:extLst>
        </c:ser>
        <c:ser>
          <c:idx val="1"/>
          <c:order val="1"/>
          <c:tx>
            <c:strRef>
              <c:f>'Products x segment'!$B$32</c:f>
              <c:strCache>
                <c:ptCount val="1"/>
                <c:pt idx="0">
                  <c:v>Telecom</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segment'!$C$32:$N$32</c:f>
              <c:numCache>
                <c:formatCode>_(* #,##0_);_(* \(#,##0\);_(* "-"??_);_(@_)</c:formatCode>
                <c:ptCount val="12"/>
                <c:pt idx="0">
                  <c:v>4496664.3535132017</c:v>
                </c:pt>
                <c:pt idx="1">
                  <c:v>3902185.0984692555</c:v>
                </c:pt>
                <c:pt idx="2">
                  <c:v>5876521.6602941174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A5F-B64E-8BD7-4E809B7C3AC2}"/>
            </c:ext>
          </c:extLst>
        </c:ser>
        <c:ser>
          <c:idx val="0"/>
          <c:order val="2"/>
          <c:tx>
            <c:strRef>
              <c:f>'Products x segment'!$B$33</c:f>
              <c:strCache>
                <c:ptCount val="1"/>
                <c:pt idx="0">
                  <c:v>Cloud</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segment'!$C$33:$N$33</c:f>
              <c:numCache>
                <c:formatCode>_(* #,##0_);_(* \(#,##0\);_(* "-"??_);_(@_)</c:formatCode>
                <c:ptCount val="12"/>
                <c:pt idx="0">
                  <c:v>10649308.537719864</c:v>
                </c:pt>
                <c:pt idx="1">
                  <c:v>13336049.134659462</c:v>
                </c:pt>
                <c:pt idx="2">
                  <c:v>15893347.87633656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A5F-B64E-8BD7-4E809B7C3AC2}"/>
            </c:ext>
          </c:extLst>
        </c:ser>
        <c:dLbls>
          <c:showLegendKey val="0"/>
          <c:showVal val="0"/>
          <c:showCatName val="0"/>
          <c:showSerName val="0"/>
          <c:showPercent val="0"/>
          <c:showBubbleSize val="0"/>
        </c:dLbls>
        <c:axId val="136733440"/>
        <c:axId val="136734976"/>
      </c:areaChart>
      <c:catAx>
        <c:axId val="136733440"/>
        <c:scaling>
          <c:orientation val="minMax"/>
        </c:scaling>
        <c:delete val="0"/>
        <c:axPos val="b"/>
        <c:numFmt formatCode="General" sourceLinked="1"/>
        <c:majorTickMark val="out"/>
        <c:minorTickMark val="none"/>
        <c:tickLblPos val="nextTo"/>
        <c:txPr>
          <a:bodyPr/>
          <a:lstStyle/>
          <a:p>
            <a:pPr>
              <a:defRPr sz="1200"/>
            </a:pPr>
            <a:endParaRPr lang="en-US"/>
          </a:p>
        </c:txPr>
        <c:crossAx val="136734976"/>
        <c:crosses val="autoZero"/>
        <c:auto val="1"/>
        <c:lblAlgn val="ctr"/>
        <c:lblOffset val="100"/>
        <c:noMultiLvlLbl val="0"/>
      </c:catAx>
      <c:valAx>
        <c:axId val="136734976"/>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36733440"/>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total</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segment'!$B$43</c:f>
              <c:strCache>
                <c:ptCount val="1"/>
                <c:pt idx="0">
                  <c:v>Enterprise</c:v>
                </c:pt>
              </c:strCache>
            </c:strRef>
          </c:tx>
          <c:cat>
            <c:numRef>
              <c:f>'Products x segment'!$C$40:$N$40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segment'!$C$43:$N$43</c:f>
              <c:numCache>
                <c:formatCode>_("$"* #,##0_);_("$"* \(#,##0\);_("$"* "-"??_);_(@_)</c:formatCode>
                <c:ptCount val="12"/>
                <c:pt idx="0">
                  <c:v>598.77204776909878</c:v>
                </c:pt>
                <c:pt idx="1">
                  <c:v>583.36292043779542</c:v>
                </c:pt>
                <c:pt idx="2">
                  <c:v>587.66314114080285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DCF-3D43-861A-8E9CEF0BEB57}"/>
            </c:ext>
          </c:extLst>
        </c:ser>
        <c:ser>
          <c:idx val="1"/>
          <c:order val="1"/>
          <c:tx>
            <c:strRef>
              <c:f>'Products x segment'!$B$41</c:f>
              <c:strCache>
                <c:ptCount val="1"/>
                <c:pt idx="0">
                  <c:v>Telecom</c:v>
                </c:pt>
              </c:strCache>
            </c:strRef>
          </c:tx>
          <c:cat>
            <c:numRef>
              <c:f>'Products x segment'!$C$40:$N$40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segment'!$C$41:$N$41</c:f>
              <c:numCache>
                <c:formatCode>_("$"* #,##0_);_("$"* \(#,##0\);_("$"* "-"??_);_(@_)</c:formatCode>
                <c:ptCount val="12"/>
                <c:pt idx="0">
                  <c:v>970.95883262807854</c:v>
                </c:pt>
                <c:pt idx="1">
                  <c:v>686.97300036965203</c:v>
                </c:pt>
                <c:pt idx="2">
                  <c:v>515.46297620496682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DCF-3D43-861A-8E9CEF0BEB57}"/>
            </c:ext>
          </c:extLst>
        </c:ser>
        <c:ser>
          <c:idx val="0"/>
          <c:order val="2"/>
          <c:tx>
            <c:strRef>
              <c:f>'Products x segment'!$B$42</c:f>
              <c:strCache>
                <c:ptCount val="1"/>
                <c:pt idx="0">
                  <c:v>Cloud</c:v>
                </c:pt>
              </c:strCache>
            </c:strRef>
          </c:tx>
          <c:cat>
            <c:numRef>
              <c:f>'Products x segment'!$C$40:$N$40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segment'!$C$42:$N$42</c:f>
              <c:numCache>
                <c:formatCode>_("$"* #,##0_);_("$"* \(#,##0\);_("$"* "-"??_);_(@_)</c:formatCode>
                <c:ptCount val="12"/>
                <c:pt idx="0">
                  <c:v>1117.8845272480094</c:v>
                </c:pt>
                <c:pt idx="1">
                  <c:v>1907.9773712813274</c:v>
                </c:pt>
                <c:pt idx="2">
                  <c:v>2284.8914104677597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DCF-3D43-861A-8E9CEF0BEB57}"/>
            </c:ext>
          </c:extLst>
        </c:ser>
        <c:dLbls>
          <c:showLegendKey val="0"/>
          <c:showVal val="0"/>
          <c:showCatName val="0"/>
          <c:showSerName val="0"/>
          <c:showPercent val="0"/>
          <c:showBubbleSize val="0"/>
        </c:dLbls>
        <c:axId val="136770688"/>
        <c:axId val="136772224"/>
      </c:areaChart>
      <c:catAx>
        <c:axId val="136770688"/>
        <c:scaling>
          <c:orientation val="minMax"/>
        </c:scaling>
        <c:delete val="0"/>
        <c:axPos val="b"/>
        <c:numFmt formatCode="General" sourceLinked="1"/>
        <c:majorTickMark val="out"/>
        <c:minorTickMark val="none"/>
        <c:tickLblPos val="nextTo"/>
        <c:txPr>
          <a:bodyPr/>
          <a:lstStyle/>
          <a:p>
            <a:pPr>
              <a:defRPr sz="1200"/>
            </a:pPr>
            <a:endParaRPr lang="en-US"/>
          </a:p>
        </c:txPr>
        <c:crossAx val="136772224"/>
        <c:crosses val="autoZero"/>
        <c:auto val="1"/>
        <c:lblAlgn val="ctr"/>
        <c:lblOffset val="100"/>
        <c:noMultiLvlLbl val="0"/>
      </c:catAx>
      <c:valAx>
        <c:axId val="136772224"/>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36770688"/>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 installed bandwidth - Cloud</a:t>
            </a:r>
          </a:p>
        </c:rich>
      </c:tx>
      <c:overlay val="0"/>
    </c:title>
    <c:autoTitleDeleted val="0"/>
    <c:plotArea>
      <c:layout>
        <c:manualLayout>
          <c:layoutTarget val="inner"/>
          <c:xMode val="edge"/>
          <c:yMode val="edge"/>
          <c:x val="0.163486111069544"/>
          <c:y val="0.14964134924112099"/>
          <c:w val="0.80357138700423203"/>
          <c:h val="0.74123168710805598"/>
        </c:manualLayout>
      </c:layout>
      <c:lineChart>
        <c:grouping val="standard"/>
        <c:varyColors val="0"/>
        <c:ser>
          <c:idx val="0"/>
          <c:order val="0"/>
          <c:tx>
            <c:strRef>
              <c:f>'Products x segment'!$O$290</c:f>
              <c:strCache>
                <c:ptCount val="1"/>
                <c:pt idx="0">
                  <c:v>Cum installed OC bandwidth - Cloud</c:v>
                </c:pt>
              </c:strCache>
            </c:strRef>
          </c:tx>
          <c:cat>
            <c:numRef>
              <c:f>'Products x segment'!$C$281:$N$281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segment'!$C$290:$N$290</c:f>
              <c:numCache>
                <c:formatCode>0%</c:formatCode>
                <c:ptCount val="12"/>
                <c:pt idx="0">
                  <c:v>0.57976641246958427</c:v>
                </c:pt>
                <c:pt idx="1">
                  <c:v>0.70931567256474581</c:v>
                </c:pt>
                <c:pt idx="2">
                  <c:v>0.67965027050964588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798-BC4A-811A-15174CB1A314}"/>
            </c:ext>
          </c:extLst>
        </c:ser>
        <c:dLbls>
          <c:showLegendKey val="0"/>
          <c:showVal val="0"/>
          <c:showCatName val="0"/>
          <c:showSerName val="0"/>
          <c:showPercent val="0"/>
          <c:showBubbleSize val="0"/>
        </c:dLbls>
        <c:marker val="1"/>
        <c:smooth val="0"/>
        <c:axId val="137174400"/>
        <c:axId val="137188480"/>
      </c:lineChart>
      <c:catAx>
        <c:axId val="137174400"/>
        <c:scaling>
          <c:orientation val="minMax"/>
        </c:scaling>
        <c:delete val="0"/>
        <c:axPos val="b"/>
        <c:numFmt formatCode="General" sourceLinked="1"/>
        <c:majorTickMark val="out"/>
        <c:minorTickMark val="none"/>
        <c:tickLblPos val="nextTo"/>
        <c:txPr>
          <a:bodyPr/>
          <a:lstStyle/>
          <a:p>
            <a:pPr>
              <a:defRPr sz="1400"/>
            </a:pPr>
            <a:endParaRPr lang="en-US"/>
          </a:p>
        </c:txPr>
        <c:crossAx val="137188480"/>
        <c:crosses val="autoZero"/>
        <c:auto val="1"/>
        <c:lblAlgn val="ctr"/>
        <c:lblOffset val="100"/>
        <c:noMultiLvlLbl val="0"/>
      </c:catAx>
      <c:valAx>
        <c:axId val="137188480"/>
        <c:scaling>
          <c:orientation val="minMax"/>
        </c:scaling>
        <c:delete val="0"/>
        <c:axPos val="l"/>
        <c:majorGridlines/>
        <c:title>
          <c:tx>
            <c:rich>
              <a:bodyPr rot="-5400000" vert="horz"/>
              <a:lstStyle/>
              <a:p>
                <a:pPr>
                  <a:defRPr sz="1400" b="0"/>
                </a:pPr>
                <a:r>
                  <a:rPr lang="en-US" sz="1400" b="0"/>
                  <a:t>Annual growth rate</a:t>
                </a:r>
              </a:p>
            </c:rich>
          </c:tx>
          <c:layout>
            <c:manualLayout>
              <c:xMode val="edge"/>
              <c:yMode val="edge"/>
              <c:x val="1.43502478296848E-2"/>
              <c:y val="0.26861451696683702"/>
            </c:manualLayout>
          </c:layout>
          <c:overlay val="0"/>
        </c:title>
        <c:numFmt formatCode="0%" sourceLinked="0"/>
        <c:majorTickMark val="out"/>
        <c:minorTickMark val="none"/>
        <c:tickLblPos val="nextTo"/>
        <c:txPr>
          <a:bodyPr/>
          <a:lstStyle/>
          <a:p>
            <a:pPr>
              <a:defRPr sz="1400"/>
            </a:pPr>
            <a:endParaRPr lang="en-US"/>
          </a:p>
        </c:txPr>
        <c:crossAx val="137174400"/>
        <c:crosses val="autoZero"/>
        <c:crossBetween val="between"/>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 installed bandwidth - Enterprise</a:t>
            </a:r>
          </a:p>
        </c:rich>
      </c:tx>
      <c:overlay val="0"/>
    </c:title>
    <c:autoTitleDeleted val="0"/>
    <c:plotArea>
      <c:layout>
        <c:manualLayout>
          <c:layoutTarget val="inner"/>
          <c:xMode val="edge"/>
          <c:yMode val="edge"/>
          <c:x val="0.17320452394550001"/>
          <c:y val="0.13772645722100299"/>
          <c:w val="0.77538836079651197"/>
          <c:h val="0.75314657912817395"/>
        </c:manualLayout>
      </c:layout>
      <c:lineChart>
        <c:grouping val="standard"/>
        <c:varyColors val="0"/>
        <c:ser>
          <c:idx val="1"/>
          <c:order val="0"/>
          <c:tx>
            <c:strRef>
              <c:f>'Products x segment'!$O$291</c:f>
              <c:strCache>
                <c:ptCount val="1"/>
                <c:pt idx="0">
                  <c:v>Cum installed OC bandwidth - Enterprise</c:v>
                </c:pt>
              </c:strCache>
            </c:strRef>
          </c:tx>
          <c:cat>
            <c:numRef>
              <c:f>'Products x segment'!$C$281:$N$281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segment'!$C$291:$N$291</c:f>
              <c:numCache>
                <c:formatCode>0%</c:formatCode>
                <c:ptCount val="12"/>
                <c:pt idx="0">
                  <c:v>0.29766140339975111</c:v>
                </c:pt>
                <c:pt idx="1">
                  <c:v>0.26265269444090578</c:v>
                </c:pt>
                <c:pt idx="2">
                  <c:v>0.2676411239830212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E9E-EB41-B7E5-F1396C2A436F}"/>
            </c:ext>
          </c:extLst>
        </c:ser>
        <c:dLbls>
          <c:showLegendKey val="0"/>
          <c:showVal val="0"/>
          <c:showCatName val="0"/>
          <c:showSerName val="0"/>
          <c:showPercent val="0"/>
          <c:showBubbleSize val="0"/>
        </c:dLbls>
        <c:marker val="1"/>
        <c:smooth val="0"/>
        <c:axId val="136906240"/>
        <c:axId val="136907776"/>
      </c:lineChart>
      <c:catAx>
        <c:axId val="136906240"/>
        <c:scaling>
          <c:orientation val="minMax"/>
        </c:scaling>
        <c:delete val="0"/>
        <c:axPos val="b"/>
        <c:numFmt formatCode="General" sourceLinked="1"/>
        <c:majorTickMark val="out"/>
        <c:minorTickMark val="none"/>
        <c:tickLblPos val="nextTo"/>
        <c:txPr>
          <a:bodyPr/>
          <a:lstStyle/>
          <a:p>
            <a:pPr>
              <a:defRPr sz="1400"/>
            </a:pPr>
            <a:endParaRPr lang="en-US"/>
          </a:p>
        </c:txPr>
        <c:crossAx val="136907776"/>
        <c:crosses val="autoZero"/>
        <c:auto val="1"/>
        <c:lblAlgn val="ctr"/>
        <c:lblOffset val="100"/>
        <c:noMultiLvlLbl val="0"/>
      </c:catAx>
      <c:valAx>
        <c:axId val="136907776"/>
        <c:scaling>
          <c:orientation val="minMax"/>
          <c:max val="1"/>
        </c:scaling>
        <c:delete val="0"/>
        <c:axPos val="l"/>
        <c:majorGridlines/>
        <c:title>
          <c:tx>
            <c:rich>
              <a:bodyPr rot="-5400000" vert="horz"/>
              <a:lstStyle/>
              <a:p>
                <a:pPr>
                  <a:defRPr sz="1400" b="0"/>
                </a:pPr>
                <a:r>
                  <a:rPr lang="en-US" sz="1400" b="0"/>
                  <a:t>Annual growth rate</a:t>
                </a:r>
              </a:p>
            </c:rich>
          </c:tx>
          <c:layout>
            <c:manualLayout>
              <c:xMode val="edge"/>
              <c:yMode val="edge"/>
              <c:x val="1.43502478296848E-2"/>
              <c:y val="0.26861451696683702"/>
            </c:manualLayout>
          </c:layout>
          <c:overlay val="0"/>
        </c:title>
        <c:numFmt formatCode="0%" sourceLinked="0"/>
        <c:majorTickMark val="out"/>
        <c:minorTickMark val="none"/>
        <c:tickLblPos val="nextTo"/>
        <c:txPr>
          <a:bodyPr/>
          <a:lstStyle/>
          <a:p>
            <a:pPr>
              <a:defRPr sz="1400"/>
            </a:pPr>
            <a:endParaRPr lang="en-US"/>
          </a:p>
        </c:txPr>
        <c:crossAx val="13690624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Revenues - total</a:t>
            </a:r>
          </a:p>
        </c:rich>
      </c:tx>
      <c:layout>
        <c:manualLayout>
          <c:xMode val="edge"/>
          <c:yMode val="edge"/>
          <c:x val="0.43364923457452498"/>
          <c:y val="5.9239851635028897E-4"/>
        </c:manualLayout>
      </c:layout>
      <c:overlay val="0"/>
    </c:title>
    <c:autoTitleDeleted val="0"/>
    <c:plotArea>
      <c:layout>
        <c:manualLayout>
          <c:layoutTarget val="inner"/>
          <c:xMode val="edge"/>
          <c:yMode val="edge"/>
          <c:x val="0.175267046734948"/>
          <c:y val="0.18755123376963601"/>
          <c:w val="0.78963970811218598"/>
          <c:h val="0.71383275877335595"/>
        </c:manualLayout>
      </c:layout>
      <c:areaChart>
        <c:grouping val="stacked"/>
        <c:varyColors val="0"/>
        <c:ser>
          <c:idx val="0"/>
          <c:order val="0"/>
          <c:tx>
            <c:strRef>
              <c:f>'Products x segment'!$B$254</c:f>
              <c:strCache>
                <c:ptCount val="1"/>
                <c:pt idx="0">
                  <c:v>SMF</c:v>
                </c:pt>
              </c:strCache>
            </c:strRef>
          </c:tx>
          <c:cat>
            <c:numRef>
              <c:f>'Products x segment'!$C$252:$N$252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segment'!$C$254:$N$254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2F7-5043-90CA-F0703CCB6AAC}"/>
            </c:ext>
          </c:extLst>
        </c:ser>
        <c:ser>
          <c:idx val="1"/>
          <c:order val="1"/>
          <c:tx>
            <c:strRef>
              <c:f>'Products x segment'!$B$253</c:f>
              <c:strCache>
                <c:ptCount val="1"/>
                <c:pt idx="0">
                  <c:v>MMF</c:v>
                </c:pt>
              </c:strCache>
            </c:strRef>
          </c:tx>
          <c:cat>
            <c:numRef>
              <c:f>'Products x segment'!$C$252:$N$252</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segment'!$C$253:$N$253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2F7-5043-90CA-F0703CCB6AAC}"/>
            </c:ext>
          </c:extLst>
        </c:ser>
        <c:dLbls>
          <c:showLegendKey val="0"/>
          <c:showVal val="0"/>
          <c:showCatName val="0"/>
          <c:showSerName val="0"/>
          <c:showPercent val="0"/>
          <c:showBubbleSize val="0"/>
        </c:dLbls>
        <c:axId val="136930048"/>
        <c:axId val="136931584"/>
      </c:areaChart>
      <c:catAx>
        <c:axId val="136930048"/>
        <c:scaling>
          <c:orientation val="minMax"/>
        </c:scaling>
        <c:delete val="0"/>
        <c:axPos val="b"/>
        <c:numFmt formatCode="General" sourceLinked="1"/>
        <c:majorTickMark val="out"/>
        <c:minorTickMark val="none"/>
        <c:tickLblPos val="nextTo"/>
        <c:crossAx val="136931584"/>
        <c:crosses val="autoZero"/>
        <c:auto val="1"/>
        <c:lblAlgn val="ctr"/>
        <c:lblOffset val="100"/>
        <c:noMultiLvlLbl val="0"/>
      </c:catAx>
      <c:valAx>
        <c:axId val="136931584"/>
        <c:scaling>
          <c:orientation val="minMax"/>
        </c:scaling>
        <c:delete val="0"/>
        <c:axPos val="l"/>
        <c:majorGridlines/>
        <c:title>
          <c:tx>
            <c:rich>
              <a:bodyPr rot="-5400000" vert="horz"/>
              <a:lstStyle/>
              <a:p>
                <a:pPr>
                  <a:defRPr sz="1400"/>
                </a:pPr>
                <a:r>
                  <a:rPr lang="en-US" sz="1400"/>
                  <a:t>$ million</a:t>
                </a:r>
              </a:p>
            </c:rich>
          </c:tx>
          <c:layout>
            <c:manualLayout>
              <c:xMode val="edge"/>
              <c:yMode val="edge"/>
              <c:x val="2.90224691900169E-2"/>
              <c:y val="0.43991703441873098"/>
            </c:manualLayout>
          </c:layout>
          <c:overlay val="0"/>
        </c:title>
        <c:numFmt formatCode="&quot;$&quot;#,##0" sourceLinked="0"/>
        <c:majorTickMark val="out"/>
        <c:minorTickMark val="none"/>
        <c:tickLblPos val="nextTo"/>
        <c:crossAx val="136930048"/>
        <c:crosses val="autoZero"/>
        <c:crossBetween val="midCat"/>
      </c:valAx>
    </c:plotArea>
    <c:legend>
      <c:legendPos val="t"/>
      <c:layout>
        <c:manualLayout>
          <c:xMode val="edge"/>
          <c:yMode val="edge"/>
          <c:x val="0.214784778040503"/>
          <c:y val="0.114562777397984"/>
          <c:w val="0.59748064172442805"/>
          <c:h val="6.8468090828078906E-2"/>
        </c:manualLayout>
      </c:layout>
      <c:overlay val="0"/>
      <c:txPr>
        <a:bodyPr/>
        <a:lstStyle/>
        <a:p>
          <a:pPr>
            <a:defRPr sz="16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48080523836655"/>
          <c:y val="7.2643385614557826E-2"/>
          <c:w val="0.83578328402007152"/>
          <c:h val="0.82725857833003746"/>
        </c:manualLayout>
      </c:layout>
      <c:lineChart>
        <c:grouping val="standard"/>
        <c:varyColors val="0"/>
        <c:ser>
          <c:idx val="0"/>
          <c:order val="0"/>
          <c:tx>
            <c:strRef>
              <c:f>Summary!$B$580</c:f>
              <c:strCache>
                <c:ptCount val="1"/>
                <c:pt idx="0">
                  <c:v>100 m  100G CFP</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Summary!$C$580:$N$580</c:f>
              <c:numCache>
                <c:formatCode>_("$"* #,##0.0_);_("$"* \(#,##0.0\);_("$"* "-"??_);_(@_)</c:formatCode>
                <c:ptCount val="12"/>
                <c:pt idx="0">
                  <c:v>21.078782</c:v>
                </c:pt>
                <c:pt idx="1">
                  <c:v>8.8030050000000024</c:v>
                </c:pt>
                <c:pt idx="2">
                  <c:v>5.1903120000000031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C0D-A946-A03E-62CF997F9E3D}"/>
            </c:ext>
          </c:extLst>
        </c:ser>
        <c:ser>
          <c:idx val="1"/>
          <c:order val="1"/>
          <c:tx>
            <c:strRef>
              <c:f>Summary!$B$581</c:f>
              <c:strCache>
                <c:ptCount val="1"/>
                <c:pt idx="0">
                  <c:v>100 m  100G CFP2/CFP4</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Summary!$C$581:$N$581</c:f>
              <c:numCache>
                <c:formatCode>_("$"* #,##0.0_);_("$"* \(#,##0.0\);_("$"* "-"??_);_(@_)</c:formatCode>
                <c:ptCount val="12"/>
                <c:pt idx="0">
                  <c:v>5.2611999999999997</c:v>
                </c:pt>
                <c:pt idx="1">
                  <c:v>2.4791280000000007</c:v>
                </c:pt>
                <c:pt idx="2">
                  <c:v>2.0080936800000004</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C0D-A946-A03E-62CF997F9E3D}"/>
            </c:ext>
          </c:extLst>
        </c:ser>
        <c:ser>
          <c:idx val="2"/>
          <c:order val="2"/>
          <c:tx>
            <c:strRef>
              <c:f>Summary!$B$582</c:f>
              <c:strCache>
                <c:ptCount val="1"/>
                <c:pt idx="0">
                  <c:v>100 m  100G SR2, SR4  QSFP28</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Summary!$C$582:$N$582</c:f>
              <c:numCache>
                <c:formatCode>_("$"* #,##0.0_);_("$"* \(#,##0.0\);_("$"* "-"??_);_(@_)</c:formatCode>
                <c:ptCount val="12"/>
                <c:pt idx="0">
                  <c:v>72.281363999999996</c:v>
                </c:pt>
                <c:pt idx="1">
                  <c:v>113.36232738072</c:v>
                </c:pt>
                <c:pt idx="2">
                  <c:v>217.53494686689399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BC0D-A946-A03E-62CF997F9E3D}"/>
            </c:ext>
          </c:extLst>
        </c:ser>
        <c:ser>
          <c:idx val="3"/>
          <c:order val="3"/>
          <c:tx>
            <c:strRef>
              <c:f>Summary!$B$583</c:f>
              <c:strCache>
                <c:ptCount val="1"/>
                <c:pt idx="0">
                  <c:v>100 m  100G QSFP28 MM Duplex</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Summary!$C$583:$N$583</c:f>
              <c:numCache>
                <c:formatCode>_("$"* #,##0.0_);_("$"* \(#,##0.0\);_("$"* "-"??_);_(@_)</c:formatCode>
                <c:ptCount val="12"/>
                <c:pt idx="2">
                  <c:v>25.5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BC0D-A946-A03E-62CF997F9E3D}"/>
            </c:ext>
          </c:extLst>
        </c:ser>
        <c:ser>
          <c:idx val="4"/>
          <c:order val="4"/>
          <c:tx>
            <c:strRef>
              <c:f>Summary!$B$584</c:f>
              <c:strCache>
                <c:ptCount val="1"/>
                <c:pt idx="0">
                  <c:v>300 m  100G QSFP28  eSR4</c:v>
                </c:pt>
              </c:strCache>
            </c:strRef>
          </c:tx>
          <c:cat>
            <c:numRef>
              <c:f>Summary!$C$579:$N$579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Summary!$C$584:$N$584</c:f>
              <c:numCache>
                <c:formatCode>_("$"* #,##0.0_);_("$"* \(#,##0.0\);_("$"* "-"??_);_(@_)</c:formatCode>
                <c:ptCount val="12"/>
                <c:pt idx="2">
                  <c:v>1.7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BC0D-A946-A03E-62CF997F9E3D}"/>
            </c:ext>
          </c:extLst>
        </c:ser>
        <c:dLbls>
          <c:showLegendKey val="0"/>
          <c:showVal val="0"/>
          <c:showCatName val="0"/>
          <c:showSerName val="0"/>
          <c:showPercent val="0"/>
          <c:showBubbleSize val="0"/>
        </c:dLbls>
        <c:marker val="1"/>
        <c:smooth val="0"/>
        <c:axId val="125164928"/>
        <c:axId val="125174912"/>
      </c:lineChart>
      <c:catAx>
        <c:axId val="125164928"/>
        <c:scaling>
          <c:orientation val="minMax"/>
        </c:scaling>
        <c:delete val="0"/>
        <c:axPos val="b"/>
        <c:numFmt formatCode="General" sourceLinked="1"/>
        <c:majorTickMark val="out"/>
        <c:minorTickMark val="none"/>
        <c:tickLblPos val="nextTo"/>
        <c:txPr>
          <a:bodyPr/>
          <a:lstStyle/>
          <a:p>
            <a:pPr>
              <a:defRPr sz="1000"/>
            </a:pPr>
            <a:endParaRPr lang="en-US"/>
          </a:p>
        </c:txPr>
        <c:crossAx val="125174912"/>
        <c:crosses val="autoZero"/>
        <c:auto val="1"/>
        <c:lblAlgn val="ctr"/>
        <c:lblOffset val="100"/>
        <c:noMultiLvlLbl val="0"/>
      </c:catAx>
      <c:valAx>
        <c:axId val="125174912"/>
        <c:scaling>
          <c:orientation val="minMax"/>
        </c:scaling>
        <c:delete val="0"/>
        <c:axPos val="l"/>
        <c:majorGridlines/>
        <c:title>
          <c:tx>
            <c:rich>
              <a:bodyPr rot="-5400000" vert="horz"/>
              <a:lstStyle/>
              <a:p>
                <a:pPr>
                  <a:defRPr sz="1400"/>
                </a:pPr>
                <a:r>
                  <a:rPr lang="en-US" sz="1400"/>
                  <a:t>Annual sales ($ mn)</a:t>
                </a:r>
              </a:p>
            </c:rich>
          </c:tx>
          <c:layout>
            <c:manualLayout>
              <c:xMode val="edge"/>
              <c:yMode val="edge"/>
              <c:x val="7.7523889404114482E-3"/>
              <c:y val="0.22120318607869369"/>
            </c:manualLayout>
          </c:layout>
          <c:overlay val="0"/>
        </c:title>
        <c:numFmt formatCode="&quot;$&quot;#,##0" sourceLinked="0"/>
        <c:majorTickMark val="out"/>
        <c:minorTickMark val="none"/>
        <c:tickLblPos val="nextTo"/>
        <c:txPr>
          <a:bodyPr/>
          <a:lstStyle/>
          <a:p>
            <a:pPr>
              <a:defRPr sz="1200"/>
            </a:pPr>
            <a:endParaRPr lang="en-US"/>
          </a:p>
        </c:txPr>
        <c:crossAx val="125164928"/>
        <c:crosses val="autoZero"/>
        <c:crossBetween val="between"/>
      </c:valAx>
    </c:plotArea>
    <c:legend>
      <c:legendPos val="t"/>
      <c:layout>
        <c:manualLayout>
          <c:xMode val="edge"/>
          <c:yMode val="edge"/>
          <c:x val="0.15730957905859053"/>
          <c:y val="4.1787605831989046E-2"/>
          <c:w val="0.39366770542199675"/>
          <c:h val="0.37926919341343468"/>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6-year volume distribution</a:t>
            </a:r>
          </a:p>
        </c:rich>
      </c:tx>
      <c:overlay val="1"/>
    </c:title>
    <c:autoTitleDeleted val="0"/>
    <c:plotArea>
      <c:layout>
        <c:manualLayout>
          <c:layoutTarget val="inner"/>
          <c:xMode val="edge"/>
          <c:yMode val="edge"/>
          <c:x val="0.25972222222222202"/>
          <c:y val="0.15972222222222199"/>
          <c:w val="0.40966763188491001"/>
          <c:h val="0.76098996656372198"/>
        </c:manualLayout>
      </c:layout>
      <c:pieChart>
        <c:varyColors val="1"/>
        <c:ser>
          <c:idx val="0"/>
          <c:order val="0"/>
          <c:dLbls>
            <c:dLbl>
              <c:idx val="0"/>
              <c:layout>
                <c:manualLayout>
                  <c:x val="2.7777777777777801E-2"/>
                  <c:y val="9.72222222222221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A61-BD4B-86E9-A14E8273DE3B}"/>
                </c:ext>
              </c:extLst>
            </c:dLbl>
            <c:dLbl>
              <c:idx val="1"/>
              <c:layout>
                <c:manualLayout>
                  <c:x val="2.2222222222222199E-2"/>
                  <c:y val="-9.25925925925926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A61-BD4B-86E9-A14E8273DE3B}"/>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segment'!$O$32:$O$34</c:f>
              <c:numCache>
                <c:formatCode>_(* #,##0_);_(* \(#,##0\);_(* "-"??_);_(@_)</c:formatCode>
                <c:ptCount val="3"/>
                <c:pt idx="0">
                  <c:v>0</c:v>
                </c:pt>
                <c:pt idx="1">
                  <c:v>0</c:v>
                </c:pt>
                <c:pt idx="2">
                  <c:v>0</c:v>
                </c:pt>
              </c:numCache>
            </c:numRef>
          </c:val>
          <c:extLst>
            <c:ext xmlns:c16="http://schemas.microsoft.com/office/drawing/2014/chart" uri="{C3380CC4-5D6E-409C-BE32-E72D297353CC}">
              <c16:uniqueId val="{00000002-2A61-BD4B-86E9-A14E8273DE3B}"/>
            </c:ext>
          </c:extLst>
        </c:ser>
        <c:dLbls>
          <c:dLblPos val="outEnd"/>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6-year revenue distribution ($25 bn)</a:t>
            </a:r>
          </a:p>
        </c:rich>
      </c:tx>
      <c:overlay val="1"/>
    </c:title>
    <c:autoTitleDeleted val="0"/>
    <c:plotArea>
      <c:layout>
        <c:manualLayout>
          <c:layoutTarget val="inner"/>
          <c:xMode val="edge"/>
          <c:yMode val="edge"/>
          <c:x val="0.25972222222222202"/>
          <c:y val="0.15972222222222199"/>
          <c:w val="0.41466955395919203"/>
          <c:h val="0.73887249549106204"/>
        </c:manualLayout>
      </c:layout>
      <c:pieChart>
        <c:varyColors val="1"/>
        <c:ser>
          <c:idx val="0"/>
          <c:order val="0"/>
          <c:dLbls>
            <c:dLbl>
              <c:idx val="0"/>
              <c:layout>
                <c:manualLayout>
                  <c:x val="2.7777777777777801E-2"/>
                  <c:y val="9.722222222222219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2BF-C043-96FC-22512E109565}"/>
                </c:ext>
              </c:extLst>
            </c:dLbl>
            <c:dLbl>
              <c:idx val="1"/>
              <c:layout>
                <c:manualLayout>
                  <c:x val="-4.9689004808965475E-3"/>
                  <c:y val="-9.2592693140185423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2BF-C043-96FC-22512E109565}"/>
                </c:ext>
              </c:extLst>
            </c:dLbl>
            <c:spPr>
              <a:noFill/>
              <a:ln>
                <a:noFill/>
              </a:ln>
              <a:effectLst/>
            </c:spPr>
            <c:txPr>
              <a:bodyPr/>
              <a:lstStyle/>
              <a:p>
                <a:pPr>
                  <a:defRPr sz="1400"/>
                </a:pPr>
                <a:endParaRPr lang="en-US"/>
              </a:p>
            </c:txPr>
            <c:dLblPos val="outEnd"/>
            <c:showLegendKey val="0"/>
            <c:showVal val="1"/>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segment'!$O$41:$O$43</c:f>
              <c:numCache>
                <c:formatCode>_("$"* #,##0_);_("$"* \(#,##0\);_("$"* "-"??_);_(@_)</c:formatCode>
                <c:ptCount val="3"/>
                <c:pt idx="0">
                  <c:v>0</c:v>
                </c:pt>
                <c:pt idx="1">
                  <c:v>0</c:v>
                </c:pt>
                <c:pt idx="2">
                  <c:v>0</c:v>
                </c:pt>
              </c:numCache>
            </c:numRef>
          </c:val>
          <c:extLst>
            <c:ext xmlns:c16="http://schemas.microsoft.com/office/drawing/2014/chart" uri="{C3380CC4-5D6E-409C-BE32-E72D297353CC}">
              <c16:uniqueId val="{00000002-42BF-C043-96FC-22512E109565}"/>
            </c:ext>
          </c:extLst>
        </c:ser>
        <c:dLbls>
          <c:dLblPos val="outEnd"/>
          <c:showLegendKey val="0"/>
          <c:showVal val="1"/>
          <c:showCatName val="0"/>
          <c:showSerName val="0"/>
          <c:showPercent val="0"/>
          <c:showBubbleSize val="0"/>
          <c:showLeaderLines val="0"/>
        </c:dLbls>
        <c:firstSliceAng val="82"/>
      </c:pieChart>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Shipments - total</a:t>
            </a:r>
          </a:p>
        </c:rich>
      </c:tx>
      <c:layout>
        <c:manualLayout>
          <c:xMode val="edge"/>
          <c:yMode val="edge"/>
          <c:x val="0.43364923457452498"/>
          <c:y val="5.9239851635028897E-4"/>
        </c:manualLayout>
      </c:layout>
      <c:overlay val="0"/>
    </c:title>
    <c:autoTitleDeleted val="0"/>
    <c:plotArea>
      <c:layout>
        <c:manualLayout>
          <c:layoutTarget val="inner"/>
          <c:xMode val="edge"/>
          <c:yMode val="edge"/>
          <c:x val="0.15769722241206299"/>
          <c:y val="0.18755123376963601"/>
          <c:w val="0.81089664617587098"/>
          <c:h val="0.70247373337177299"/>
        </c:manualLayout>
      </c:layout>
      <c:areaChart>
        <c:grouping val="percentStacked"/>
        <c:varyColors val="0"/>
        <c:ser>
          <c:idx val="0"/>
          <c:order val="0"/>
          <c:tx>
            <c:strRef>
              <c:f>'Products x segment'!$B$246</c:f>
              <c:strCache>
                <c:ptCount val="1"/>
                <c:pt idx="0">
                  <c:v>SMF</c:v>
                </c:pt>
              </c:strCache>
            </c:strRef>
          </c:tx>
          <c:cat>
            <c:numRef>
              <c:f>'Products x segment'!$C$244:$N$244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segment'!$C$246:$N$246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DE2-374C-9E2C-CB5845B72539}"/>
            </c:ext>
          </c:extLst>
        </c:ser>
        <c:ser>
          <c:idx val="1"/>
          <c:order val="1"/>
          <c:tx>
            <c:strRef>
              <c:f>'Products x segment'!$B$245</c:f>
              <c:strCache>
                <c:ptCount val="1"/>
                <c:pt idx="0">
                  <c:v>MMF</c:v>
                </c:pt>
              </c:strCache>
            </c:strRef>
          </c:tx>
          <c:cat>
            <c:numRef>
              <c:f>'Products x segment'!$C$244:$N$244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segment'!$C$245:$N$245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DE2-374C-9E2C-CB5845B72539}"/>
            </c:ext>
          </c:extLst>
        </c:ser>
        <c:dLbls>
          <c:showLegendKey val="0"/>
          <c:showVal val="0"/>
          <c:showCatName val="0"/>
          <c:showSerName val="0"/>
          <c:showPercent val="0"/>
          <c:showBubbleSize val="0"/>
        </c:dLbls>
        <c:axId val="137038464"/>
        <c:axId val="137044352"/>
      </c:areaChart>
      <c:catAx>
        <c:axId val="137038464"/>
        <c:scaling>
          <c:orientation val="minMax"/>
        </c:scaling>
        <c:delete val="0"/>
        <c:axPos val="b"/>
        <c:numFmt formatCode="General" sourceLinked="1"/>
        <c:majorTickMark val="out"/>
        <c:minorTickMark val="none"/>
        <c:tickLblPos val="nextTo"/>
        <c:crossAx val="137044352"/>
        <c:crosses val="autoZero"/>
        <c:auto val="1"/>
        <c:lblAlgn val="ctr"/>
        <c:lblOffset val="100"/>
        <c:noMultiLvlLbl val="0"/>
      </c:catAx>
      <c:valAx>
        <c:axId val="137044352"/>
        <c:scaling>
          <c:orientation val="minMax"/>
        </c:scaling>
        <c:delete val="0"/>
        <c:axPos val="l"/>
        <c:majorGridlines/>
        <c:numFmt formatCode="0%" sourceLinked="0"/>
        <c:majorTickMark val="out"/>
        <c:minorTickMark val="none"/>
        <c:tickLblPos val="nextTo"/>
        <c:crossAx val="137038464"/>
        <c:crosses val="autoZero"/>
        <c:crossBetween val="midCat"/>
      </c:valAx>
    </c:plotArea>
    <c:legend>
      <c:legendPos val="t"/>
      <c:layout>
        <c:manualLayout>
          <c:xMode val="edge"/>
          <c:yMode val="edge"/>
          <c:x val="0.40251936855162301"/>
          <c:y val="8.0485701193234296E-2"/>
          <c:w val="0.24716568149023299"/>
          <c:h val="9.5925627899197397E-2"/>
        </c:manualLayout>
      </c:layout>
      <c:overlay val="0"/>
      <c:txPr>
        <a:bodyPr/>
        <a:lstStyle/>
        <a:p>
          <a:pPr>
            <a:defRPr sz="1600"/>
          </a:pPr>
          <a:endParaRPr lang="en-US"/>
        </a:p>
      </c:txPr>
    </c:legend>
    <c:plotVisOnly val="1"/>
    <c:dispBlanksAs val="gap"/>
    <c:showDLblsOverMax val="0"/>
  </c:chart>
  <c:spPr>
    <a:ln>
      <a:noFill/>
    </a:ln>
  </c:spPr>
  <c:txPr>
    <a:bodyPr/>
    <a:lstStyle/>
    <a:p>
      <a:pPr>
        <a:defRPr sz="1200"/>
      </a:pPr>
      <a:endParaRPr lang="en-US"/>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2016 revenue by segment </a:t>
            </a:r>
          </a:p>
          <a:p>
            <a:pPr>
              <a:defRPr sz="1400"/>
            </a:pPr>
            <a:r>
              <a:rPr lang="en-US" sz="1400"/>
              <a:t>$2.7 billion</a:t>
            </a:r>
          </a:p>
        </c:rich>
      </c:tx>
      <c:overlay val="1"/>
    </c:title>
    <c:autoTitleDeleted val="0"/>
    <c:plotArea>
      <c:layout>
        <c:manualLayout>
          <c:layoutTarget val="inner"/>
          <c:xMode val="edge"/>
          <c:yMode val="edge"/>
          <c:x val="0.28569021513398801"/>
          <c:y val="0.33288616100206703"/>
          <c:w val="0.30339026397563301"/>
          <c:h val="0.39498240725789802"/>
        </c:manualLayout>
      </c:layout>
      <c:pieChart>
        <c:varyColors val="1"/>
        <c:ser>
          <c:idx val="0"/>
          <c:order val="0"/>
          <c:dLbls>
            <c:dLbl>
              <c:idx val="0"/>
              <c:layout>
                <c:manualLayout>
                  <c:x val="-4.0410877308961701E-2"/>
                  <c:y val="-0.12979866196231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A187-0244-9128-2412F648C03D}"/>
                </c:ext>
              </c:extLst>
            </c:dLbl>
            <c:dLbl>
              <c:idx val="1"/>
              <c:layout>
                <c:manualLayout>
                  <c:x val="-1.8264811835038301E-2"/>
                  <c:y val="3.72059688221313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187-0244-9128-2412F648C03D}"/>
                </c:ext>
              </c:extLst>
            </c:dLbl>
            <c:spPr>
              <a:noFill/>
              <a:ln>
                <a:noFill/>
              </a:ln>
              <a:effectLst/>
            </c:spPr>
            <c:txPr>
              <a:bodyPr/>
              <a:lstStyle/>
              <a:p>
                <a:pPr>
                  <a:defRPr sz="1400"/>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segment'!$C$41:$C$43</c:f>
              <c:numCache>
                <c:formatCode>_("$"* #,##0_);_("$"* \(#,##0\);_("$"* "-"??_);_(@_)</c:formatCode>
                <c:ptCount val="3"/>
                <c:pt idx="0">
                  <c:v>970.95883262807854</c:v>
                </c:pt>
                <c:pt idx="1">
                  <c:v>1117.8845272480094</c:v>
                </c:pt>
                <c:pt idx="2">
                  <c:v>598.77204776909878</c:v>
                </c:pt>
              </c:numCache>
            </c:numRef>
          </c:val>
          <c:extLst>
            <c:ext xmlns:c16="http://schemas.microsoft.com/office/drawing/2014/chart" uri="{C3380CC4-5D6E-409C-BE32-E72D297353CC}">
              <c16:uniqueId val="{00000002-A187-0244-9128-2412F648C03D}"/>
            </c:ext>
          </c:extLst>
        </c:ser>
        <c:dLbls>
          <c:dLblPos val="outEnd"/>
          <c:showLegendKey val="0"/>
          <c:showVal val="1"/>
          <c:showCatName val="0"/>
          <c:showSerName val="0"/>
          <c:showPercent val="0"/>
          <c:showBubbleSize val="0"/>
          <c:showLeaderLines val="0"/>
        </c:dLbls>
        <c:firstSliceAng val="182"/>
      </c:pieChart>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2025 revenue by segment </a:t>
            </a:r>
          </a:p>
          <a:p>
            <a:pPr>
              <a:defRPr sz="1400"/>
            </a:pPr>
            <a:r>
              <a:rPr lang="en-US" sz="1400"/>
              <a:t>$5.9 billion total</a:t>
            </a:r>
          </a:p>
        </c:rich>
      </c:tx>
      <c:layout>
        <c:manualLayout>
          <c:xMode val="edge"/>
          <c:yMode val="edge"/>
          <c:x val="0.28480586181381301"/>
          <c:y val="8.1124163726447995E-3"/>
        </c:manualLayout>
      </c:layout>
      <c:overlay val="1"/>
    </c:title>
    <c:autoTitleDeleted val="0"/>
    <c:plotArea>
      <c:layout>
        <c:manualLayout>
          <c:layoutTarget val="inner"/>
          <c:xMode val="edge"/>
          <c:yMode val="edge"/>
          <c:x val="0.23967876276268299"/>
          <c:y val="0.178298154107664"/>
          <c:w val="0.51212062176078299"/>
          <c:h val="0.68357284747073799"/>
        </c:manualLayout>
      </c:layout>
      <c:pieChart>
        <c:varyColors val="1"/>
        <c:ser>
          <c:idx val="0"/>
          <c:order val="0"/>
          <c:dLbls>
            <c:dLbl>
              <c:idx val="0"/>
              <c:layout>
                <c:manualLayout>
                  <c:x val="3.7818618097391343E-2"/>
                  <c:y val="-2.274226476357124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A-8C4A-8886-539827147C51}"/>
                </c:ext>
              </c:extLst>
            </c:dLbl>
            <c:dLbl>
              <c:idx val="1"/>
              <c:layout>
                <c:manualLayout>
                  <c:x val="-1.4003016813955899E-2"/>
                  <c:y val="3.7205968822131397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4A-8C4A-8886-539827147C51}"/>
                </c:ext>
              </c:extLst>
            </c:dLbl>
            <c:dLbl>
              <c:idx val="2"/>
              <c:layout>
                <c:manualLayout>
                  <c:x val="8.6102354511917393E-3"/>
                  <c:y val="2.55676804241785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644A-8C4A-8886-539827147C51}"/>
                </c:ext>
              </c:extLst>
            </c:dLbl>
            <c:spPr>
              <a:noFill/>
              <a:ln>
                <a:noFill/>
              </a:ln>
              <a:effectLst/>
            </c:spPr>
            <c:txPr>
              <a:bodyPr/>
              <a:lstStyle/>
              <a:p>
                <a:pPr>
                  <a:defRPr sz="1400"/>
                </a:pPr>
                <a:endParaRPr lang="en-US"/>
              </a:p>
            </c:tx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'Products x segment'!$B$41:$B$43</c:f>
              <c:strCache>
                <c:ptCount val="3"/>
                <c:pt idx="0">
                  <c:v>Telecom</c:v>
                </c:pt>
                <c:pt idx="1">
                  <c:v>Cloud</c:v>
                </c:pt>
                <c:pt idx="2">
                  <c:v>Enterprise</c:v>
                </c:pt>
              </c:strCache>
            </c:strRef>
          </c:cat>
          <c:val>
            <c:numRef>
              <c:f>'Products x segment'!$L$41:$L$43</c:f>
              <c:numCache>
                <c:formatCode>_("$"* #,##0_);_("$"* \(#,##0\);_("$"* "-"??_);_(@_)</c:formatCode>
                <c:ptCount val="3"/>
                <c:pt idx="0">
                  <c:v>0</c:v>
                </c:pt>
                <c:pt idx="1">
                  <c:v>0</c:v>
                </c:pt>
                <c:pt idx="2">
                  <c:v>0</c:v>
                </c:pt>
              </c:numCache>
            </c:numRef>
          </c:val>
          <c:extLst>
            <c:ext xmlns:c16="http://schemas.microsoft.com/office/drawing/2014/chart" uri="{C3380CC4-5D6E-409C-BE32-E72D297353CC}">
              <c16:uniqueId val="{00000003-644A-8C4A-8886-539827147C51}"/>
            </c:ext>
          </c:extLst>
        </c:ser>
        <c:dLbls>
          <c:dLblPos val="outEnd"/>
          <c:showLegendKey val="0"/>
          <c:showVal val="1"/>
          <c:showCatName val="0"/>
          <c:showSerName val="0"/>
          <c:showPercent val="0"/>
          <c:showBubbleSize val="0"/>
          <c:showLeaderLines val="0"/>
        </c:dLbls>
        <c:firstSliceAng val="92"/>
      </c:pieChart>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segment'!$B$120</c:f>
              <c:strCache>
                <c:ptCount val="1"/>
                <c:pt idx="0">
                  <c:v>Enterprise</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segment'!$C$120:$N$120</c:f>
              <c:numCache>
                <c:formatCode>_(* #,##0_);_(* \(#,##0\);_(* "-"??_);_(@_)</c:formatCode>
                <c:ptCount val="12"/>
                <c:pt idx="0">
                  <c:v>1491.1999999999996</c:v>
                </c:pt>
                <c:pt idx="1">
                  <c:v>6554.3999999999987</c:v>
                </c:pt>
                <c:pt idx="2">
                  <c:v>338179.91588235291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54E-9645-AC16-E32CEA52E2AE}"/>
            </c:ext>
          </c:extLst>
        </c:ser>
        <c:ser>
          <c:idx val="1"/>
          <c:order val="1"/>
          <c:tx>
            <c:strRef>
              <c:f>'Products x segment'!$B$118</c:f>
              <c:strCache>
                <c:ptCount val="1"/>
                <c:pt idx="0">
                  <c:v>Telecom</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segment'!$C$118:$N$118</c:f>
              <c:numCache>
                <c:formatCode>_(* #,##0_);_(* \(#,##0\);_(* "-"??_);_(@_)</c:formatCode>
                <c:ptCount val="12"/>
                <c:pt idx="0">
                  <c:v>245415.4</c:v>
                </c:pt>
                <c:pt idx="1">
                  <c:v>271656.19999999995</c:v>
                </c:pt>
                <c:pt idx="2">
                  <c:v>285370.67529411765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54E-9645-AC16-E32CEA52E2AE}"/>
            </c:ext>
          </c:extLst>
        </c:ser>
        <c:ser>
          <c:idx val="0"/>
          <c:order val="2"/>
          <c:tx>
            <c:strRef>
              <c:f>'Products x segment'!$B$119</c:f>
              <c:strCache>
                <c:ptCount val="1"/>
                <c:pt idx="0">
                  <c:v>Cloud</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segment'!$C$119:$N$119</c:f>
              <c:numCache>
                <c:formatCode>_(* #,##0_);_(* \(#,##0\);_(* "-"??_);_(@_)</c:formatCode>
                <c:ptCount val="12"/>
                <c:pt idx="0">
                  <c:v>672463.4</c:v>
                </c:pt>
                <c:pt idx="1">
                  <c:v>2603279.4</c:v>
                </c:pt>
                <c:pt idx="2">
                  <c:v>5563468.1455182061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54E-9645-AC16-E32CEA52E2AE}"/>
            </c:ext>
          </c:extLst>
        </c:ser>
        <c:dLbls>
          <c:showLegendKey val="0"/>
          <c:showVal val="0"/>
          <c:showCatName val="0"/>
          <c:showSerName val="0"/>
          <c:showPercent val="0"/>
          <c:showBubbleSize val="0"/>
        </c:dLbls>
        <c:axId val="137353088"/>
        <c:axId val="137354624"/>
      </c:areaChart>
      <c:catAx>
        <c:axId val="137353088"/>
        <c:scaling>
          <c:orientation val="minMax"/>
        </c:scaling>
        <c:delete val="0"/>
        <c:axPos val="b"/>
        <c:numFmt formatCode="General" sourceLinked="1"/>
        <c:majorTickMark val="out"/>
        <c:minorTickMark val="none"/>
        <c:tickLblPos val="nextTo"/>
        <c:txPr>
          <a:bodyPr/>
          <a:lstStyle/>
          <a:p>
            <a:pPr>
              <a:defRPr sz="1200"/>
            </a:pPr>
            <a:endParaRPr lang="en-US"/>
          </a:p>
        </c:txPr>
        <c:crossAx val="137354624"/>
        <c:crosses val="autoZero"/>
        <c:auto val="1"/>
        <c:lblAlgn val="ctr"/>
        <c:lblOffset val="100"/>
        <c:noMultiLvlLbl val="0"/>
      </c:catAx>
      <c:valAx>
        <c:axId val="137354624"/>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37353088"/>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100GbE</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segment'!$B$129</c:f>
              <c:strCache>
                <c:ptCount val="1"/>
                <c:pt idx="0">
                  <c:v>Enterprise</c:v>
                </c:pt>
              </c:strCache>
            </c:strRef>
          </c:tx>
          <c:cat>
            <c:numRef>
              <c:f>'Products x segment'!$C$126:$N$126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segment'!$C$129:$N$129</c:f>
              <c:numCache>
                <c:formatCode>_(* #,##0_);_(* \(#,##0\);_(* "-"??_);_(@_)</c:formatCode>
                <c:ptCount val="12"/>
                <c:pt idx="0">
                  <c:v>13.409407906828156</c:v>
                </c:pt>
                <c:pt idx="1">
                  <c:v>14.688820280724084</c:v>
                </c:pt>
                <c:pt idx="2">
                  <c:v>71.029944883907376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0E8-C346-8D4C-53714AAD4247}"/>
            </c:ext>
          </c:extLst>
        </c:ser>
        <c:ser>
          <c:idx val="1"/>
          <c:order val="1"/>
          <c:tx>
            <c:strRef>
              <c:f>'Products x segment'!$B$127</c:f>
              <c:strCache>
                <c:ptCount val="1"/>
                <c:pt idx="0">
                  <c:v>Telecom</c:v>
                </c:pt>
              </c:strCache>
            </c:strRef>
          </c:tx>
          <c:cat>
            <c:numRef>
              <c:f>'Products x segment'!$C$126:$N$126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segment'!$C$127:$N$127</c:f>
              <c:numCache>
                <c:formatCode>_(* #,##0_);_(* \(#,##0\);_(* "-"??_);_(@_)</c:formatCode>
                <c:ptCount val="12"/>
                <c:pt idx="0">
                  <c:v>768.76898354972968</c:v>
                </c:pt>
                <c:pt idx="1">
                  <c:v>545.28903131270965</c:v>
                </c:pt>
                <c:pt idx="2">
                  <c:v>324.8260233063321</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0E8-C346-8D4C-53714AAD4247}"/>
            </c:ext>
          </c:extLst>
        </c:ser>
        <c:ser>
          <c:idx val="0"/>
          <c:order val="2"/>
          <c:tx>
            <c:strRef>
              <c:f>'Products x segment'!$B$128</c:f>
              <c:strCache>
                <c:ptCount val="1"/>
                <c:pt idx="0">
                  <c:v>Cloud</c:v>
                </c:pt>
              </c:strCache>
            </c:strRef>
          </c:tx>
          <c:cat>
            <c:numRef>
              <c:f>'Products x segment'!$C$126:$N$126</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segment'!$C$128:$N$128</c:f>
              <c:numCache>
                <c:formatCode>_(* #,##0_);_(* \(#,##0\);_(* "-"??_);_(@_)</c:formatCode>
                <c:ptCount val="12"/>
                <c:pt idx="0">
                  <c:v>360.98057201309041</c:v>
                </c:pt>
                <c:pt idx="1">
                  <c:v>1093.99654038072</c:v>
                </c:pt>
                <c:pt idx="2">
                  <c:v>1759.7492989149343</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0E8-C346-8D4C-53714AAD4247}"/>
            </c:ext>
          </c:extLst>
        </c:ser>
        <c:dLbls>
          <c:showLegendKey val="0"/>
          <c:showVal val="0"/>
          <c:showCatName val="0"/>
          <c:showSerName val="0"/>
          <c:showPercent val="0"/>
          <c:showBubbleSize val="0"/>
        </c:dLbls>
        <c:axId val="137640192"/>
        <c:axId val="137654272"/>
      </c:areaChart>
      <c:catAx>
        <c:axId val="137640192"/>
        <c:scaling>
          <c:orientation val="minMax"/>
        </c:scaling>
        <c:delete val="0"/>
        <c:axPos val="b"/>
        <c:numFmt formatCode="General" sourceLinked="1"/>
        <c:majorTickMark val="out"/>
        <c:minorTickMark val="none"/>
        <c:tickLblPos val="nextTo"/>
        <c:txPr>
          <a:bodyPr/>
          <a:lstStyle/>
          <a:p>
            <a:pPr>
              <a:defRPr sz="1200"/>
            </a:pPr>
            <a:endParaRPr lang="en-US"/>
          </a:p>
        </c:txPr>
        <c:crossAx val="137654272"/>
        <c:crosses val="autoZero"/>
        <c:auto val="1"/>
        <c:lblAlgn val="ctr"/>
        <c:lblOffset val="100"/>
        <c:noMultiLvlLbl val="0"/>
      </c:catAx>
      <c:valAx>
        <c:axId val="137654272"/>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37640192"/>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200GbE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segment'!$B$162</c:f>
              <c:strCache>
                <c:ptCount val="1"/>
                <c:pt idx="0">
                  <c:v>Enterprise</c:v>
                </c:pt>
              </c:strCache>
            </c:strRef>
          </c:tx>
          <c:cat>
            <c:numRef>
              <c:f>'Products x segment'!$C$159:$N$159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segment'!$C$162:$N$162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DD4-C84F-835D-E7B8BACF774B}"/>
            </c:ext>
          </c:extLst>
        </c:ser>
        <c:ser>
          <c:idx val="1"/>
          <c:order val="1"/>
          <c:tx>
            <c:strRef>
              <c:f>'Products x segment'!$B$160</c:f>
              <c:strCache>
                <c:ptCount val="1"/>
                <c:pt idx="0">
                  <c:v>Telecom</c:v>
                </c:pt>
              </c:strCache>
            </c:strRef>
          </c:tx>
          <c:cat>
            <c:numRef>
              <c:f>'Products x segment'!$C$159:$N$159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segment'!$C$160:$N$160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DD4-C84F-835D-E7B8BACF774B}"/>
            </c:ext>
          </c:extLst>
        </c:ser>
        <c:ser>
          <c:idx val="0"/>
          <c:order val="2"/>
          <c:tx>
            <c:strRef>
              <c:f>'Products x segment'!$B$161</c:f>
              <c:strCache>
                <c:ptCount val="1"/>
                <c:pt idx="0">
                  <c:v>Cloud</c:v>
                </c:pt>
              </c:strCache>
            </c:strRef>
          </c:tx>
          <c:cat>
            <c:numRef>
              <c:f>'Products x segment'!$C$159:$N$159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segment'!$C$161:$N$161</c:f>
              <c:numCache>
                <c:formatCode>_(* #,##0_);_(* \(#,##0\);_(* "-"??_);_(@_)</c:formatCode>
                <c:ptCount val="12"/>
                <c:pt idx="0">
                  <c:v>0</c:v>
                </c:pt>
                <c:pt idx="1">
                  <c:v>0</c:v>
                </c:pt>
                <c:pt idx="2">
                  <c:v>38000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DD4-C84F-835D-E7B8BACF774B}"/>
            </c:ext>
          </c:extLst>
        </c:ser>
        <c:dLbls>
          <c:showLegendKey val="0"/>
          <c:showVal val="0"/>
          <c:showCatName val="0"/>
          <c:showSerName val="0"/>
          <c:showPercent val="0"/>
          <c:showBubbleSize val="0"/>
        </c:dLbls>
        <c:axId val="137690112"/>
        <c:axId val="137691904"/>
      </c:areaChart>
      <c:catAx>
        <c:axId val="137690112"/>
        <c:scaling>
          <c:orientation val="minMax"/>
        </c:scaling>
        <c:delete val="0"/>
        <c:axPos val="b"/>
        <c:numFmt formatCode="General" sourceLinked="1"/>
        <c:majorTickMark val="out"/>
        <c:minorTickMark val="none"/>
        <c:tickLblPos val="nextTo"/>
        <c:txPr>
          <a:bodyPr/>
          <a:lstStyle/>
          <a:p>
            <a:pPr>
              <a:defRPr sz="1200"/>
            </a:pPr>
            <a:endParaRPr lang="en-US"/>
          </a:p>
        </c:txPr>
        <c:crossAx val="137691904"/>
        <c:crosses val="autoZero"/>
        <c:auto val="1"/>
        <c:lblAlgn val="ctr"/>
        <c:lblOffset val="100"/>
        <c:noMultiLvlLbl val="0"/>
      </c:catAx>
      <c:valAx>
        <c:axId val="137691904"/>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37690112"/>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200GbE</a:t>
            </a:r>
            <a:endParaRPr lang="en-US" sz="1800"/>
          </a:p>
        </c:rich>
      </c:tx>
      <c:layout>
        <c:manualLayout>
          <c:xMode val="edge"/>
          <c:yMode val="edge"/>
          <c:x val="0.430195005818168"/>
          <c:y val="6.2295639455710696E-4"/>
        </c:manualLayout>
      </c:layout>
      <c:overlay val="0"/>
    </c:title>
    <c:autoTitleDeleted val="0"/>
    <c:plotArea>
      <c:layout>
        <c:manualLayout>
          <c:layoutTarget val="inner"/>
          <c:xMode val="edge"/>
          <c:yMode val="edge"/>
          <c:x val="0.17638747001140001"/>
          <c:y val="0.179907098242029"/>
          <c:w val="0.785514458713932"/>
          <c:h val="0.71429654830996703"/>
        </c:manualLayout>
      </c:layout>
      <c:areaChart>
        <c:grouping val="stacked"/>
        <c:varyColors val="0"/>
        <c:ser>
          <c:idx val="2"/>
          <c:order val="0"/>
          <c:tx>
            <c:strRef>
              <c:f>'Products x segment'!$B$171</c:f>
              <c:strCache>
                <c:ptCount val="1"/>
                <c:pt idx="0">
                  <c:v>Enterprise</c:v>
                </c:pt>
              </c:strCache>
            </c:strRef>
          </c:tx>
          <c:cat>
            <c:numRef>
              <c:f>'Products x segment'!$C$168:$N$168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segment'!$C$171:$N$171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C70-5C4A-AAFB-3D37FC713A7C}"/>
            </c:ext>
          </c:extLst>
        </c:ser>
        <c:ser>
          <c:idx val="1"/>
          <c:order val="1"/>
          <c:tx>
            <c:strRef>
              <c:f>'Products x segment'!$B$169</c:f>
              <c:strCache>
                <c:ptCount val="1"/>
                <c:pt idx="0">
                  <c:v>Telecom</c:v>
                </c:pt>
              </c:strCache>
            </c:strRef>
          </c:tx>
          <c:cat>
            <c:numRef>
              <c:f>'Products x segment'!$C$168:$N$168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segment'!$C$169:$N$169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C70-5C4A-AAFB-3D37FC713A7C}"/>
            </c:ext>
          </c:extLst>
        </c:ser>
        <c:ser>
          <c:idx val="0"/>
          <c:order val="2"/>
          <c:tx>
            <c:strRef>
              <c:f>'Products x segment'!$B$170</c:f>
              <c:strCache>
                <c:ptCount val="1"/>
                <c:pt idx="0">
                  <c:v>Cloud</c:v>
                </c:pt>
              </c:strCache>
            </c:strRef>
          </c:tx>
          <c:cat>
            <c:numRef>
              <c:f>'Products x segment'!$C$168:$N$168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segment'!$C$170:$N$170</c:f>
              <c:numCache>
                <c:formatCode>_("$"* #,##0_);_("$"* \(#,##0\);_("$"* "-"??_);_(@_)</c:formatCode>
                <c:ptCount val="12"/>
                <c:pt idx="0">
                  <c:v>0</c:v>
                </c:pt>
                <c:pt idx="1">
                  <c:v>0</c:v>
                </c:pt>
                <c:pt idx="2">
                  <c:v>40.311999999999998</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C70-5C4A-AAFB-3D37FC713A7C}"/>
            </c:ext>
          </c:extLst>
        </c:ser>
        <c:dLbls>
          <c:showLegendKey val="0"/>
          <c:showVal val="0"/>
          <c:showCatName val="0"/>
          <c:showSerName val="0"/>
          <c:showPercent val="0"/>
          <c:showBubbleSize val="0"/>
        </c:dLbls>
        <c:axId val="137719168"/>
        <c:axId val="137725056"/>
      </c:areaChart>
      <c:catAx>
        <c:axId val="137719168"/>
        <c:scaling>
          <c:orientation val="minMax"/>
        </c:scaling>
        <c:delete val="0"/>
        <c:axPos val="b"/>
        <c:numFmt formatCode="General" sourceLinked="1"/>
        <c:majorTickMark val="out"/>
        <c:minorTickMark val="none"/>
        <c:tickLblPos val="nextTo"/>
        <c:txPr>
          <a:bodyPr/>
          <a:lstStyle/>
          <a:p>
            <a:pPr>
              <a:defRPr sz="1200"/>
            </a:pPr>
            <a:endParaRPr lang="en-US"/>
          </a:p>
        </c:txPr>
        <c:crossAx val="137725056"/>
        <c:crosses val="autoZero"/>
        <c:auto val="1"/>
        <c:lblAlgn val="ctr"/>
        <c:lblOffset val="100"/>
        <c:noMultiLvlLbl val="0"/>
      </c:catAx>
      <c:valAx>
        <c:axId val="137725056"/>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37719168"/>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400GbE</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areaChart>
        <c:grouping val="stacked"/>
        <c:varyColors val="0"/>
        <c:ser>
          <c:idx val="2"/>
          <c:order val="0"/>
          <c:tx>
            <c:strRef>
              <c:f>'Products x segment'!$B$204</c:f>
              <c:strCache>
                <c:ptCount val="1"/>
                <c:pt idx="0">
                  <c:v>Enterprise</c:v>
                </c:pt>
              </c:strCache>
            </c:strRef>
          </c:tx>
          <c:cat>
            <c:numRef>
              <c:f>'Products x segment'!$C$201:$N$201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segment'!$C$204:$N$204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599-EF42-A465-80F0215902DE}"/>
            </c:ext>
          </c:extLst>
        </c:ser>
        <c:ser>
          <c:idx val="1"/>
          <c:order val="1"/>
          <c:tx>
            <c:strRef>
              <c:f>'Products x segment'!$B$202</c:f>
              <c:strCache>
                <c:ptCount val="1"/>
                <c:pt idx="0">
                  <c:v>Telecom</c:v>
                </c:pt>
              </c:strCache>
            </c:strRef>
          </c:tx>
          <c:cat>
            <c:numRef>
              <c:f>'Products x segment'!$C$201:$N$201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segment'!$C$202:$N$202</c:f>
              <c:numCache>
                <c:formatCode>_(* #,##0_);_(* \(#,##0\);_(* "-"??_);_(@_)</c:formatCode>
                <c:ptCount val="12"/>
                <c:pt idx="0">
                  <c:v>0</c:v>
                </c:pt>
                <c:pt idx="1">
                  <c:v>82</c:v>
                </c:pt>
                <c:pt idx="2">
                  <c:v>900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599-EF42-A465-80F0215902DE}"/>
            </c:ext>
          </c:extLst>
        </c:ser>
        <c:ser>
          <c:idx val="0"/>
          <c:order val="2"/>
          <c:tx>
            <c:strRef>
              <c:f>'Products x segment'!$B$203</c:f>
              <c:strCache>
                <c:ptCount val="1"/>
                <c:pt idx="0">
                  <c:v>Cloud</c:v>
                </c:pt>
              </c:strCache>
            </c:strRef>
          </c:tx>
          <c:cat>
            <c:numRef>
              <c:f>'Products x segment'!$C$201:$N$201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segment'!$C$203:$N$203</c:f>
              <c:numCache>
                <c:formatCode>_(* #,##0_);_(* \(#,##0\);_(* "-"??_);_(@_)</c:formatCode>
                <c:ptCount val="12"/>
                <c:pt idx="0">
                  <c:v>0</c:v>
                </c:pt>
                <c:pt idx="1">
                  <c:v>7</c:v>
                </c:pt>
                <c:pt idx="2">
                  <c:v>15100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599-EF42-A465-80F0215902DE}"/>
            </c:ext>
          </c:extLst>
        </c:ser>
        <c:dLbls>
          <c:showLegendKey val="0"/>
          <c:showVal val="0"/>
          <c:showCatName val="0"/>
          <c:showSerName val="0"/>
          <c:showPercent val="0"/>
          <c:showBubbleSize val="0"/>
        </c:dLbls>
        <c:axId val="137847168"/>
        <c:axId val="137848704"/>
      </c:areaChart>
      <c:catAx>
        <c:axId val="137847168"/>
        <c:scaling>
          <c:orientation val="minMax"/>
        </c:scaling>
        <c:delete val="0"/>
        <c:axPos val="b"/>
        <c:numFmt formatCode="General" sourceLinked="1"/>
        <c:majorTickMark val="out"/>
        <c:minorTickMark val="none"/>
        <c:tickLblPos val="nextTo"/>
        <c:txPr>
          <a:bodyPr/>
          <a:lstStyle/>
          <a:p>
            <a:pPr>
              <a:defRPr sz="1200"/>
            </a:pPr>
            <a:endParaRPr lang="en-US"/>
          </a:p>
        </c:txPr>
        <c:crossAx val="137848704"/>
        <c:crosses val="autoZero"/>
        <c:auto val="1"/>
        <c:lblAlgn val="ctr"/>
        <c:lblOffset val="100"/>
        <c:noMultiLvlLbl val="0"/>
      </c:catAx>
      <c:valAx>
        <c:axId val="137848704"/>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37847168"/>
        <c:crosses val="autoZero"/>
        <c:crossBetween val="midCat"/>
      </c:valAx>
    </c:plotArea>
    <c:legend>
      <c:legendPos val="t"/>
      <c:layout>
        <c:manualLayout>
          <c:xMode val="edge"/>
          <c:yMode val="edge"/>
          <c:x val="0.27686376963660198"/>
          <c:y val="8.7706769225870604E-2"/>
          <c:w val="0.56338016078567998"/>
          <c:h val="8.2750619198919198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20444220965404"/>
          <c:y val="4.2576823283780083E-2"/>
          <c:w val="0.82990573043615401"/>
          <c:h val="0.86369945362657075"/>
        </c:manualLayout>
      </c:layout>
      <c:lineChart>
        <c:grouping val="standard"/>
        <c:varyColors val="0"/>
        <c:ser>
          <c:idx val="0"/>
          <c:order val="0"/>
          <c:tx>
            <c:strRef>
              <c:f>Summary!$B$525</c:f>
              <c:strCache>
                <c:ptCount val="1"/>
                <c:pt idx="0">
                  <c:v>100-300 m</c:v>
                </c:pt>
              </c:strCache>
            </c:strRef>
          </c:tx>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Summary!$C$525:$N$525</c:f>
              <c:numCache>
                <c:formatCode>_(* #,##0_);_(* \(#,##0\);_(* "-"??_);_(@_)</c:formatCode>
                <c:ptCount val="12"/>
                <c:pt idx="0">
                  <c:v>299241</c:v>
                </c:pt>
                <c:pt idx="1">
                  <c:v>631974</c:v>
                </c:pt>
                <c:pt idx="2">
                  <c:v>2082911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E04-0644-8AC4-A7C4A005F587}"/>
            </c:ext>
          </c:extLst>
        </c:ser>
        <c:ser>
          <c:idx val="1"/>
          <c:order val="1"/>
          <c:tx>
            <c:strRef>
              <c:f>Summary!$B$526</c:f>
              <c:strCache>
                <c:ptCount val="1"/>
                <c:pt idx="0">
                  <c:v>500 m</c:v>
                </c:pt>
              </c:strCache>
            </c:strRef>
          </c:tx>
          <c:spPr>
            <a:ln>
              <a:solidFill>
                <a:schemeClr val="accent4"/>
              </a:solidFill>
            </a:ln>
          </c:spPr>
          <c:marker>
            <c:symbol val="square"/>
            <c:size val="5"/>
            <c:spPr>
              <a:solidFill>
                <a:schemeClr val="accent4"/>
              </a:solidFill>
              <a:ln>
                <a:solidFill>
                  <a:schemeClr val="accent4"/>
                </a:solidFill>
              </a:ln>
            </c:spPr>
          </c:marker>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Summary!$C$526:$N$526</c:f>
              <c:numCache>
                <c:formatCode>_(* #,##0_);_(* \(#,##0\);_(* "-"??_);_(@_)</c:formatCode>
                <c:ptCount val="12"/>
                <c:pt idx="0">
                  <c:v>289061.59999999998</c:v>
                </c:pt>
                <c:pt idx="1">
                  <c:v>1393450.1</c:v>
                </c:pt>
                <c:pt idx="2">
                  <c:v>1614311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E04-0644-8AC4-A7C4A005F587}"/>
            </c:ext>
          </c:extLst>
        </c:ser>
        <c:ser>
          <c:idx val="4"/>
          <c:order val="2"/>
          <c:tx>
            <c:strRef>
              <c:f>Summary!$B$527</c:f>
              <c:strCache>
                <c:ptCount val="1"/>
                <c:pt idx="0">
                  <c:v>2 km</c:v>
                </c:pt>
              </c:strCache>
            </c:strRef>
          </c:tx>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Summary!$C$527:$N$527</c:f>
              <c:numCache>
                <c:formatCode>_(* #,##0_);_(* \(#,##0\);_(* "-"??_);_(@_)</c:formatCode>
                <c:ptCount val="12"/>
                <c:pt idx="0">
                  <c:v>30989.399999999994</c:v>
                </c:pt>
                <c:pt idx="1">
                  <c:v>292890.90000000002</c:v>
                </c:pt>
                <c:pt idx="2">
                  <c:v>1869292.6190476189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9E04-0644-8AC4-A7C4A005F587}"/>
            </c:ext>
          </c:extLst>
        </c:ser>
        <c:ser>
          <c:idx val="2"/>
          <c:order val="3"/>
          <c:tx>
            <c:strRef>
              <c:f>Summary!$B$528</c:f>
              <c:strCache>
                <c:ptCount val="1"/>
                <c:pt idx="0">
                  <c:v>10-20 km</c:v>
                </c:pt>
              </c:strCache>
            </c:strRef>
          </c:tx>
          <c:spPr>
            <a:ln>
              <a:solidFill>
                <a:schemeClr val="accent2"/>
              </a:solidFill>
            </a:ln>
          </c:spPr>
          <c:marker>
            <c:spPr>
              <a:solidFill>
                <a:schemeClr val="accent2"/>
              </a:solidFill>
              <a:ln>
                <a:solidFill>
                  <a:schemeClr val="accent2"/>
                </a:solidFill>
              </a:ln>
            </c:spPr>
          </c:marker>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Summary!$C$528:$N$528</c:f>
              <c:numCache>
                <c:formatCode>_(* #,##0_);_(* \(#,##0\);_(* "-"??_);_(@_)</c:formatCode>
                <c:ptCount val="12"/>
                <c:pt idx="0">
                  <c:v>292622</c:v>
                </c:pt>
                <c:pt idx="1">
                  <c:v>552903</c:v>
                </c:pt>
                <c:pt idx="2">
                  <c:v>610404.1176470588</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9E04-0644-8AC4-A7C4A005F587}"/>
            </c:ext>
          </c:extLst>
        </c:ser>
        <c:ser>
          <c:idx val="3"/>
          <c:order val="4"/>
          <c:tx>
            <c:strRef>
              <c:f>Summary!$B$529</c:f>
              <c:strCache>
                <c:ptCount val="1"/>
                <c:pt idx="0">
                  <c:v>40 km</c:v>
                </c:pt>
              </c:strCache>
            </c:strRef>
          </c:tx>
          <c:spPr>
            <a:ln>
              <a:solidFill>
                <a:schemeClr val="accent3"/>
              </a:solidFill>
            </a:ln>
          </c:spPr>
          <c:marker>
            <c:spPr>
              <a:solidFill>
                <a:schemeClr val="accent3"/>
              </a:solidFill>
              <a:ln>
                <a:solidFill>
                  <a:schemeClr val="accent3"/>
                </a:solidFill>
              </a:ln>
            </c:spPr>
          </c:marker>
          <c:cat>
            <c:numRef>
              <c:f>Summary!$C$524:$N$524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Summary!$C$529:$N$529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9E04-0644-8AC4-A7C4A005F587}"/>
            </c:ext>
          </c:extLst>
        </c:ser>
        <c:dLbls>
          <c:showLegendKey val="0"/>
          <c:showVal val="0"/>
          <c:showCatName val="0"/>
          <c:showSerName val="0"/>
          <c:showPercent val="0"/>
          <c:showBubbleSize val="0"/>
        </c:dLbls>
        <c:marker val="1"/>
        <c:smooth val="0"/>
        <c:axId val="125212544"/>
        <c:axId val="125214720"/>
      </c:lineChart>
      <c:catAx>
        <c:axId val="125212544"/>
        <c:scaling>
          <c:orientation val="minMax"/>
        </c:scaling>
        <c:delete val="0"/>
        <c:axPos val="b"/>
        <c:numFmt formatCode="General" sourceLinked="1"/>
        <c:majorTickMark val="out"/>
        <c:minorTickMark val="none"/>
        <c:tickLblPos val="nextTo"/>
        <c:txPr>
          <a:bodyPr/>
          <a:lstStyle/>
          <a:p>
            <a:pPr>
              <a:defRPr sz="1200"/>
            </a:pPr>
            <a:endParaRPr lang="en-US"/>
          </a:p>
        </c:txPr>
        <c:crossAx val="125214720"/>
        <c:crosses val="autoZero"/>
        <c:auto val="1"/>
        <c:lblAlgn val="ctr"/>
        <c:lblOffset val="100"/>
        <c:noMultiLvlLbl val="0"/>
      </c:catAx>
      <c:valAx>
        <c:axId val="125214720"/>
        <c:scaling>
          <c:orientation val="minMax"/>
          <c:min val="0"/>
        </c:scaling>
        <c:delete val="0"/>
        <c:axPos val="l"/>
        <c:majorGridlines/>
        <c:title>
          <c:tx>
            <c:rich>
              <a:bodyPr rot="-5400000" vert="horz"/>
              <a:lstStyle/>
              <a:p>
                <a:pPr>
                  <a:defRPr sz="1400"/>
                </a:pPr>
                <a:r>
                  <a:rPr lang="en-US" sz="1400"/>
                  <a:t>Annual shipments</a:t>
                </a:r>
              </a:p>
            </c:rich>
          </c:tx>
          <c:layout>
            <c:manualLayout>
              <c:xMode val="edge"/>
              <c:yMode val="edge"/>
              <c:x val="5.5104941984517476E-3"/>
              <c:y val="0.25582951509513407"/>
            </c:manualLayout>
          </c:layout>
          <c:overlay val="0"/>
        </c:title>
        <c:numFmt formatCode="_(* #,##0_);_(* \(#,##0\);_(* &quot;-&quot;??_);_(@_)" sourceLinked="1"/>
        <c:majorTickMark val="out"/>
        <c:minorTickMark val="none"/>
        <c:tickLblPos val="nextTo"/>
        <c:txPr>
          <a:bodyPr/>
          <a:lstStyle/>
          <a:p>
            <a:pPr>
              <a:defRPr sz="1100"/>
            </a:pPr>
            <a:endParaRPr lang="en-US"/>
          </a:p>
        </c:txPr>
        <c:crossAx val="125212544"/>
        <c:crosses val="autoZero"/>
        <c:crossBetween val="between"/>
        <c:minorUnit val="40000"/>
      </c:valAx>
    </c:plotArea>
    <c:legend>
      <c:legendPos val="t"/>
      <c:layout>
        <c:manualLayout>
          <c:xMode val="edge"/>
          <c:yMode val="edge"/>
          <c:x val="0.17928129305815713"/>
          <c:y val="7.9943114359348505E-2"/>
          <c:w val="0.22142727421019531"/>
          <c:h val="0.39017012222916386"/>
        </c:manualLayout>
      </c:layout>
      <c:overlay val="0"/>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Revenues -</a:t>
            </a:r>
            <a:r>
              <a:rPr lang="en-US" sz="1800" baseline="0"/>
              <a:t> 400GbE</a:t>
            </a:r>
            <a:endParaRPr lang="en-US" sz="1800"/>
          </a:p>
        </c:rich>
      </c:tx>
      <c:layout>
        <c:manualLayout>
          <c:xMode val="edge"/>
          <c:yMode val="edge"/>
          <c:x val="0.43019495956945963"/>
          <c:y val="1.9654892952795648E-2"/>
        </c:manualLayout>
      </c:layout>
      <c:overlay val="0"/>
    </c:title>
    <c:autoTitleDeleted val="0"/>
    <c:plotArea>
      <c:layout>
        <c:manualLayout>
          <c:layoutTarget val="inner"/>
          <c:xMode val="edge"/>
          <c:yMode val="edge"/>
          <c:x val="0.20444279026480644"/>
          <c:y val="0.179907098242029"/>
          <c:w val="0.75171705620569551"/>
          <c:h val="0.71429654830996703"/>
        </c:manualLayout>
      </c:layout>
      <c:areaChart>
        <c:grouping val="stacked"/>
        <c:varyColors val="0"/>
        <c:ser>
          <c:idx val="2"/>
          <c:order val="0"/>
          <c:tx>
            <c:strRef>
              <c:f>'Products x segment'!$B$213</c:f>
              <c:strCache>
                <c:ptCount val="1"/>
                <c:pt idx="0">
                  <c:v>Enterprise</c:v>
                </c:pt>
              </c:strCache>
            </c:strRef>
          </c:tx>
          <c:cat>
            <c:numRef>
              <c:f>'Products x segment'!$C$210:$N$210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segment'!$C$213:$N$213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BB5-E243-8099-DE6C6B4C6B71}"/>
            </c:ext>
          </c:extLst>
        </c:ser>
        <c:ser>
          <c:idx val="1"/>
          <c:order val="1"/>
          <c:tx>
            <c:strRef>
              <c:f>'Products x segment'!$B$211</c:f>
              <c:strCache>
                <c:ptCount val="1"/>
                <c:pt idx="0">
                  <c:v>Telecom</c:v>
                </c:pt>
              </c:strCache>
            </c:strRef>
          </c:tx>
          <c:cat>
            <c:numRef>
              <c:f>'Products x segment'!$C$210:$N$210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segment'!$C$211:$N$211</c:f>
              <c:numCache>
                <c:formatCode>_(* #,##0_);_(* \(#,##0\);_(* "-"??_);_(@_)</c:formatCode>
                <c:ptCount val="12"/>
                <c:pt idx="0">
                  <c:v>0</c:v>
                </c:pt>
                <c:pt idx="1">
                  <c:v>1.2669999999999999</c:v>
                </c:pt>
                <c:pt idx="2">
                  <c:v>7.2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BB5-E243-8099-DE6C6B4C6B71}"/>
            </c:ext>
          </c:extLst>
        </c:ser>
        <c:ser>
          <c:idx val="0"/>
          <c:order val="2"/>
          <c:tx>
            <c:strRef>
              <c:f>'Products x segment'!$B$212</c:f>
              <c:strCache>
                <c:ptCount val="1"/>
                <c:pt idx="0">
                  <c:v>Cloud</c:v>
                </c:pt>
              </c:strCache>
            </c:strRef>
          </c:tx>
          <c:cat>
            <c:numRef>
              <c:f>'Products x segment'!$C$210:$N$210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segment'!$C$212:$N$212</c:f>
              <c:numCache>
                <c:formatCode>_(* #,##0_);_(* \(#,##0\);_(* "-"??_);_(@_)</c:formatCode>
                <c:ptCount val="12"/>
                <c:pt idx="0">
                  <c:v>0</c:v>
                </c:pt>
                <c:pt idx="1">
                  <c:v>8.1299999999999997E-2</c:v>
                </c:pt>
                <c:pt idx="2">
                  <c:v>27.2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BB5-E243-8099-DE6C6B4C6B71}"/>
            </c:ext>
          </c:extLst>
        </c:ser>
        <c:dLbls>
          <c:showLegendKey val="0"/>
          <c:showVal val="0"/>
          <c:showCatName val="0"/>
          <c:showSerName val="0"/>
          <c:showPercent val="0"/>
          <c:showBubbleSize val="0"/>
        </c:dLbls>
        <c:axId val="137892608"/>
        <c:axId val="137894144"/>
      </c:areaChart>
      <c:catAx>
        <c:axId val="137892608"/>
        <c:scaling>
          <c:orientation val="minMax"/>
        </c:scaling>
        <c:delete val="0"/>
        <c:axPos val="b"/>
        <c:numFmt formatCode="General" sourceLinked="1"/>
        <c:majorTickMark val="out"/>
        <c:minorTickMark val="none"/>
        <c:tickLblPos val="nextTo"/>
        <c:txPr>
          <a:bodyPr/>
          <a:lstStyle/>
          <a:p>
            <a:pPr>
              <a:defRPr sz="1200"/>
            </a:pPr>
            <a:endParaRPr lang="en-US"/>
          </a:p>
        </c:txPr>
        <c:crossAx val="137894144"/>
        <c:crosses val="autoZero"/>
        <c:auto val="1"/>
        <c:lblAlgn val="ctr"/>
        <c:lblOffset val="100"/>
        <c:noMultiLvlLbl val="0"/>
      </c:catAx>
      <c:valAx>
        <c:axId val="137894144"/>
        <c:scaling>
          <c:orientation val="minMax"/>
        </c:scaling>
        <c:delete val="0"/>
        <c:axPos val="l"/>
        <c:majorGridlines/>
        <c:title>
          <c:tx>
            <c:rich>
              <a:bodyPr rot="-5400000" vert="horz"/>
              <a:lstStyle/>
              <a:p>
                <a:pPr>
                  <a:defRPr sz="1100"/>
                </a:pPr>
                <a:r>
                  <a:rPr lang="en-US" sz="1100"/>
                  <a:t>$ millions</a:t>
                </a:r>
              </a:p>
            </c:rich>
          </c:tx>
          <c:layout>
            <c:manualLayout>
              <c:xMode val="edge"/>
              <c:yMode val="edge"/>
              <c:x val="3.4913994885122798E-2"/>
              <c:y val="0.40368964126378498"/>
            </c:manualLayout>
          </c:layout>
          <c:overlay val="0"/>
        </c:title>
        <c:numFmt formatCode="&quot;$&quot;#,##0" sourceLinked="0"/>
        <c:majorTickMark val="out"/>
        <c:minorTickMark val="none"/>
        <c:tickLblPos val="nextTo"/>
        <c:txPr>
          <a:bodyPr/>
          <a:lstStyle/>
          <a:p>
            <a:pPr>
              <a:defRPr sz="1200"/>
            </a:pPr>
            <a:endParaRPr lang="en-US"/>
          </a:p>
        </c:txPr>
        <c:crossAx val="137892608"/>
        <c:crosses val="autoZero"/>
        <c:crossBetween val="midCat"/>
      </c:valAx>
    </c:plotArea>
    <c:legend>
      <c:legendPos val="t"/>
      <c:layout>
        <c:manualLayout>
          <c:xMode val="edge"/>
          <c:yMode val="edge"/>
          <c:x val="6.2104924770141498E-2"/>
          <c:y val="9.1844710472447702E-2"/>
          <c:w val="0.92800101729948903"/>
          <c:h val="6.7917025494946395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100/200/400 GbE</a:t>
            </a:r>
            <a:endParaRPr lang="en-US" sz="1800"/>
          </a:p>
        </c:rich>
      </c:tx>
      <c:layout>
        <c:manualLayout>
          <c:xMode val="edge"/>
          <c:yMode val="edge"/>
          <c:x val="0.30886906564090927"/>
          <c:y val="8.0947126735432945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segment'!$C$121:$N$121</c:f>
              <c:numCache>
                <c:formatCode>_(* #,##0_);_(* \(#,##0\);_(* "-"??_);_(@_)</c:formatCode>
                <c:ptCount val="12"/>
                <c:pt idx="0">
                  <c:v>919370</c:v>
                </c:pt>
                <c:pt idx="1">
                  <c:v>2881489.9999999995</c:v>
                </c:pt>
                <c:pt idx="2">
                  <c:v>6187018.7366946768</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A243-E347-BD98-F9AAD7913BAA}"/>
            </c:ext>
          </c:extLst>
        </c:ser>
        <c:ser>
          <c:idx val="1"/>
          <c:order val="1"/>
          <c:tx>
            <c:strRef>
              <c:f>'Products x segment'!$B$135</c:f>
              <c:strCache>
                <c:ptCount val="1"/>
                <c:pt idx="0">
                  <c:v>200G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segment'!$C$163:$N$163</c:f>
              <c:numCache>
                <c:formatCode>_(* #,##0_);_(* \(#,##0\);_(* "-"??_);_(@_)</c:formatCode>
                <c:ptCount val="12"/>
                <c:pt idx="0">
                  <c:v>0</c:v>
                </c:pt>
                <c:pt idx="1">
                  <c:v>0</c:v>
                </c:pt>
                <c:pt idx="2">
                  <c:v>38000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A243-E347-BD98-F9AAD7913BAA}"/>
            </c:ext>
          </c:extLst>
        </c:ser>
        <c:ser>
          <c:idx val="2"/>
          <c:order val="2"/>
          <c:tx>
            <c:strRef>
              <c:f>'Products x segment'!$B$177</c:f>
              <c:strCache>
                <c:ptCount val="1"/>
                <c:pt idx="0">
                  <c:v>400G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segment'!$C$205:$O$205</c:f>
              <c:numCache>
                <c:formatCode>_(* #,##0_);_(* \(#,##0\);_(* "-"??_);_(@_)</c:formatCode>
                <c:ptCount val="13"/>
                <c:pt idx="0">
                  <c:v>0</c:v>
                </c:pt>
                <c:pt idx="1">
                  <c:v>89</c:v>
                </c:pt>
                <c:pt idx="2">
                  <c:v>16000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A243-E347-BD98-F9AAD7913BAA}"/>
            </c:ext>
          </c:extLst>
        </c:ser>
        <c:dLbls>
          <c:showLegendKey val="0"/>
          <c:showVal val="0"/>
          <c:showCatName val="0"/>
          <c:showSerName val="0"/>
          <c:showPercent val="0"/>
          <c:showBubbleSize val="0"/>
        </c:dLbls>
        <c:marker val="1"/>
        <c:smooth val="0"/>
        <c:axId val="137926144"/>
        <c:axId val="137927680"/>
      </c:lineChart>
      <c:catAx>
        <c:axId val="137926144"/>
        <c:scaling>
          <c:orientation val="minMax"/>
        </c:scaling>
        <c:delete val="0"/>
        <c:axPos val="b"/>
        <c:numFmt formatCode="General" sourceLinked="1"/>
        <c:majorTickMark val="out"/>
        <c:minorTickMark val="none"/>
        <c:tickLblPos val="nextTo"/>
        <c:txPr>
          <a:bodyPr/>
          <a:lstStyle/>
          <a:p>
            <a:pPr>
              <a:defRPr sz="1200"/>
            </a:pPr>
            <a:endParaRPr lang="en-US"/>
          </a:p>
        </c:txPr>
        <c:crossAx val="137927680"/>
        <c:crosses val="autoZero"/>
        <c:auto val="1"/>
        <c:lblAlgn val="ctr"/>
        <c:lblOffset val="100"/>
        <c:noMultiLvlLbl val="0"/>
      </c:catAx>
      <c:valAx>
        <c:axId val="137927680"/>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37926144"/>
        <c:crosses val="autoZero"/>
        <c:crossBetween val="between"/>
      </c:valAx>
    </c:plotArea>
    <c:legend>
      <c:legendPos val="t"/>
      <c:layout>
        <c:manualLayout>
          <c:xMode val="edge"/>
          <c:yMode val="edge"/>
          <c:x val="0.27686376963660198"/>
          <c:y val="8.7706769225870604E-2"/>
          <c:w val="0.45966243087392611"/>
          <c:h val="7.9966471726109933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Cloud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segment'!$C$119:$M$119</c:f>
              <c:numCache>
                <c:formatCode>_(* #,##0_);_(* \(#,##0\);_(* "-"??_);_(@_)</c:formatCode>
                <c:ptCount val="11"/>
                <c:pt idx="0">
                  <c:v>672463.4</c:v>
                </c:pt>
                <c:pt idx="1">
                  <c:v>2603279.4</c:v>
                </c:pt>
                <c:pt idx="2">
                  <c:v>5563468.1455182061</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0-2FEF-4D4A-BEAD-A3B5A18C22F7}"/>
            </c:ext>
          </c:extLst>
        </c:ser>
        <c:ser>
          <c:idx val="1"/>
          <c:order val="1"/>
          <c:tx>
            <c:strRef>
              <c:f>'Products x segment'!$B$135</c:f>
              <c:strCache>
                <c:ptCount val="1"/>
                <c:pt idx="0">
                  <c:v>200G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segment'!$C$161:$M$161</c:f>
              <c:numCache>
                <c:formatCode>_(* #,##0_);_(* \(#,##0\);_(* "-"??_);_(@_)</c:formatCode>
                <c:ptCount val="11"/>
                <c:pt idx="0">
                  <c:v>0</c:v>
                </c:pt>
                <c:pt idx="1">
                  <c:v>0</c:v>
                </c:pt>
                <c:pt idx="2">
                  <c:v>38000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1-2FEF-4D4A-BEAD-A3B5A18C22F7}"/>
            </c:ext>
          </c:extLst>
        </c:ser>
        <c:ser>
          <c:idx val="2"/>
          <c:order val="2"/>
          <c:tx>
            <c:strRef>
              <c:f>'Products x segment'!$B$177</c:f>
              <c:strCache>
                <c:ptCount val="1"/>
                <c:pt idx="0">
                  <c:v>400G</c:v>
                </c:pt>
              </c:strCache>
            </c:strRef>
          </c:tx>
          <c:cat>
            <c:numRef>
              <c:f>'Products x segment'!$C$117:$M$117</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'Products x segment'!$C$203:$M$203</c:f>
              <c:numCache>
                <c:formatCode>_(* #,##0_);_(* \(#,##0\);_(* "-"??_);_(@_)</c:formatCode>
                <c:ptCount val="11"/>
                <c:pt idx="0">
                  <c:v>0</c:v>
                </c:pt>
                <c:pt idx="1">
                  <c:v>7</c:v>
                </c:pt>
                <c:pt idx="2">
                  <c:v>15100</c:v>
                </c:pt>
                <c:pt idx="3">
                  <c:v>0</c:v>
                </c:pt>
                <c:pt idx="4">
                  <c:v>0</c:v>
                </c:pt>
                <c:pt idx="5">
                  <c:v>0</c:v>
                </c:pt>
                <c:pt idx="6">
                  <c:v>0</c:v>
                </c:pt>
                <c:pt idx="7">
                  <c:v>0</c:v>
                </c:pt>
                <c:pt idx="8">
                  <c:v>0</c:v>
                </c:pt>
                <c:pt idx="9">
                  <c:v>0</c:v>
                </c:pt>
                <c:pt idx="10">
                  <c:v>0</c:v>
                </c:pt>
              </c:numCache>
            </c:numRef>
          </c:val>
          <c:smooth val="1"/>
          <c:extLst>
            <c:ext xmlns:c16="http://schemas.microsoft.com/office/drawing/2014/chart" uri="{C3380CC4-5D6E-409C-BE32-E72D297353CC}">
              <c16:uniqueId val="{00000002-2FEF-4D4A-BEAD-A3B5A18C22F7}"/>
            </c:ext>
          </c:extLst>
        </c:ser>
        <c:dLbls>
          <c:showLegendKey val="0"/>
          <c:showVal val="0"/>
          <c:showCatName val="0"/>
          <c:showSerName val="0"/>
          <c:showPercent val="0"/>
          <c:showBubbleSize val="0"/>
        </c:dLbls>
        <c:marker val="1"/>
        <c:smooth val="0"/>
        <c:axId val="138045312"/>
        <c:axId val="138046848"/>
      </c:lineChart>
      <c:catAx>
        <c:axId val="138045312"/>
        <c:scaling>
          <c:orientation val="minMax"/>
        </c:scaling>
        <c:delete val="0"/>
        <c:axPos val="b"/>
        <c:numFmt formatCode="General" sourceLinked="1"/>
        <c:majorTickMark val="out"/>
        <c:minorTickMark val="none"/>
        <c:tickLblPos val="nextTo"/>
        <c:txPr>
          <a:bodyPr/>
          <a:lstStyle/>
          <a:p>
            <a:pPr>
              <a:defRPr sz="1200"/>
            </a:pPr>
            <a:endParaRPr lang="en-US"/>
          </a:p>
        </c:txPr>
        <c:crossAx val="138046848"/>
        <c:crosses val="autoZero"/>
        <c:auto val="1"/>
        <c:lblAlgn val="ctr"/>
        <c:lblOffset val="100"/>
        <c:noMultiLvlLbl val="0"/>
      </c:catAx>
      <c:valAx>
        <c:axId val="138046848"/>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38045312"/>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Telecom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segment'!$C$118:$N$118</c:f>
              <c:numCache>
                <c:formatCode>_(* #,##0_);_(* \(#,##0\);_(* "-"??_);_(@_)</c:formatCode>
                <c:ptCount val="12"/>
                <c:pt idx="0">
                  <c:v>245415.4</c:v>
                </c:pt>
                <c:pt idx="1">
                  <c:v>271656.19999999995</c:v>
                </c:pt>
                <c:pt idx="2">
                  <c:v>285370.67529411765</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E6B6-DB48-91B4-25B39E001A43}"/>
            </c:ext>
          </c:extLst>
        </c:ser>
        <c:ser>
          <c:idx val="1"/>
          <c:order val="1"/>
          <c:tx>
            <c:strRef>
              <c:f>'Products x segment'!$B$135</c:f>
              <c:strCache>
                <c:ptCount val="1"/>
                <c:pt idx="0">
                  <c:v>200G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segment'!$C$160:$N$160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E6B6-DB48-91B4-25B39E001A43}"/>
            </c:ext>
          </c:extLst>
        </c:ser>
        <c:ser>
          <c:idx val="2"/>
          <c:order val="2"/>
          <c:tx>
            <c:strRef>
              <c:f>'Products x segment'!$B$177</c:f>
              <c:strCache>
                <c:ptCount val="1"/>
                <c:pt idx="0">
                  <c:v>400G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segment'!$C$202:$N$202</c:f>
              <c:numCache>
                <c:formatCode>_(* #,##0_);_(* \(#,##0\);_(* "-"??_);_(@_)</c:formatCode>
                <c:ptCount val="12"/>
                <c:pt idx="0">
                  <c:v>0</c:v>
                </c:pt>
                <c:pt idx="1">
                  <c:v>82</c:v>
                </c:pt>
                <c:pt idx="2">
                  <c:v>900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E6B6-DB48-91B4-25B39E001A43}"/>
            </c:ext>
          </c:extLst>
        </c:ser>
        <c:dLbls>
          <c:showLegendKey val="0"/>
          <c:showVal val="0"/>
          <c:showCatName val="0"/>
          <c:showSerName val="0"/>
          <c:showPercent val="0"/>
          <c:showBubbleSize val="0"/>
        </c:dLbls>
        <c:marker val="1"/>
        <c:smooth val="0"/>
        <c:axId val="138082944"/>
        <c:axId val="138158464"/>
      </c:lineChart>
      <c:catAx>
        <c:axId val="138082944"/>
        <c:scaling>
          <c:orientation val="minMax"/>
        </c:scaling>
        <c:delete val="0"/>
        <c:axPos val="b"/>
        <c:numFmt formatCode="General" sourceLinked="1"/>
        <c:majorTickMark val="out"/>
        <c:minorTickMark val="none"/>
        <c:tickLblPos val="nextTo"/>
        <c:txPr>
          <a:bodyPr/>
          <a:lstStyle/>
          <a:p>
            <a:pPr>
              <a:defRPr sz="1200"/>
            </a:pPr>
            <a:endParaRPr lang="en-US"/>
          </a:p>
        </c:txPr>
        <c:crossAx val="138158464"/>
        <c:crosses val="autoZero"/>
        <c:auto val="1"/>
        <c:lblAlgn val="ctr"/>
        <c:lblOffset val="100"/>
        <c:noMultiLvlLbl val="0"/>
      </c:catAx>
      <c:valAx>
        <c:axId val="138158464"/>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38082944"/>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Shipments -</a:t>
            </a:r>
            <a:r>
              <a:rPr lang="en-US" sz="1800" baseline="0"/>
              <a:t> total</a:t>
            </a:r>
            <a:endParaRPr lang="en-US" sz="1800"/>
          </a:p>
        </c:rich>
      </c:tx>
      <c:layout>
        <c:manualLayout>
          <c:xMode val="edge"/>
          <c:yMode val="edge"/>
          <c:x val="0.42572580790272901"/>
          <c:y val="4.3787403168780497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2"/>
          <c:order val="0"/>
          <c:tx>
            <c:strRef>
              <c:f>'Products x segment'!$B$34</c:f>
              <c:strCache>
                <c:ptCount val="1"/>
                <c:pt idx="0">
                  <c:v>Enterprise</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segment'!$C$34:$N$34</c:f>
              <c:numCache>
                <c:formatCode>_(* #,##0_);_(* \(#,##0\);_(* "-"??_);_(@_)</c:formatCode>
                <c:ptCount val="12"/>
                <c:pt idx="0">
                  <c:v>21287441.14376694</c:v>
                </c:pt>
                <c:pt idx="1">
                  <c:v>20863877.916871279</c:v>
                </c:pt>
                <c:pt idx="2">
                  <c:v>24290440.800063994</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6E67-A548-ADC5-7FEFD2D05852}"/>
            </c:ext>
          </c:extLst>
        </c:ser>
        <c:ser>
          <c:idx val="1"/>
          <c:order val="1"/>
          <c:tx>
            <c:strRef>
              <c:f>'Products x segment'!$B$32</c:f>
              <c:strCache>
                <c:ptCount val="1"/>
                <c:pt idx="0">
                  <c:v>Telecom</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segment'!$C$32:$N$32</c:f>
              <c:numCache>
                <c:formatCode>_(* #,##0_);_(* \(#,##0\);_(* "-"??_);_(@_)</c:formatCode>
                <c:ptCount val="12"/>
                <c:pt idx="0">
                  <c:v>4496664.3535132017</c:v>
                </c:pt>
                <c:pt idx="1">
                  <c:v>3902185.0984692555</c:v>
                </c:pt>
                <c:pt idx="2">
                  <c:v>5876521.6602941174</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6E67-A548-ADC5-7FEFD2D05852}"/>
            </c:ext>
          </c:extLst>
        </c:ser>
        <c:ser>
          <c:idx val="0"/>
          <c:order val="2"/>
          <c:tx>
            <c:strRef>
              <c:f>'Products x segment'!$B$33</c:f>
              <c:strCache>
                <c:ptCount val="1"/>
                <c:pt idx="0">
                  <c:v>Cloud</c:v>
                </c:pt>
              </c:strCache>
            </c:strRef>
          </c:tx>
          <c:cat>
            <c:numRef>
              <c:f>'Products x segment'!$C$31:$N$31</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segment'!$C$33:$N$33</c:f>
              <c:numCache>
                <c:formatCode>_(* #,##0_);_(* \(#,##0\);_(* "-"??_);_(@_)</c:formatCode>
                <c:ptCount val="12"/>
                <c:pt idx="0">
                  <c:v>10649308.537719864</c:v>
                </c:pt>
                <c:pt idx="1">
                  <c:v>13336049.134659462</c:v>
                </c:pt>
                <c:pt idx="2">
                  <c:v>15893347.87633656</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6E67-A548-ADC5-7FEFD2D05852}"/>
            </c:ext>
          </c:extLst>
        </c:ser>
        <c:dLbls>
          <c:showLegendKey val="0"/>
          <c:showVal val="0"/>
          <c:showCatName val="0"/>
          <c:showSerName val="0"/>
          <c:showPercent val="0"/>
          <c:showBubbleSize val="0"/>
        </c:dLbls>
        <c:marker val="1"/>
        <c:smooth val="0"/>
        <c:axId val="138182016"/>
        <c:axId val="138183808"/>
      </c:lineChart>
      <c:catAx>
        <c:axId val="138182016"/>
        <c:scaling>
          <c:orientation val="minMax"/>
        </c:scaling>
        <c:delete val="0"/>
        <c:axPos val="b"/>
        <c:numFmt formatCode="General" sourceLinked="1"/>
        <c:majorTickMark val="out"/>
        <c:minorTickMark val="none"/>
        <c:tickLblPos val="nextTo"/>
        <c:txPr>
          <a:bodyPr/>
          <a:lstStyle/>
          <a:p>
            <a:pPr>
              <a:defRPr sz="1200"/>
            </a:pPr>
            <a:endParaRPr lang="en-US"/>
          </a:p>
        </c:txPr>
        <c:crossAx val="138183808"/>
        <c:crosses val="autoZero"/>
        <c:auto val="1"/>
        <c:lblAlgn val="ctr"/>
        <c:lblOffset val="100"/>
        <c:noMultiLvlLbl val="0"/>
      </c:catAx>
      <c:valAx>
        <c:axId val="138183808"/>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38182016"/>
        <c:crosses val="autoZero"/>
        <c:crossBetween val="between"/>
      </c:valAx>
    </c:plotArea>
    <c:legend>
      <c:legendPos val="t"/>
      <c:layout>
        <c:manualLayout>
          <c:xMode val="edge"/>
          <c:yMode val="edge"/>
          <c:x val="0.27686376963660198"/>
          <c:y val="8.7706769225870604E-2"/>
          <c:w val="0.47483813579738138"/>
          <c:h val="7.9734622436342231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Enterprise  Shipments -</a:t>
            </a:r>
            <a:r>
              <a:rPr lang="en-US" sz="1800" baseline="0"/>
              <a:t> 100/200/400 GbE</a:t>
            </a:r>
            <a:endParaRPr lang="en-US" sz="1800"/>
          </a:p>
        </c:rich>
      </c:tx>
      <c:layout>
        <c:manualLayout>
          <c:xMode val="edge"/>
          <c:yMode val="edge"/>
          <c:x val="0.24209376496583904"/>
          <c:y val="8.0947126735432962E-3"/>
        </c:manualLayout>
      </c:layout>
      <c:overlay val="0"/>
    </c:title>
    <c:autoTitleDeleted val="0"/>
    <c:plotArea>
      <c:layout>
        <c:manualLayout>
          <c:layoutTarget val="inner"/>
          <c:xMode val="edge"/>
          <c:yMode val="edge"/>
          <c:x val="0.15769722241206299"/>
          <c:y val="0.18755123376963601"/>
          <c:w val="0.81089664617587098"/>
          <c:h val="0.70626007517230105"/>
        </c:manualLayout>
      </c:layout>
      <c:lineChart>
        <c:grouping val="standard"/>
        <c:varyColors val="0"/>
        <c:ser>
          <c:idx val="0"/>
          <c:order val="0"/>
          <c:tx>
            <c:strRef>
              <c:f>'Products x segment'!$B$93</c:f>
              <c:strCache>
                <c:ptCount val="1"/>
                <c:pt idx="0">
                  <c:v>100G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segment'!$C$120:$N$120</c:f>
              <c:numCache>
                <c:formatCode>_(* #,##0_);_(* \(#,##0\);_(* "-"??_);_(@_)</c:formatCode>
                <c:ptCount val="12"/>
                <c:pt idx="0">
                  <c:v>1491.1999999999996</c:v>
                </c:pt>
                <c:pt idx="1">
                  <c:v>6554.3999999999987</c:v>
                </c:pt>
                <c:pt idx="2">
                  <c:v>338179.91588235291</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0-3E9E-2A41-A048-1BB4A3C2CCD0}"/>
            </c:ext>
          </c:extLst>
        </c:ser>
        <c:ser>
          <c:idx val="1"/>
          <c:order val="1"/>
          <c:tx>
            <c:strRef>
              <c:f>'Products x segment'!$B$135</c:f>
              <c:strCache>
                <c:ptCount val="1"/>
                <c:pt idx="0">
                  <c:v>200G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segment'!$C$162:$O$162</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1-3E9E-2A41-A048-1BB4A3C2CCD0}"/>
            </c:ext>
          </c:extLst>
        </c:ser>
        <c:ser>
          <c:idx val="2"/>
          <c:order val="2"/>
          <c:tx>
            <c:strRef>
              <c:f>'Products x segment'!$B$177</c:f>
              <c:strCache>
                <c:ptCount val="1"/>
                <c:pt idx="0">
                  <c:v>400G</c:v>
                </c:pt>
              </c:strCache>
            </c:strRef>
          </c:tx>
          <c:cat>
            <c:numRef>
              <c:f>'Products x segment'!$C$117:$N$117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'Products x segment'!$C$204:$O$204</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numCache>
            </c:numRef>
          </c:val>
          <c:smooth val="1"/>
          <c:extLst>
            <c:ext xmlns:c16="http://schemas.microsoft.com/office/drawing/2014/chart" uri="{C3380CC4-5D6E-409C-BE32-E72D297353CC}">
              <c16:uniqueId val="{00000002-3E9E-2A41-A048-1BB4A3C2CCD0}"/>
            </c:ext>
          </c:extLst>
        </c:ser>
        <c:dLbls>
          <c:showLegendKey val="0"/>
          <c:showVal val="0"/>
          <c:showCatName val="0"/>
          <c:showSerName val="0"/>
          <c:showPercent val="0"/>
          <c:showBubbleSize val="0"/>
        </c:dLbls>
        <c:marker val="1"/>
        <c:smooth val="0"/>
        <c:axId val="138235904"/>
        <c:axId val="138237440"/>
      </c:lineChart>
      <c:catAx>
        <c:axId val="138235904"/>
        <c:scaling>
          <c:orientation val="minMax"/>
        </c:scaling>
        <c:delete val="0"/>
        <c:axPos val="b"/>
        <c:numFmt formatCode="General" sourceLinked="1"/>
        <c:majorTickMark val="out"/>
        <c:minorTickMark val="none"/>
        <c:tickLblPos val="nextTo"/>
        <c:txPr>
          <a:bodyPr/>
          <a:lstStyle/>
          <a:p>
            <a:pPr>
              <a:defRPr sz="1200"/>
            </a:pPr>
            <a:endParaRPr lang="en-US"/>
          </a:p>
        </c:txPr>
        <c:crossAx val="138237440"/>
        <c:crosses val="autoZero"/>
        <c:auto val="1"/>
        <c:lblAlgn val="ctr"/>
        <c:lblOffset val="100"/>
        <c:noMultiLvlLbl val="0"/>
      </c:catAx>
      <c:valAx>
        <c:axId val="138237440"/>
        <c:scaling>
          <c:orientation val="minMax"/>
          <c:min val="0"/>
        </c:scaling>
        <c:delete val="0"/>
        <c:axPos val="l"/>
        <c:majorGridlines/>
        <c:numFmt formatCode="_(* #,##0_);_(* \(#,##0\);_(* &quot;-&quot;_);_(@_)" sourceLinked="0"/>
        <c:majorTickMark val="out"/>
        <c:minorTickMark val="none"/>
        <c:tickLblPos val="nextTo"/>
        <c:txPr>
          <a:bodyPr/>
          <a:lstStyle/>
          <a:p>
            <a:pPr>
              <a:defRPr sz="1200"/>
            </a:pPr>
            <a:endParaRPr lang="en-US"/>
          </a:p>
        </c:txPr>
        <c:crossAx val="138235904"/>
        <c:crosses val="autoZero"/>
        <c:crossBetween val="between"/>
      </c:valAx>
    </c:plotArea>
    <c:legend>
      <c:legendPos val="t"/>
      <c:layout>
        <c:manualLayout>
          <c:xMode val="edge"/>
          <c:yMode val="edge"/>
          <c:x val="0.27686376963660198"/>
          <c:y val="8.7706769225870604E-2"/>
          <c:w val="0.45610991810386187"/>
          <c:h val="8.5166676761283949E-2"/>
        </c:manualLayout>
      </c:layout>
      <c:overlay val="0"/>
      <c:txPr>
        <a:bodyPr/>
        <a:lstStyle/>
        <a:p>
          <a:pPr>
            <a:defRPr sz="1400"/>
          </a:pPr>
          <a:endParaRPr lang="en-US"/>
        </a:p>
      </c:txPr>
    </c:legend>
    <c:plotVisOnly val="1"/>
    <c:dispBlanksAs val="gap"/>
    <c:showDLblsOverMax val="0"/>
  </c:chart>
  <c:spPr>
    <a:ln>
      <a:noFill/>
    </a:ln>
  </c:spPr>
  <c:txPr>
    <a:bodyPr/>
    <a:lstStyle/>
    <a:p>
      <a:pPr>
        <a:defRPr sz="1000"/>
      </a:pPr>
      <a:endParaRPr lang="en-US"/>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c:rich>
      </c:tx>
      <c:layout>
        <c:manualLayout>
          <c:xMode val="edge"/>
          <c:yMode val="edge"/>
          <c:x val="0.14590627930384811"/>
          <c:y val="0"/>
        </c:manualLayout>
      </c:layout>
      <c:overlay val="0"/>
    </c:title>
    <c:autoTitleDeleted val="0"/>
    <c:plotArea>
      <c:layout>
        <c:manualLayout>
          <c:layoutTarget val="inner"/>
          <c:xMode val="edge"/>
          <c:yMode val="edge"/>
          <c:x val="0.17712278151050853"/>
          <c:y val="0.20151672418671743"/>
          <c:w val="0.79045393169763201"/>
          <c:h val="0.70245151616369494"/>
        </c:manualLayout>
      </c:layout>
      <c:barChart>
        <c:barDir val="col"/>
        <c:grouping val="stacked"/>
        <c:varyColors val="0"/>
        <c:ser>
          <c:idx val="0"/>
          <c:order val="0"/>
          <c:tx>
            <c:strRef>
              <c:f>'Segment dashbd'!$D$29</c:f>
              <c:strCache>
                <c:ptCount val="1"/>
                <c:pt idx="0">
                  <c:v>Telecom</c:v>
                </c:pt>
              </c:strCache>
            </c:strRef>
          </c:tx>
          <c:invertIfNegative val="0"/>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dashbd'!$E$29:$P$29</c:f>
              <c:numCache>
                <c:formatCode>_(* #,##0_);_(* \(#,##0\);_(* "-"??_);_(@_)</c:formatCode>
                <c:ptCount val="12"/>
                <c:pt idx="0">
                  <c:v>4496664.3535132017</c:v>
                </c:pt>
                <c:pt idx="1">
                  <c:v>3902185.0984692555</c:v>
                </c:pt>
                <c:pt idx="2">
                  <c:v>5876521.6602941174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DE4-8746-9382-336A4B323254}"/>
            </c:ext>
          </c:extLst>
        </c:ser>
        <c:ser>
          <c:idx val="1"/>
          <c:order val="1"/>
          <c:tx>
            <c:strRef>
              <c:f>'Segment dashbd'!$D$30</c:f>
              <c:strCache>
                <c:ptCount val="1"/>
                <c:pt idx="0">
                  <c:v>Cloud</c:v>
                </c:pt>
              </c:strCache>
            </c:strRef>
          </c:tx>
          <c:invertIfNegative val="0"/>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dashbd'!$E$30:$P$30</c:f>
              <c:numCache>
                <c:formatCode>_(* #,##0_);_(* \(#,##0\);_(* "-"??_);_(@_)</c:formatCode>
                <c:ptCount val="12"/>
                <c:pt idx="0">
                  <c:v>10649308.537719864</c:v>
                </c:pt>
                <c:pt idx="1">
                  <c:v>13336049.134659462</c:v>
                </c:pt>
                <c:pt idx="2">
                  <c:v>15893347.87633656</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DE4-8746-9382-336A4B323254}"/>
            </c:ext>
          </c:extLst>
        </c:ser>
        <c:ser>
          <c:idx val="2"/>
          <c:order val="2"/>
          <c:tx>
            <c:strRef>
              <c:f>'Segment dashbd'!$D$31</c:f>
              <c:strCache>
                <c:ptCount val="1"/>
                <c:pt idx="0">
                  <c:v>Enterprise</c:v>
                </c:pt>
              </c:strCache>
            </c:strRef>
          </c:tx>
          <c:spPr>
            <a:ln>
              <a:prstDash val="solid"/>
            </a:ln>
          </c:spPr>
          <c:invertIfNegative val="0"/>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dashbd'!$E$31:$P$31</c:f>
              <c:numCache>
                <c:formatCode>_(* #,##0_);_(* \(#,##0\);_(* "-"??_);_(@_)</c:formatCode>
                <c:ptCount val="12"/>
                <c:pt idx="0">
                  <c:v>21287441.14376694</c:v>
                </c:pt>
                <c:pt idx="1">
                  <c:v>20863877.916871279</c:v>
                </c:pt>
                <c:pt idx="2">
                  <c:v>24290440.800063994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DE4-8746-9382-336A4B323254}"/>
            </c:ext>
          </c:extLst>
        </c:ser>
        <c:dLbls>
          <c:showLegendKey val="0"/>
          <c:showVal val="0"/>
          <c:showCatName val="0"/>
          <c:showSerName val="0"/>
          <c:showPercent val="0"/>
          <c:showBubbleSize val="0"/>
        </c:dLbls>
        <c:gapWidth val="150"/>
        <c:overlap val="100"/>
        <c:axId val="70669056"/>
        <c:axId val="70670592"/>
      </c:barChart>
      <c:catAx>
        <c:axId val="70669056"/>
        <c:scaling>
          <c:orientation val="minMax"/>
        </c:scaling>
        <c:delete val="0"/>
        <c:axPos val="b"/>
        <c:numFmt formatCode="General" sourceLinked="1"/>
        <c:majorTickMark val="out"/>
        <c:minorTickMark val="none"/>
        <c:tickLblPos val="nextTo"/>
        <c:crossAx val="70670592"/>
        <c:crosses val="autoZero"/>
        <c:auto val="1"/>
        <c:lblAlgn val="ctr"/>
        <c:lblOffset val="100"/>
        <c:noMultiLvlLbl val="0"/>
      </c:catAx>
      <c:valAx>
        <c:axId val="70670592"/>
        <c:scaling>
          <c:orientation val="minMax"/>
        </c:scaling>
        <c:delete val="0"/>
        <c:axPos val="l"/>
        <c:majorGridlines/>
        <c:numFmt formatCode="_(* #,##0_);_(* \(#,##0\);_(* &quot;-&quot;??_);_(@_)" sourceLinked="1"/>
        <c:majorTickMark val="out"/>
        <c:minorTickMark val="none"/>
        <c:tickLblPos val="nextTo"/>
        <c:crossAx val="70669056"/>
        <c:crosses val="autoZero"/>
        <c:crossBetween val="between"/>
      </c:valAx>
    </c:plotArea>
    <c:legend>
      <c:legendPos val="t"/>
      <c:layout>
        <c:manualLayout>
          <c:xMode val="edge"/>
          <c:yMode val="edge"/>
          <c:x val="0.22768382410258001"/>
          <c:y val="0.12438275103306"/>
          <c:w val="0.51474038760639196"/>
          <c:h val="8.57760543179716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c:rich>
      </c:tx>
      <c:layout>
        <c:manualLayout>
          <c:xMode val="edge"/>
          <c:yMode val="edge"/>
          <c:x val="0.18270684135407197"/>
          <c:y val="1.6733909752838835E-2"/>
        </c:manualLayout>
      </c:layout>
      <c:overlay val="0"/>
    </c:title>
    <c:autoTitleDeleted val="0"/>
    <c:plotArea>
      <c:layout>
        <c:manualLayout>
          <c:layoutTarget val="inner"/>
          <c:xMode val="edge"/>
          <c:yMode val="edge"/>
          <c:x val="0.12412000232621299"/>
          <c:y val="0.200644653076478"/>
          <c:w val="0.81231907908617496"/>
          <c:h val="0.71908853436156694"/>
        </c:manualLayout>
      </c:layout>
      <c:lineChart>
        <c:grouping val="standard"/>
        <c:varyColors val="0"/>
        <c:ser>
          <c:idx val="0"/>
          <c:order val="0"/>
          <c:tx>
            <c:strRef>
              <c:f>'Segment dashbd'!$D$32</c:f>
              <c:strCache>
                <c:ptCount val="1"/>
                <c:pt idx="0">
                  <c:v>Telecom</c:v>
                </c:pt>
              </c:strCache>
            </c:strRef>
          </c:tx>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dashbd'!$E$32:$P$32</c:f>
              <c:numCache>
                <c:formatCode>_("$"* #,##0_);_("$"* \(#,##0\);_("$"* "-"??_);_(@_)</c:formatCode>
                <c:ptCount val="12"/>
                <c:pt idx="0">
                  <c:v>215.928687643648</c:v>
                </c:pt>
                <c:pt idx="1">
                  <c:v>176.04828654569386</c:v>
                </c:pt>
                <c:pt idx="2">
                  <c:v>87.715660045600544</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2154-0448-A77A-0A2A783CF554}"/>
            </c:ext>
          </c:extLst>
        </c:ser>
        <c:ser>
          <c:idx val="3"/>
          <c:order val="1"/>
          <c:tx>
            <c:strRef>
              <c:f>'Segment dashbd'!$D$33</c:f>
              <c:strCache>
                <c:ptCount val="1"/>
                <c:pt idx="0">
                  <c:v>Cloud</c:v>
                </c:pt>
              </c:strCache>
            </c:strRef>
          </c:tx>
          <c:spPr>
            <a:ln>
              <a:solidFill>
                <a:schemeClr val="accent2"/>
              </a:solidFill>
              <a:prstDash val="solid"/>
            </a:ln>
          </c:spPr>
          <c:marker>
            <c:symbol val="circle"/>
            <c:size val="7"/>
            <c:spPr>
              <a:noFill/>
            </c:spPr>
          </c:marker>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dashbd'!$E$33:$P$33</c:f>
              <c:numCache>
                <c:formatCode>_("$"* #,##0_);_("$"* \(#,##0\);_("$"* "-"??_);_(@_)</c:formatCode>
                <c:ptCount val="12"/>
                <c:pt idx="0">
                  <c:v>104.97249875787344</c:v>
                </c:pt>
                <c:pt idx="1">
                  <c:v>143.06916178965082</c:v>
                </c:pt>
                <c:pt idx="2">
                  <c:v>143.76400920977201</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2154-0448-A77A-0A2A783CF554}"/>
            </c:ext>
          </c:extLst>
        </c:ser>
        <c:ser>
          <c:idx val="1"/>
          <c:order val="2"/>
          <c:tx>
            <c:strRef>
              <c:f>'Segment dashbd'!$D$34</c:f>
              <c:strCache>
                <c:ptCount val="1"/>
                <c:pt idx="0">
                  <c:v>Enterprise</c:v>
                </c:pt>
              </c:strCache>
            </c:strRef>
          </c:tx>
          <c:spPr>
            <a:ln>
              <a:solidFill>
                <a:schemeClr val="accent3">
                  <a:shade val="95000"/>
                  <a:satMod val="105000"/>
                </a:schemeClr>
              </a:solidFill>
            </a:ln>
          </c:spPr>
          <c:marker>
            <c:symbol val="none"/>
          </c:marker>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dashbd'!$E$34:$P$34</c:f>
              <c:numCache>
                <c:formatCode>_("$"* #,##0_);_("$"* \(#,##0\);_("$"* "-"??_);_(@_)</c:formatCode>
                <c:ptCount val="12"/>
                <c:pt idx="0">
                  <c:v>28.127948480290783</c:v>
                </c:pt>
                <c:pt idx="1">
                  <c:v>27.960426281351427</c:v>
                </c:pt>
                <c:pt idx="2">
                  <c:v>24.193185540677987</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154-0448-A77A-0A2A783CF554}"/>
            </c:ext>
          </c:extLst>
        </c:ser>
        <c:dLbls>
          <c:showLegendKey val="0"/>
          <c:showVal val="0"/>
          <c:showCatName val="0"/>
          <c:showSerName val="0"/>
          <c:showPercent val="0"/>
          <c:showBubbleSize val="0"/>
        </c:dLbls>
        <c:marker val="1"/>
        <c:smooth val="0"/>
        <c:axId val="137566080"/>
        <c:axId val="137567616"/>
      </c:lineChart>
      <c:catAx>
        <c:axId val="137566080"/>
        <c:scaling>
          <c:orientation val="minMax"/>
        </c:scaling>
        <c:delete val="0"/>
        <c:axPos val="b"/>
        <c:numFmt formatCode="General" sourceLinked="1"/>
        <c:majorTickMark val="out"/>
        <c:minorTickMark val="none"/>
        <c:tickLblPos val="nextTo"/>
        <c:crossAx val="137567616"/>
        <c:crosses val="autoZero"/>
        <c:auto val="1"/>
        <c:lblAlgn val="ctr"/>
        <c:lblOffset val="100"/>
        <c:noMultiLvlLbl val="0"/>
      </c:catAx>
      <c:valAx>
        <c:axId val="137567616"/>
        <c:scaling>
          <c:orientation val="minMax"/>
          <c:min val="0"/>
        </c:scaling>
        <c:delete val="0"/>
        <c:axPos val="l"/>
        <c:majorGridlines/>
        <c:numFmt formatCode="_(&quot;$&quot;* #,##0_);_(&quot;$&quot;* \(#,##0\);_(&quot;$&quot;* &quot;-&quot;??_);_(@_)" sourceLinked="1"/>
        <c:majorTickMark val="out"/>
        <c:minorTickMark val="none"/>
        <c:tickLblPos val="nextTo"/>
        <c:crossAx val="137566080"/>
        <c:crosses val="autoZero"/>
        <c:crossBetween val="between"/>
      </c:valAx>
    </c:plotArea>
    <c:legend>
      <c:legendPos val="t"/>
      <c:layout>
        <c:manualLayout>
          <c:xMode val="edge"/>
          <c:yMode val="edge"/>
          <c:x val="0.13352181165149901"/>
          <c:y val="0.12072227220067"/>
          <c:w val="0.74399625893939003"/>
          <c:h val="7.0693588469261395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c:rich>
      </c:tx>
      <c:layout>
        <c:manualLayout>
          <c:xMode val="edge"/>
          <c:yMode val="edge"/>
          <c:x val="9.7962290511595607E-2"/>
          <c:y val="1.2556049082617499E-2"/>
        </c:manualLayout>
      </c:layout>
      <c:overlay val="0"/>
    </c:title>
    <c:autoTitleDeleted val="0"/>
    <c:plotArea>
      <c:layout>
        <c:manualLayout>
          <c:layoutTarget val="inner"/>
          <c:xMode val="edge"/>
          <c:yMode val="edge"/>
          <c:x val="0.117818876028108"/>
          <c:y val="0.20350334990008201"/>
          <c:w val="0.82498461219682695"/>
          <c:h val="0.696675418213896"/>
        </c:manualLayout>
      </c:layout>
      <c:barChart>
        <c:barDir val="col"/>
        <c:grouping val="stacked"/>
        <c:varyColors val="0"/>
        <c:ser>
          <c:idx val="0"/>
          <c:order val="0"/>
          <c:tx>
            <c:strRef>
              <c:f>'Segment dashbd'!$D$35</c:f>
              <c:strCache>
                <c:ptCount val="1"/>
                <c:pt idx="0">
                  <c:v>Telecom</c:v>
                </c:pt>
              </c:strCache>
            </c:strRef>
          </c:tx>
          <c:spPr>
            <a:solidFill>
              <a:schemeClr val="accent1"/>
            </a:solidFill>
            <a:ln>
              <a:solidFill>
                <a:schemeClr val="accent1"/>
              </a:solidFill>
            </a:ln>
          </c:spPr>
          <c:invertIfNegative val="0"/>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dashbd'!$E$35:$P$35</c:f>
              <c:numCache>
                <c:formatCode>_("$"* #,##0_);_("$"* \(#,##0\);_("$"* "-"??_);_(@_)</c:formatCode>
                <c:ptCount val="12"/>
                <c:pt idx="0">
                  <c:v>970.95883262807854</c:v>
                </c:pt>
                <c:pt idx="1">
                  <c:v>686.97300036965203</c:v>
                </c:pt>
                <c:pt idx="2">
                  <c:v>515.46297620496682</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C9D-6441-9F1E-7323C098D936}"/>
            </c:ext>
          </c:extLst>
        </c:ser>
        <c:ser>
          <c:idx val="3"/>
          <c:order val="1"/>
          <c:tx>
            <c:strRef>
              <c:f>'Segment dashbd'!$D$36</c:f>
              <c:strCache>
                <c:ptCount val="1"/>
                <c:pt idx="0">
                  <c:v>Cloud</c:v>
                </c:pt>
              </c:strCache>
            </c:strRef>
          </c:tx>
          <c:spPr>
            <a:solidFill>
              <a:schemeClr val="accent2"/>
            </a:solidFill>
            <a:ln>
              <a:solidFill>
                <a:schemeClr val="accent2"/>
              </a:solidFill>
              <a:prstDash val="solid"/>
            </a:ln>
          </c:spPr>
          <c:invertIfNegative val="0"/>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dashbd'!$E$36:$P$36</c:f>
              <c:numCache>
                <c:formatCode>_("$"* #,##0_);_("$"* \(#,##0\);_("$"* "-"??_);_(@_)</c:formatCode>
                <c:ptCount val="12"/>
                <c:pt idx="0">
                  <c:v>1117.8845272480094</c:v>
                </c:pt>
                <c:pt idx="1">
                  <c:v>1907.9773712813274</c:v>
                </c:pt>
                <c:pt idx="2">
                  <c:v>2284.8914104677597</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C9D-6441-9F1E-7323C098D936}"/>
            </c:ext>
          </c:extLst>
        </c:ser>
        <c:ser>
          <c:idx val="1"/>
          <c:order val="2"/>
          <c:tx>
            <c:strRef>
              <c:f>'Segment dashbd'!$D$37</c:f>
              <c:strCache>
                <c:ptCount val="1"/>
                <c:pt idx="0">
                  <c:v>Enterprise</c:v>
                </c:pt>
              </c:strCache>
            </c:strRef>
          </c:tx>
          <c:spPr>
            <a:solidFill>
              <a:schemeClr val="accent3"/>
            </a:solidFill>
            <a:ln>
              <a:solidFill>
                <a:schemeClr val="accent3"/>
              </a:solidFill>
            </a:ln>
          </c:spPr>
          <c:invertIfNegative val="0"/>
          <c:cat>
            <c:numRef>
              <c:f>'Segment dashbd'!$E$28:$P$28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'Segment dashbd'!$E$37:$P$37</c:f>
              <c:numCache>
                <c:formatCode>_("$"* #,##0_);_("$"* \(#,##0\);_("$"* "-"??_);_(@_)</c:formatCode>
                <c:ptCount val="12"/>
                <c:pt idx="0">
                  <c:v>598.77204776909878</c:v>
                </c:pt>
                <c:pt idx="1">
                  <c:v>583.36292043779542</c:v>
                </c:pt>
                <c:pt idx="2">
                  <c:v>587.66314114080285</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C9D-6441-9F1E-7323C098D936}"/>
            </c:ext>
          </c:extLst>
        </c:ser>
        <c:dLbls>
          <c:showLegendKey val="0"/>
          <c:showVal val="0"/>
          <c:showCatName val="0"/>
          <c:showSerName val="0"/>
          <c:showPercent val="0"/>
          <c:showBubbleSize val="0"/>
        </c:dLbls>
        <c:gapWidth val="150"/>
        <c:overlap val="100"/>
        <c:axId val="137599616"/>
        <c:axId val="137613696"/>
      </c:barChart>
      <c:catAx>
        <c:axId val="137599616"/>
        <c:scaling>
          <c:orientation val="minMax"/>
        </c:scaling>
        <c:delete val="0"/>
        <c:axPos val="b"/>
        <c:numFmt formatCode="General" sourceLinked="1"/>
        <c:majorTickMark val="out"/>
        <c:minorTickMark val="none"/>
        <c:tickLblPos val="nextTo"/>
        <c:crossAx val="137613696"/>
        <c:crosses val="autoZero"/>
        <c:auto val="1"/>
        <c:lblAlgn val="ctr"/>
        <c:lblOffset val="100"/>
        <c:noMultiLvlLbl val="0"/>
      </c:catAx>
      <c:valAx>
        <c:axId val="137613696"/>
        <c:scaling>
          <c:orientation val="minMax"/>
        </c:scaling>
        <c:delete val="0"/>
        <c:axPos val="l"/>
        <c:majorGridlines/>
        <c:numFmt formatCode="&quot;$&quot;#,##0" sourceLinked="0"/>
        <c:majorTickMark val="out"/>
        <c:minorTickMark val="none"/>
        <c:tickLblPos val="nextTo"/>
        <c:crossAx val="137599616"/>
        <c:crosses val="autoZero"/>
        <c:crossBetween val="between"/>
      </c:valAx>
    </c:plotArea>
    <c:legend>
      <c:legendPos val="t"/>
      <c:layout>
        <c:manualLayout>
          <c:xMode val="edge"/>
          <c:yMode val="edge"/>
          <c:x val="0.25419338900863514"/>
          <c:y val="0.12415827481806081"/>
          <c:w val="0.58828691260930199"/>
          <c:h val="8.581449871045089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chart" Target="../charts/chart82.xml"/><Relationship Id="rId13" Type="http://schemas.openxmlformats.org/officeDocument/2006/relationships/chart" Target="../charts/chart87.xml"/><Relationship Id="rId18" Type="http://schemas.openxmlformats.org/officeDocument/2006/relationships/chart" Target="../charts/chart92.xml"/><Relationship Id="rId3" Type="http://schemas.openxmlformats.org/officeDocument/2006/relationships/chart" Target="../charts/chart77.xml"/><Relationship Id="rId21" Type="http://schemas.openxmlformats.org/officeDocument/2006/relationships/chart" Target="../charts/chart95.xml"/><Relationship Id="rId7" Type="http://schemas.openxmlformats.org/officeDocument/2006/relationships/chart" Target="../charts/chart81.xml"/><Relationship Id="rId12" Type="http://schemas.openxmlformats.org/officeDocument/2006/relationships/chart" Target="../charts/chart86.xml"/><Relationship Id="rId17" Type="http://schemas.openxmlformats.org/officeDocument/2006/relationships/chart" Target="../charts/chart91.xml"/><Relationship Id="rId2" Type="http://schemas.openxmlformats.org/officeDocument/2006/relationships/chart" Target="../charts/chart76.xml"/><Relationship Id="rId16" Type="http://schemas.openxmlformats.org/officeDocument/2006/relationships/chart" Target="../charts/chart90.xml"/><Relationship Id="rId20" Type="http://schemas.openxmlformats.org/officeDocument/2006/relationships/chart" Target="../charts/chart94.xml"/><Relationship Id="rId1" Type="http://schemas.openxmlformats.org/officeDocument/2006/relationships/chart" Target="../charts/chart75.xml"/><Relationship Id="rId6" Type="http://schemas.openxmlformats.org/officeDocument/2006/relationships/chart" Target="../charts/chart80.xml"/><Relationship Id="rId11" Type="http://schemas.openxmlformats.org/officeDocument/2006/relationships/chart" Target="../charts/chart85.xml"/><Relationship Id="rId5" Type="http://schemas.openxmlformats.org/officeDocument/2006/relationships/chart" Target="../charts/chart79.xml"/><Relationship Id="rId15" Type="http://schemas.openxmlformats.org/officeDocument/2006/relationships/chart" Target="../charts/chart89.xml"/><Relationship Id="rId10" Type="http://schemas.openxmlformats.org/officeDocument/2006/relationships/chart" Target="../charts/chart84.xml"/><Relationship Id="rId19" Type="http://schemas.openxmlformats.org/officeDocument/2006/relationships/chart" Target="../charts/chart93.xml"/><Relationship Id="rId4" Type="http://schemas.openxmlformats.org/officeDocument/2006/relationships/chart" Target="../charts/chart78.xml"/><Relationship Id="rId9" Type="http://schemas.openxmlformats.org/officeDocument/2006/relationships/chart" Target="../charts/chart83.xml"/><Relationship Id="rId14" Type="http://schemas.openxmlformats.org/officeDocument/2006/relationships/chart" Target="../charts/chart88.xml"/><Relationship Id="rId22"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0.xml"/><Relationship Id="rId21" Type="http://schemas.openxmlformats.org/officeDocument/2006/relationships/chart" Target="../charts/chart23.xml"/><Relationship Id="rId34" Type="http://schemas.openxmlformats.org/officeDocument/2006/relationships/chart" Target="../charts/chart36.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55" Type="http://schemas.openxmlformats.org/officeDocument/2006/relationships/chart" Target="../charts/chart56.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9" Type="http://schemas.openxmlformats.org/officeDocument/2006/relationships/chart" Target="../charts/chart31.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4.xml"/><Relationship Id="rId37" Type="http://schemas.openxmlformats.org/officeDocument/2006/relationships/chart" Target="../charts/chart39.xml"/><Relationship Id="rId40" Type="http://schemas.openxmlformats.org/officeDocument/2006/relationships/chart" Target="../charts/chart41.xml"/><Relationship Id="rId45" Type="http://schemas.openxmlformats.org/officeDocument/2006/relationships/chart" Target="../charts/chart46.xml"/><Relationship Id="rId53" Type="http://schemas.openxmlformats.org/officeDocument/2006/relationships/chart" Target="../charts/chart54.xml"/><Relationship Id="rId58" Type="http://schemas.openxmlformats.org/officeDocument/2006/relationships/chart" Target="../charts/chart59.xml"/><Relationship Id="rId5" Type="http://schemas.openxmlformats.org/officeDocument/2006/relationships/chart" Target="../charts/chart7.xml"/><Relationship Id="rId61" Type="http://schemas.openxmlformats.org/officeDocument/2006/relationships/chart" Target="../charts/chart62.xml"/><Relationship Id="rId19" Type="http://schemas.openxmlformats.org/officeDocument/2006/relationships/chart" Target="../charts/chart2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 Id="rId35" Type="http://schemas.openxmlformats.org/officeDocument/2006/relationships/chart" Target="../charts/chart37.xml"/><Relationship Id="rId43" Type="http://schemas.openxmlformats.org/officeDocument/2006/relationships/chart" Target="../charts/chart44.xml"/><Relationship Id="rId48" Type="http://schemas.openxmlformats.org/officeDocument/2006/relationships/chart" Target="../charts/chart49.xml"/><Relationship Id="rId56" Type="http://schemas.openxmlformats.org/officeDocument/2006/relationships/chart" Target="../charts/chart57.xml"/><Relationship Id="rId8" Type="http://schemas.openxmlformats.org/officeDocument/2006/relationships/chart" Target="../charts/chart10.xml"/><Relationship Id="rId51" Type="http://schemas.openxmlformats.org/officeDocument/2006/relationships/chart" Target="../charts/chart52.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5.xml"/><Relationship Id="rId38" Type="http://schemas.openxmlformats.org/officeDocument/2006/relationships/image" Target="../media/image1.png"/><Relationship Id="rId46" Type="http://schemas.openxmlformats.org/officeDocument/2006/relationships/chart" Target="../charts/chart47.xml"/><Relationship Id="rId59" Type="http://schemas.openxmlformats.org/officeDocument/2006/relationships/chart" Target="../charts/chart60.xml"/><Relationship Id="rId20" Type="http://schemas.openxmlformats.org/officeDocument/2006/relationships/chart" Target="../charts/chart22.xml"/><Relationship Id="rId41" Type="http://schemas.openxmlformats.org/officeDocument/2006/relationships/chart" Target="../charts/chart42.xml"/><Relationship Id="rId54" Type="http://schemas.openxmlformats.org/officeDocument/2006/relationships/chart" Target="../charts/chart55.xml"/><Relationship Id="rId62" Type="http://schemas.openxmlformats.org/officeDocument/2006/relationships/chart" Target="../charts/chart63.xml"/><Relationship Id="rId1" Type="http://schemas.openxmlformats.org/officeDocument/2006/relationships/chart" Target="../charts/chart3.xml"/><Relationship Id="rId6" Type="http://schemas.openxmlformats.org/officeDocument/2006/relationships/chart" Target="../charts/chart8.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chart" Target="../charts/chart30.xml"/><Relationship Id="rId36" Type="http://schemas.openxmlformats.org/officeDocument/2006/relationships/chart" Target="../charts/chart38.xml"/><Relationship Id="rId49" Type="http://schemas.openxmlformats.org/officeDocument/2006/relationships/chart" Target="../charts/chart50.xml"/><Relationship Id="rId57" Type="http://schemas.openxmlformats.org/officeDocument/2006/relationships/chart" Target="../charts/chart58.xml"/><Relationship Id="rId10" Type="http://schemas.openxmlformats.org/officeDocument/2006/relationships/chart" Target="../charts/chart12.xml"/><Relationship Id="rId31" Type="http://schemas.openxmlformats.org/officeDocument/2006/relationships/chart" Target="../charts/chart33.xml"/><Relationship Id="rId44" Type="http://schemas.openxmlformats.org/officeDocument/2006/relationships/chart" Target="../charts/chart45.xml"/><Relationship Id="rId52" Type="http://schemas.openxmlformats.org/officeDocument/2006/relationships/chart" Target="../charts/chart53.xml"/><Relationship Id="rId60" Type="http://schemas.openxmlformats.org/officeDocument/2006/relationships/chart" Target="../charts/chart61.xml"/><Relationship Id="rId4" Type="http://schemas.openxmlformats.org/officeDocument/2006/relationships/chart" Target="../charts/chart6.xml"/><Relationship Id="rId9"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5.xml"/><Relationship Id="rId1" Type="http://schemas.openxmlformats.org/officeDocument/2006/relationships/chart" Target="../charts/chart6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5" Type="http://schemas.openxmlformats.org/officeDocument/2006/relationships/image" Target="../media/image1.png"/><Relationship Id="rId4" Type="http://schemas.openxmlformats.org/officeDocument/2006/relationships/chart" Target="../charts/chart69.xml"/></Relationships>
</file>

<file path=xl/drawings/_rels/drawing8.xml.rels><?xml version="1.0" encoding="UTF-8" standalone="yes"?>
<Relationships xmlns="http://schemas.openxmlformats.org/package/2006/relationships"><Relationship Id="rId8" Type="http://schemas.openxmlformats.org/officeDocument/2006/relationships/chart" Target="../charts/chart72.xml"/><Relationship Id="rId3" Type="http://schemas.openxmlformats.org/officeDocument/2006/relationships/image" Target="../media/image2.png"/><Relationship Id="rId7" Type="http://schemas.openxmlformats.org/officeDocument/2006/relationships/chart" Target="../charts/chart71.xml"/><Relationship Id="rId2" Type="http://schemas.openxmlformats.org/officeDocument/2006/relationships/image" Target="../media/image1.png"/><Relationship Id="rId1" Type="http://schemas.openxmlformats.org/officeDocument/2006/relationships/chart" Target="../charts/chart70.xm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chart" Target="../charts/chart74.xml"/><Relationship Id="rId4" Type="http://schemas.openxmlformats.org/officeDocument/2006/relationships/image" Target="../media/image3.png"/><Relationship Id="rId9" Type="http://schemas.openxmlformats.org/officeDocument/2006/relationships/chart" Target="../charts/chart73.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27214</xdr:colOff>
      <xdr:row>0</xdr:row>
      <xdr:rowOff>99786</xdr:rowOff>
    </xdr:from>
    <xdr:to>
      <xdr:col>11</xdr:col>
      <xdr:colOff>394390</xdr:colOff>
      <xdr:row>3</xdr:row>
      <xdr:rowOff>139130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8336643" y="99786"/>
          <a:ext cx="2943461" cy="6289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453571</xdr:colOff>
      <xdr:row>0</xdr:row>
      <xdr:rowOff>36286</xdr:rowOff>
    </xdr:from>
    <xdr:to>
      <xdr:col>14</xdr:col>
      <xdr:colOff>820745</xdr:colOff>
      <xdr:row>3</xdr:row>
      <xdr:rowOff>3059</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10132785" y="36286"/>
          <a:ext cx="2870889" cy="62898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649741</xdr:colOff>
      <xdr:row>0</xdr:row>
      <xdr:rowOff>55562</xdr:rowOff>
    </xdr:from>
    <xdr:to>
      <xdr:col>15</xdr:col>
      <xdr:colOff>34934</xdr:colOff>
      <xdr:row>3</xdr:row>
      <xdr:rowOff>23469</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10389054" y="55562"/>
          <a:ext cx="2877693" cy="6346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545293</xdr:colOff>
      <xdr:row>0</xdr:row>
      <xdr:rowOff>146152</xdr:rowOff>
    </xdr:from>
    <xdr:to>
      <xdr:col>15</xdr:col>
      <xdr:colOff>77897</xdr:colOff>
      <xdr:row>3</xdr:row>
      <xdr:rowOff>114940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10424079" y="146152"/>
          <a:ext cx="2870889" cy="63100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201657</xdr:colOff>
      <xdr:row>7</xdr:row>
      <xdr:rowOff>102052</xdr:rowOff>
    </xdr:from>
    <xdr:to>
      <xdr:col>6</xdr:col>
      <xdr:colOff>381000</xdr:colOff>
      <xdr:row>29</xdr:row>
      <xdr:rowOff>27215</xdr:rowOff>
    </xdr:to>
    <xdr:graphicFrame macro="">
      <xdr:nvGraphicFramePr>
        <xdr:cNvPr id="3" name="Chart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603250</xdr:colOff>
      <xdr:row>8</xdr:row>
      <xdr:rowOff>38101</xdr:rowOff>
    </xdr:from>
    <xdr:to>
      <xdr:col>14</xdr:col>
      <xdr:colOff>449036</xdr:colOff>
      <xdr:row>29</xdr:row>
      <xdr:rowOff>40823</xdr:rowOff>
    </xdr:to>
    <xdr:graphicFrame macro="">
      <xdr:nvGraphicFramePr>
        <xdr:cNvPr id="4" name="Chart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678</xdr:colOff>
      <xdr:row>259</xdr:row>
      <xdr:rowOff>95250</xdr:rowOff>
    </xdr:from>
    <xdr:to>
      <xdr:col>7</xdr:col>
      <xdr:colOff>142874</xdr:colOff>
      <xdr:row>279</xdr:row>
      <xdr:rowOff>27214</xdr:rowOff>
    </xdr:to>
    <xdr:graphicFrame macro="">
      <xdr:nvGraphicFramePr>
        <xdr:cNvPr id="25" name="Chart 24">
          <a:extLst>
            <a:ext uri="{FF2B5EF4-FFF2-40B4-BE49-F238E27FC236}">
              <a16:creationId xmlns:a16="http://schemas.microsoft.com/office/drawing/2014/main" id="{00000000-0008-0000-1A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396874</xdr:colOff>
      <xdr:row>259</xdr:row>
      <xdr:rowOff>85498</xdr:rowOff>
    </xdr:from>
    <xdr:to>
      <xdr:col>16</xdr:col>
      <xdr:colOff>47624</xdr:colOff>
      <xdr:row>279</xdr:row>
      <xdr:rowOff>17462</xdr:rowOff>
    </xdr:to>
    <xdr:graphicFrame macro="">
      <xdr:nvGraphicFramePr>
        <xdr:cNvPr id="26" name="Chart 25">
          <a:extLst>
            <a:ext uri="{FF2B5EF4-FFF2-40B4-BE49-F238E27FC236}">
              <a16:creationId xmlns:a16="http://schemas.microsoft.com/office/drawing/2014/main" id="{00000000-0008-0000-1A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47625</xdr:colOff>
      <xdr:row>221</xdr:row>
      <xdr:rowOff>9525</xdr:rowOff>
    </xdr:from>
    <xdr:to>
      <xdr:col>15</xdr:col>
      <xdr:colOff>539750</xdr:colOff>
      <xdr:row>241</xdr:row>
      <xdr:rowOff>97972</xdr:rowOff>
    </xdr:to>
    <xdr:graphicFrame macro="">
      <xdr:nvGraphicFramePr>
        <xdr:cNvPr id="29" name="Chart 28">
          <a:extLst>
            <a:ext uri="{FF2B5EF4-FFF2-40B4-BE49-F238E27FC236}">
              <a16:creationId xmlns:a16="http://schemas.microsoft.com/office/drawing/2014/main" id="{00000000-0008-0000-1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29935</xdr:colOff>
      <xdr:row>48</xdr:row>
      <xdr:rowOff>43544</xdr:rowOff>
    </xdr:from>
    <xdr:to>
      <xdr:col>6</xdr:col>
      <xdr:colOff>23813</xdr:colOff>
      <xdr:row>67</xdr:row>
      <xdr:rowOff>74838</xdr:rowOff>
    </xdr:to>
    <xdr:graphicFrame macro="">
      <xdr:nvGraphicFramePr>
        <xdr:cNvPr id="34" name="Chart 33">
          <a:extLst>
            <a:ext uri="{FF2B5EF4-FFF2-40B4-BE49-F238E27FC236}">
              <a16:creationId xmlns:a16="http://schemas.microsoft.com/office/drawing/2014/main" id="{00000000-0008-0000-1A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119063</xdr:colOff>
      <xdr:row>48</xdr:row>
      <xdr:rowOff>71665</xdr:rowOff>
    </xdr:from>
    <xdr:to>
      <xdr:col>10</xdr:col>
      <xdr:colOff>762000</xdr:colOff>
      <xdr:row>67</xdr:row>
      <xdr:rowOff>100240</xdr:rowOff>
    </xdr:to>
    <xdr:graphicFrame macro="">
      <xdr:nvGraphicFramePr>
        <xdr:cNvPr id="35" name="Chart 34">
          <a:extLst>
            <a:ext uri="{FF2B5EF4-FFF2-40B4-BE49-F238E27FC236}">
              <a16:creationId xmlns:a16="http://schemas.microsoft.com/office/drawing/2014/main" id="{00000000-0008-0000-1A00-00002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81913</xdr:colOff>
      <xdr:row>221</xdr:row>
      <xdr:rowOff>50344</xdr:rowOff>
    </xdr:from>
    <xdr:to>
      <xdr:col>7</xdr:col>
      <xdr:colOff>119061</xdr:colOff>
      <xdr:row>241</xdr:row>
      <xdr:rowOff>138790</xdr:rowOff>
    </xdr:to>
    <xdr:graphicFrame macro="">
      <xdr:nvGraphicFramePr>
        <xdr:cNvPr id="36" name="Chart 35">
          <a:extLst>
            <a:ext uri="{FF2B5EF4-FFF2-40B4-BE49-F238E27FC236}">
              <a16:creationId xmlns:a16="http://schemas.microsoft.com/office/drawing/2014/main" id="{00000000-0008-0000-1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158747</xdr:colOff>
      <xdr:row>69</xdr:row>
      <xdr:rowOff>85727</xdr:rowOff>
    </xdr:from>
    <xdr:to>
      <xdr:col>6</xdr:col>
      <xdr:colOff>23812</xdr:colOff>
      <xdr:row>88</xdr:row>
      <xdr:rowOff>114300</xdr:rowOff>
    </xdr:to>
    <xdr:graphicFrame macro="">
      <xdr:nvGraphicFramePr>
        <xdr:cNvPr id="15" name="Chart 14">
          <a:extLst>
            <a:ext uri="{FF2B5EF4-FFF2-40B4-BE49-F238E27FC236}">
              <a16:creationId xmlns:a16="http://schemas.microsoft.com/office/drawing/2014/main" id="{00000000-0008-0000-1A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111126</xdr:colOff>
      <xdr:row>69</xdr:row>
      <xdr:rowOff>85727</xdr:rowOff>
    </xdr:from>
    <xdr:to>
      <xdr:col>10</xdr:col>
      <xdr:colOff>706438</xdr:colOff>
      <xdr:row>88</xdr:row>
      <xdr:rowOff>114300</xdr:rowOff>
    </xdr:to>
    <xdr:graphicFrame macro="">
      <xdr:nvGraphicFramePr>
        <xdr:cNvPr id="16" name="Chart 15">
          <a:extLst>
            <a:ext uri="{FF2B5EF4-FFF2-40B4-BE49-F238E27FC236}">
              <a16:creationId xmlns:a16="http://schemas.microsoft.com/office/drawing/2014/main" id="{00000000-0008-0000-1A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201657</xdr:colOff>
      <xdr:row>93</xdr:row>
      <xdr:rowOff>102052</xdr:rowOff>
    </xdr:from>
    <xdr:to>
      <xdr:col>6</xdr:col>
      <xdr:colOff>619125</xdr:colOff>
      <xdr:row>115</xdr:row>
      <xdr:rowOff>27215</xdr:rowOff>
    </xdr:to>
    <xdr:graphicFrame macro="">
      <xdr:nvGraphicFramePr>
        <xdr:cNvPr id="17" name="Chart 16">
          <a:extLst>
            <a:ext uri="{FF2B5EF4-FFF2-40B4-BE49-F238E27FC236}">
              <a16:creationId xmlns:a16="http://schemas.microsoft.com/office/drawing/2014/main" id="{00000000-0008-0000-1A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896938</xdr:colOff>
      <xdr:row>94</xdr:row>
      <xdr:rowOff>38101</xdr:rowOff>
    </xdr:from>
    <xdr:to>
      <xdr:col>14</xdr:col>
      <xdr:colOff>904875</xdr:colOff>
      <xdr:row>115</xdr:row>
      <xdr:rowOff>40823</xdr:rowOff>
    </xdr:to>
    <xdr:graphicFrame macro="">
      <xdr:nvGraphicFramePr>
        <xdr:cNvPr id="18" name="Chart 17">
          <a:extLst>
            <a:ext uri="{FF2B5EF4-FFF2-40B4-BE49-F238E27FC236}">
              <a16:creationId xmlns:a16="http://schemas.microsoft.com/office/drawing/2014/main" id="{00000000-0008-0000-1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201657</xdr:colOff>
      <xdr:row>135</xdr:row>
      <xdr:rowOff>102052</xdr:rowOff>
    </xdr:from>
    <xdr:to>
      <xdr:col>6</xdr:col>
      <xdr:colOff>984250</xdr:colOff>
      <xdr:row>157</xdr:row>
      <xdr:rowOff>27215</xdr:rowOff>
    </xdr:to>
    <xdr:graphicFrame macro="">
      <xdr:nvGraphicFramePr>
        <xdr:cNvPr id="23" name="Chart 22">
          <a:extLst>
            <a:ext uri="{FF2B5EF4-FFF2-40B4-BE49-F238E27FC236}">
              <a16:creationId xmlns:a16="http://schemas.microsoft.com/office/drawing/2014/main" id="{00000000-0008-0000-1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182562</xdr:colOff>
      <xdr:row>136</xdr:row>
      <xdr:rowOff>38101</xdr:rowOff>
    </xdr:from>
    <xdr:to>
      <xdr:col>15</xdr:col>
      <xdr:colOff>55563</xdr:colOff>
      <xdr:row>157</xdr:row>
      <xdr:rowOff>40823</xdr:rowOff>
    </xdr:to>
    <xdr:graphicFrame macro="">
      <xdr:nvGraphicFramePr>
        <xdr:cNvPr id="24" name="Chart 23">
          <a:extLst>
            <a:ext uri="{FF2B5EF4-FFF2-40B4-BE49-F238E27FC236}">
              <a16:creationId xmlns:a16="http://schemas.microsoft.com/office/drawing/2014/main" id="{00000000-0008-0000-1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100057</xdr:colOff>
      <xdr:row>177</xdr:row>
      <xdr:rowOff>63952</xdr:rowOff>
    </xdr:from>
    <xdr:to>
      <xdr:col>6</xdr:col>
      <xdr:colOff>944563</xdr:colOff>
      <xdr:row>198</xdr:row>
      <xdr:rowOff>147865</xdr:rowOff>
    </xdr:to>
    <xdr:graphicFrame macro="">
      <xdr:nvGraphicFramePr>
        <xdr:cNvPr id="37" name="Chart 36">
          <a:extLst>
            <a:ext uri="{FF2B5EF4-FFF2-40B4-BE49-F238E27FC236}">
              <a16:creationId xmlns:a16="http://schemas.microsoft.com/office/drawing/2014/main" id="{00000000-0008-0000-1A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127000</xdr:colOff>
      <xdr:row>178</xdr:row>
      <xdr:rowOff>1</xdr:rowOff>
    </xdr:from>
    <xdr:to>
      <xdr:col>14</xdr:col>
      <xdr:colOff>793750</xdr:colOff>
      <xdr:row>199</xdr:row>
      <xdr:rowOff>2723</xdr:rowOff>
    </xdr:to>
    <xdr:graphicFrame macro="">
      <xdr:nvGraphicFramePr>
        <xdr:cNvPr id="38" name="Chart 37">
          <a:extLst>
            <a:ext uri="{FF2B5EF4-FFF2-40B4-BE49-F238E27FC236}">
              <a16:creationId xmlns:a16="http://schemas.microsoft.com/office/drawing/2014/main" id="{00000000-0008-0000-1A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814432</xdr:colOff>
      <xdr:row>94</xdr:row>
      <xdr:rowOff>95702</xdr:rowOff>
    </xdr:from>
    <xdr:to>
      <xdr:col>25</xdr:col>
      <xdr:colOff>422275</xdr:colOff>
      <xdr:row>115</xdr:row>
      <xdr:rowOff>179615</xdr:rowOff>
    </xdr:to>
    <xdr:graphicFrame macro="">
      <xdr:nvGraphicFramePr>
        <xdr:cNvPr id="39" name="Chart 38">
          <a:extLst>
            <a:ext uri="{FF2B5EF4-FFF2-40B4-BE49-F238E27FC236}">
              <a16:creationId xmlns:a16="http://schemas.microsoft.com/office/drawing/2014/main" id="{00000000-0008-0000-1A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15</xdr:col>
      <xdr:colOff>61957</xdr:colOff>
      <xdr:row>117</xdr:row>
      <xdr:rowOff>136977</xdr:rowOff>
    </xdr:from>
    <xdr:to>
      <xdr:col>26</xdr:col>
      <xdr:colOff>19050</xdr:colOff>
      <xdr:row>137</xdr:row>
      <xdr:rowOff>78015</xdr:rowOff>
    </xdr:to>
    <xdr:graphicFrame macro="">
      <xdr:nvGraphicFramePr>
        <xdr:cNvPr id="40" name="Chart 39">
          <a:extLst>
            <a:ext uri="{FF2B5EF4-FFF2-40B4-BE49-F238E27FC236}">
              <a16:creationId xmlns:a16="http://schemas.microsoft.com/office/drawing/2014/main" id="{00000000-0008-0000-1A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261982</xdr:colOff>
      <xdr:row>139</xdr:row>
      <xdr:rowOff>83002</xdr:rowOff>
    </xdr:from>
    <xdr:to>
      <xdr:col>26</xdr:col>
      <xdr:colOff>219075</xdr:colOff>
      <xdr:row>160</xdr:row>
      <xdr:rowOff>55790</xdr:rowOff>
    </xdr:to>
    <xdr:graphicFrame macro="">
      <xdr:nvGraphicFramePr>
        <xdr:cNvPr id="41" name="Chart 40">
          <a:extLst>
            <a:ext uri="{FF2B5EF4-FFF2-40B4-BE49-F238E27FC236}">
              <a16:creationId xmlns:a16="http://schemas.microsoft.com/office/drawing/2014/main" id="{00000000-0008-0000-1A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36557</xdr:colOff>
      <xdr:row>7</xdr:row>
      <xdr:rowOff>111577</xdr:rowOff>
    </xdr:from>
    <xdr:to>
      <xdr:col>25</xdr:col>
      <xdr:colOff>612775</xdr:colOff>
      <xdr:row>29</xdr:row>
      <xdr:rowOff>36740</xdr:rowOff>
    </xdr:to>
    <xdr:graphicFrame macro="">
      <xdr:nvGraphicFramePr>
        <xdr:cNvPr id="42" name="Chart 41">
          <a:extLst>
            <a:ext uri="{FF2B5EF4-FFF2-40B4-BE49-F238E27FC236}">
              <a16:creationId xmlns:a16="http://schemas.microsoft.com/office/drawing/2014/main" id="{00000000-0008-0000-1A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477882</xdr:colOff>
      <xdr:row>161</xdr:row>
      <xdr:rowOff>156027</xdr:rowOff>
    </xdr:from>
    <xdr:to>
      <xdr:col>26</xdr:col>
      <xdr:colOff>434975</xdr:colOff>
      <xdr:row>181</xdr:row>
      <xdr:rowOff>97065</xdr:rowOff>
    </xdr:to>
    <xdr:graphicFrame macro="">
      <xdr:nvGraphicFramePr>
        <xdr:cNvPr id="43" name="Chart 42">
          <a:extLst>
            <a:ext uri="{FF2B5EF4-FFF2-40B4-BE49-F238E27FC236}">
              <a16:creationId xmlns:a16="http://schemas.microsoft.com/office/drawing/2014/main" id="{00000000-0008-0000-1A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6</xdr:col>
      <xdr:colOff>0</xdr:colOff>
      <xdr:row>1</xdr:row>
      <xdr:rowOff>0</xdr:rowOff>
    </xdr:from>
    <xdr:to>
      <xdr:col>8</xdr:col>
      <xdr:colOff>857031</xdr:colOff>
      <xdr:row>3</xdr:row>
      <xdr:rowOff>193559</xdr:rowOff>
    </xdr:to>
    <xdr:pic>
      <xdr:nvPicPr>
        <xdr:cNvPr id="27" name="Picture 26">
          <a:extLst>
            <a:ext uri="{FF2B5EF4-FFF2-40B4-BE49-F238E27FC236}">
              <a16:creationId xmlns:a16="http://schemas.microsoft.com/office/drawing/2014/main" id="{00000000-0008-0000-1A00-00001B000000}"/>
            </a:ext>
          </a:extLst>
        </xdr:cNvPr>
        <xdr:cNvPicPr>
          <a:picLocks noChangeAspect="1"/>
        </xdr:cNvPicPr>
      </xdr:nvPicPr>
      <xdr:blipFill>
        <a:blip xmlns:r="http://schemas.openxmlformats.org/officeDocument/2006/relationships" r:embed="rId22"/>
        <a:stretch>
          <a:fillRect/>
        </a:stretch>
      </xdr:blipFill>
      <xdr:spPr>
        <a:xfrm>
          <a:off x="11820071" y="163286"/>
          <a:ext cx="2870889" cy="6289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39233</xdr:colOff>
      <xdr:row>7</xdr:row>
      <xdr:rowOff>123144</xdr:rowOff>
    </xdr:from>
    <xdr:to>
      <xdr:col>5</xdr:col>
      <xdr:colOff>960436</xdr:colOff>
      <xdr:row>26</xdr:row>
      <xdr:rowOff>56469</xdr:rowOff>
    </xdr:to>
    <xdr:graphicFrame macro="">
      <xdr:nvGraphicFramePr>
        <xdr:cNvPr id="3" name="Chart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23812</xdr:colOff>
      <xdr:row>7</xdr:row>
      <xdr:rowOff>121444</xdr:rowOff>
    </xdr:from>
    <xdr:to>
      <xdr:col>10</xdr:col>
      <xdr:colOff>783544</xdr:colOff>
      <xdr:row>26</xdr:row>
      <xdr:rowOff>54768</xdr:rowOff>
    </xdr:to>
    <xdr:graphicFrame macro="">
      <xdr:nvGraphicFramePr>
        <xdr:cNvPr id="4" name="Chart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132670</xdr:colOff>
      <xdr:row>7</xdr:row>
      <xdr:rowOff>64635</xdr:rowOff>
    </xdr:from>
    <xdr:to>
      <xdr:col>19</xdr:col>
      <xdr:colOff>544286</xdr:colOff>
      <xdr:row>25</xdr:row>
      <xdr:rowOff>159886</xdr:rowOff>
    </xdr:to>
    <xdr:graphicFrame macro="">
      <xdr:nvGraphicFramePr>
        <xdr:cNvPr id="2" name="Chart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11</xdr:col>
      <xdr:colOff>0</xdr:colOff>
      <xdr:row>1</xdr:row>
      <xdr:rowOff>0</xdr:rowOff>
    </xdr:from>
    <xdr:to>
      <xdr:col>14</xdr:col>
      <xdr:colOff>529326</xdr:colOff>
      <xdr:row>3</xdr:row>
      <xdr:rowOff>192425</xdr:rowOff>
    </xdr:to>
    <xdr:pic>
      <xdr:nvPicPr>
        <xdr:cNvPr id="6" name="Picture 5">
          <a:extLst>
            <a:ext uri="{FF2B5EF4-FFF2-40B4-BE49-F238E27FC236}">
              <a16:creationId xmlns:a16="http://schemas.microsoft.com/office/drawing/2014/main" id="{00000000-0008-0000-1B00-000006000000}"/>
            </a:ext>
          </a:extLst>
        </xdr:cNvPr>
        <xdr:cNvPicPr>
          <a:picLocks noChangeAspect="1"/>
        </xdr:cNvPicPr>
      </xdr:nvPicPr>
      <xdr:blipFill>
        <a:blip xmlns:r="http://schemas.openxmlformats.org/officeDocument/2006/relationships" r:embed="rId4"/>
        <a:stretch>
          <a:fillRect/>
        </a:stretch>
      </xdr:blipFill>
      <xdr:spPr>
        <a:xfrm>
          <a:off x="12604750" y="166688"/>
          <a:ext cx="2870889" cy="628987"/>
        </a:xfrm>
        <a:prstGeom prst="rect">
          <a:avLst/>
        </a:prstGeom>
      </xdr:spPr>
    </xdr:pic>
    <xdr:clientData/>
  </xdr:twoCellAnchor>
</xdr:wsDr>
</file>

<file path=xl/drawings/drawing15.xml><?xml version="1.0" encoding="utf-8"?>
<c:userShapes xmlns:c="http://schemas.openxmlformats.org/drawingml/2006/chart">
  <cdr:relSizeAnchor xmlns:cdr="http://schemas.openxmlformats.org/drawingml/2006/chartDrawing">
    <cdr:from>
      <cdr:x>0.32839</cdr:x>
      <cdr:y>0.1845</cdr:y>
    </cdr:from>
    <cdr:to>
      <cdr:x>0.66007</cdr:x>
      <cdr:y>0.25063</cdr:y>
    </cdr:to>
    <cdr:sp macro="" textlink="">
      <cdr:nvSpPr>
        <cdr:cNvPr id="3" name="TextBox 2"/>
        <cdr:cNvSpPr txBox="1"/>
      </cdr:nvSpPr>
      <cdr:spPr>
        <a:xfrm xmlns:a="http://schemas.openxmlformats.org/drawingml/2006/main">
          <a:off x="2148522" y="599010"/>
          <a:ext cx="2170045" cy="2146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0.46927</cdr:x>
      <cdr:y>0.00901</cdr:y>
    </cdr:from>
    <cdr:to>
      <cdr:x>0.94309</cdr:x>
      <cdr:y>0.0771</cdr:y>
    </cdr:to>
    <cdr:sp macro="" textlink="'Segment dashbd'!$E$7:$I$7">
      <cdr:nvSpPr>
        <cdr:cNvPr id="4" name="TextBox 3"/>
        <cdr:cNvSpPr txBox="1"/>
      </cdr:nvSpPr>
      <cdr:spPr>
        <a:xfrm xmlns:a="http://schemas.openxmlformats.org/drawingml/2006/main">
          <a:off x="2692756" y="27345"/>
          <a:ext cx="2718805" cy="2066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fld id="{9C33E692-77D2-45AD-94BE-BB5CB68A0399}" type="TxLink">
            <a:rPr lang="en-US" sz="1200" b="0" i="0" u="none" strike="noStrike">
              <a:solidFill>
                <a:srgbClr val="000000"/>
              </a:solidFill>
              <a:latin typeface="+mn-lt"/>
              <a:cs typeface="Arial"/>
            </a:rPr>
            <a:pPr algn="l"/>
            <a:t>Total Devices </a:t>
          </a:fld>
          <a:endParaRPr lang="en-US" sz="1200" b="0">
            <a:latin typeface="+mn-lt"/>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0.50876</cdr:x>
      <cdr:y>0.01559</cdr:y>
    </cdr:from>
    <cdr:to>
      <cdr:x>0.95636</cdr:x>
      <cdr:y>0.0911</cdr:y>
    </cdr:to>
    <cdr:sp macro="" textlink="'Segment dashbd'!$E$7:$I$7">
      <cdr:nvSpPr>
        <cdr:cNvPr id="2" name="TextBox 1"/>
        <cdr:cNvSpPr txBox="1"/>
      </cdr:nvSpPr>
      <cdr:spPr>
        <a:xfrm xmlns:a="http://schemas.openxmlformats.org/drawingml/2006/main">
          <a:off x="2719796" y="47319"/>
          <a:ext cx="2392876" cy="2292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832735-0833-414F-8E62-95D434589278}" type="TxLink">
            <a:rPr lang="en-US" sz="1200" b="0" i="0" u="none" strike="noStrike">
              <a:solidFill>
                <a:srgbClr val="000000"/>
              </a:solidFill>
              <a:latin typeface="+mn-lt"/>
              <a:cs typeface="Arial"/>
            </a:rPr>
            <a:pPr algn="ctr"/>
            <a:t>Total Devices </a:t>
          </a:fld>
          <a:endParaRPr lang="en-US" sz="1100" b="0">
            <a:latin typeface="+mn-lt"/>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0.50758</cdr:x>
      <cdr:y>0.02123</cdr:y>
    </cdr:from>
    <cdr:to>
      <cdr:x>1</cdr:x>
      <cdr:y>0.10314</cdr:y>
    </cdr:to>
    <cdr:sp macro="" textlink="'Segment dashbd'!$E$7:$I$7">
      <cdr:nvSpPr>
        <cdr:cNvPr id="2" name="TextBox 1"/>
        <cdr:cNvSpPr txBox="1"/>
      </cdr:nvSpPr>
      <cdr:spPr>
        <a:xfrm xmlns:a="http://schemas.openxmlformats.org/drawingml/2006/main">
          <a:off x="2496637" y="64407"/>
          <a:ext cx="2422072" cy="24855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64A65334-F4A3-410C-9F84-D4B2EED0214F}" type="TxLink">
            <a:rPr lang="en-US" sz="1200"/>
            <a:pPr algn="ctr"/>
            <a:t>Total Devices </a:t>
          </a:fld>
          <a:endParaRPr lang="en-US" sz="1200"/>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8</xdr:col>
      <xdr:colOff>462787</xdr:colOff>
      <xdr:row>19</xdr:row>
      <xdr:rowOff>77367</xdr:rowOff>
    </xdr:to>
    <xdr:grpSp>
      <xdr:nvGrpSpPr>
        <xdr:cNvPr id="12796936" name="Group 19">
          <a:extLst>
            <a:ext uri="{FF2B5EF4-FFF2-40B4-BE49-F238E27FC236}">
              <a16:creationId xmlns:a16="http://schemas.microsoft.com/office/drawing/2014/main" id="{00000000-0008-0000-0C00-00000844C300}"/>
            </a:ext>
          </a:extLst>
        </xdr:cNvPr>
        <xdr:cNvGrpSpPr>
          <a:grpSpLocks/>
        </xdr:cNvGrpSpPr>
      </xdr:nvGrpSpPr>
      <xdr:grpSpPr bwMode="auto">
        <a:xfrm>
          <a:off x="342900" y="1888671"/>
          <a:ext cx="5301487" cy="1432639"/>
          <a:chOff x="158" y="204"/>
          <a:chExt cx="534" cy="149"/>
        </a:xfrm>
      </xdr:grpSpPr>
      <xdr:sp macro="" textlink="">
        <xdr:nvSpPr>
          <xdr:cNvPr id="3" name="Text Box 9">
            <a:extLst>
              <a:ext uri="{FF2B5EF4-FFF2-40B4-BE49-F238E27FC236}">
                <a16:creationId xmlns:a16="http://schemas.microsoft.com/office/drawing/2014/main" id="{00000000-0008-0000-0C00-000003000000}"/>
              </a:ext>
            </a:extLst>
          </xdr:cNvPr>
          <xdr:cNvSpPr txBox="1">
            <a:spLocks noChangeArrowheads="1"/>
          </xdr:cNvSpPr>
        </xdr:nvSpPr>
        <xdr:spPr bwMode="auto">
          <a:xfrm>
            <a:off x="162" y="234"/>
            <a:ext cx="137" cy="93"/>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C00-000004000000}"/>
              </a:ext>
            </a:extLst>
          </xdr:cNvPr>
          <xdr:cNvSpPr txBox="1">
            <a:spLocks noChangeArrowheads="1"/>
          </xdr:cNvSpPr>
        </xdr:nvSpPr>
        <xdr:spPr bwMode="auto">
          <a:xfrm>
            <a:off x="567" y="241"/>
            <a:ext cx="125" cy="68"/>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5" name="Text Box 11">
            <a:extLst>
              <a:ext uri="{FF2B5EF4-FFF2-40B4-BE49-F238E27FC236}">
                <a16:creationId xmlns:a16="http://schemas.microsoft.com/office/drawing/2014/main" id="{00000000-0008-0000-0C00-000005000000}"/>
              </a:ext>
            </a:extLst>
          </xdr:cNvPr>
          <xdr:cNvSpPr txBox="1">
            <a:spLocks noChangeArrowheads="1"/>
          </xdr:cNvSpPr>
        </xdr:nvSpPr>
        <xdr:spPr bwMode="auto">
          <a:xfrm>
            <a:off x="323" y="204"/>
            <a:ext cx="192" cy="73"/>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Historical Trend Extrapolation</a:t>
            </a:r>
          </a:p>
        </xdr:txBody>
      </xdr:sp>
      <xdr:sp macro="" textlink="">
        <xdr:nvSpPr>
          <xdr:cNvPr id="6" name="Text Box 12">
            <a:extLst>
              <a:ext uri="{FF2B5EF4-FFF2-40B4-BE49-F238E27FC236}">
                <a16:creationId xmlns:a16="http://schemas.microsoft.com/office/drawing/2014/main" id="{00000000-0008-0000-0C00-000006000000}"/>
              </a:ext>
            </a:extLst>
          </xdr:cNvPr>
          <xdr:cNvSpPr txBox="1">
            <a:spLocks noChangeArrowheads="1"/>
          </xdr:cNvSpPr>
        </xdr:nvSpPr>
        <xdr:spPr bwMode="auto">
          <a:xfrm>
            <a:off x="322" y="277"/>
            <a:ext cx="192" cy="7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Interviews with industry participants</a:t>
            </a:r>
            <a:endParaRPr lang="en-US" sz="1200" b="0" i="0" strike="noStrike">
              <a:solidFill>
                <a:srgbClr val="000000"/>
              </a:solidFill>
              <a:latin typeface="Arial"/>
              <a:ea typeface="+mn-ea"/>
              <a:cs typeface="Arial"/>
            </a:endParaRP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C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C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C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11</xdr:col>
      <xdr:colOff>514350</xdr:colOff>
      <xdr:row>11</xdr:row>
      <xdr:rowOff>123825</xdr:rowOff>
    </xdr:from>
    <xdr:to>
      <xdr:col>14</xdr:col>
      <xdr:colOff>9525</xdr:colOff>
      <xdr:row>17</xdr:row>
      <xdr:rowOff>123825</xdr:rowOff>
    </xdr:to>
    <xdr:sp macro="" textlink="">
      <xdr:nvSpPr>
        <xdr:cNvPr id="18" name="Text Box 10">
          <a:extLst>
            <a:ext uri="{FF2B5EF4-FFF2-40B4-BE49-F238E27FC236}">
              <a16:creationId xmlns:a16="http://schemas.microsoft.com/office/drawing/2014/main" id="{00000000-0008-0000-0C00-000012000000}"/>
            </a:ext>
          </a:extLst>
        </xdr:cNvPr>
        <xdr:cNvSpPr txBox="1">
          <a:spLocks noChangeArrowheads="1"/>
        </xdr:cNvSpPr>
      </xdr:nvSpPr>
      <xdr:spPr bwMode="auto">
        <a:xfrm>
          <a:off x="7429500" y="2057400"/>
          <a:ext cx="1371600" cy="1028700"/>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Forecast</a:t>
          </a:r>
        </a:p>
      </xdr:txBody>
    </xdr:sp>
    <xdr:clientData/>
  </xdr:twoCellAnchor>
  <xdr:twoCellAnchor>
    <xdr:from>
      <xdr:col>9</xdr:col>
      <xdr:colOff>285750</xdr:colOff>
      <xdr:row>11</xdr:row>
      <xdr:rowOff>142875</xdr:rowOff>
    </xdr:from>
    <xdr:to>
      <xdr:col>11</xdr:col>
      <xdr:colOff>209550</xdr:colOff>
      <xdr:row>13</xdr:row>
      <xdr:rowOff>34484</xdr:rowOff>
    </xdr:to>
    <xdr:sp macro="" textlink="">
      <xdr:nvSpPr>
        <xdr:cNvPr id="19" name="Text Box 11">
          <a:extLst>
            <a:ext uri="{FF2B5EF4-FFF2-40B4-BE49-F238E27FC236}">
              <a16:creationId xmlns:a16="http://schemas.microsoft.com/office/drawing/2014/main" id="{00000000-0008-0000-0C00-000013000000}"/>
            </a:ext>
          </a:extLst>
        </xdr:cNvPr>
        <xdr:cNvSpPr txBox="1">
          <a:spLocks noChangeArrowheads="1"/>
        </xdr:cNvSpPr>
      </xdr:nvSpPr>
      <xdr:spPr bwMode="auto">
        <a:xfrm>
          <a:off x="6057900" y="2076450"/>
          <a:ext cx="1066800" cy="234509"/>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lientData/>
  </xdr:twoCellAnchor>
  <xdr:twoCellAnchor>
    <xdr:from>
      <xdr:col>9</xdr:col>
      <xdr:colOff>285750</xdr:colOff>
      <xdr:row>15</xdr:row>
      <xdr:rowOff>119938</xdr:rowOff>
    </xdr:from>
    <xdr:to>
      <xdr:col>11</xdr:col>
      <xdr:colOff>209550</xdr:colOff>
      <xdr:row>17</xdr:row>
      <xdr:rowOff>47626</xdr:rowOff>
    </xdr:to>
    <xdr:sp macro="" textlink="">
      <xdr:nvSpPr>
        <xdr:cNvPr id="20" name="Text Box 12">
          <a:extLst>
            <a:ext uri="{FF2B5EF4-FFF2-40B4-BE49-F238E27FC236}">
              <a16:creationId xmlns:a16="http://schemas.microsoft.com/office/drawing/2014/main" id="{00000000-0008-0000-0C00-000014000000}"/>
            </a:ext>
          </a:extLst>
        </xdr:cNvPr>
        <xdr:cNvSpPr txBox="1">
          <a:spLocks noChangeArrowheads="1"/>
        </xdr:cNvSpPr>
      </xdr:nvSpPr>
      <xdr:spPr bwMode="auto">
        <a:xfrm>
          <a:off x="6057900" y="2739313"/>
          <a:ext cx="1066800" cy="27058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clientData/>
  </xdr:twoCellAnchor>
  <xdr:twoCellAnchor>
    <xdr:from>
      <xdr:col>8</xdr:col>
      <xdr:colOff>466725</xdr:colOff>
      <xdr:row>12</xdr:row>
      <xdr:rowOff>88680</xdr:rowOff>
    </xdr:from>
    <xdr:to>
      <xdr:col>9</xdr:col>
      <xdr:colOff>285750</xdr:colOff>
      <xdr:row>13</xdr:row>
      <xdr:rowOff>95250</xdr:rowOff>
    </xdr:to>
    <xdr:cxnSp macro="">
      <xdr:nvCxnSpPr>
        <xdr:cNvPr id="11" name="Straight Arrow Connector 10">
          <a:extLst>
            <a:ext uri="{FF2B5EF4-FFF2-40B4-BE49-F238E27FC236}">
              <a16:creationId xmlns:a16="http://schemas.microsoft.com/office/drawing/2014/main" id="{00000000-0008-0000-0C00-00000B000000}"/>
            </a:ext>
          </a:extLst>
        </xdr:cNvPr>
        <xdr:cNvCxnSpPr>
          <a:endCxn id="19" idx="1"/>
        </xdr:cNvCxnSpPr>
      </xdr:nvCxnSpPr>
      <xdr:spPr>
        <a:xfrm flipV="1">
          <a:off x="5667375" y="2193705"/>
          <a:ext cx="390525" cy="1780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476250</xdr:colOff>
      <xdr:row>16</xdr:row>
      <xdr:rowOff>9525</xdr:rowOff>
    </xdr:from>
    <xdr:to>
      <xdr:col>9</xdr:col>
      <xdr:colOff>285750</xdr:colOff>
      <xdr:row>16</xdr:row>
      <xdr:rowOff>83782</xdr:rowOff>
    </xdr:to>
    <xdr:cxnSp macro="">
      <xdr:nvCxnSpPr>
        <xdr:cNvPr id="22" name="Straight Arrow Connector 21">
          <a:extLst>
            <a:ext uri="{FF2B5EF4-FFF2-40B4-BE49-F238E27FC236}">
              <a16:creationId xmlns:a16="http://schemas.microsoft.com/office/drawing/2014/main" id="{00000000-0008-0000-0C00-000016000000}"/>
            </a:ext>
          </a:extLst>
        </xdr:cNvPr>
        <xdr:cNvCxnSpPr>
          <a:endCxn id="20" idx="1"/>
        </xdr:cNvCxnSpPr>
      </xdr:nvCxnSpPr>
      <xdr:spPr>
        <a:xfrm>
          <a:off x="5676900" y="2800350"/>
          <a:ext cx="381000" cy="742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12</xdr:row>
      <xdr:rowOff>85725</xdr:rowOff>
    </xdr:from>
    <xdr:to>
      <xdr:col>11</xdr:col>
      <xdr:colOff>514350</xdr:colOff>
      <xdr:row>12</xdr:row>
      <xdr:rowOff>142875</xdr:rowOff>
    </xdr:to>
    <xdr:cxnSp macro="">
      <xdr:nvCxnSpPr>
        <xdr:cNvPr id="25" name="Straight Arrow Connector 24">
          <a:extLst>
            <a:ext uri="{FF2B5EF4-FFF2-40B4-BE49-F238E27FC236}">
              <a16:creationId xmlns:a16="http://schemas.microsoft.com/office/drawing/2014/main" id="{00000000-0008-0000-0C00-000019000000}"/>
            </a:ext>
          </a:extLst>
        </xdr:cNvPr>
        <xdr:cNvCxnSpPr/>
      </xdr:nvCxnSpPr>
      <xdr:spPr>
        <a:xfrm>
          <a:off x="7124700" y="2190750"/>
          <a:ext cx="304800" cy="571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15</xdr:row>
      <xdr:rowOff>152400</xdr:rowOff>
    </xdr:from>
    <xdr:to>
      <xdr:col>11</xdr:col>
      <xdr:colOff>514350</xdr:colOff>
      <xdr:row>16</xdr:row>
      <xdr:rowOff>85725</xdr:rowOff>
    </xdr:to>
    <xdr:cxnSp macro="">
      <xdr:nvCxnSpPr>
        <xdr:cNvPr id="27" name="Straight Arrow Connector 26">
          <a:extLst>
            <a:ext uri="{FF2B5EF4-FFF2-40B4-BE49-F238E27FC236}">
              <a16:creationId xmlns:a16="http://schemas.microsoft.com/office/drawing/2014/main" id="{00000000-0008-0000-0C00-00001B000000}"/>
            </a:ext>
          </a:extLst>
        </xdr:cNvPr>
        <xdr:cNvCxnSpPr/>
      </xdr:nvCxnSpPr>
      <xdr:spPr>
        <a:xfrm flipV="1">
          <a:off x="7124700" y="2771775"/>
          <a:ext cx="304800" cy="104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453571</xdr:colOff>
      <xdr:row>0</xdr:row>
      <xdr:rowOff>72571</xdr:rowOff>
    </xdr:from>
    <xdr:to>
      <xdr:col>15</xdr:col>
      <xdr:colOff>4317</xdr:colOff>
      <xdr:row>3</xdr:row>
      <xdr:rowOff>111915</xdr:rowOff>
    </xdr:to>
    <xdr:pic>
      <xdr:nvPicPr>
        <xdr:cNvPr id="21" name="Picture 20">
          <a:extLst>
            <a:ext uri="{FF2B5EF4-FFF2-40B4-BE49-F238E27FC236}">
              <a16:creationId xmlns:a16="http://schemas.microsoft.com/office/drawing/2014/main" id="{00000000-0008-0000-0C00-000015000000}"/>
            </a:ext>
          </a:extLst>
        </xdr:cNvPr>
        <xdr:cNvPicPr>
          <a:picLocks noChangeAspect="1"/>
        </xdr:cNvPicPr>
      </xdr:nvPicPr>
      <xdr:blipFill>
        <a:blip xmlns:r="http://schemas.openxmlformats.org/officeDocument/2006/relationships" r:embed="rId1"/>
        <a:stretch>
          <a:fillRect/>
        </a:stretch>
      </xdr:blipFill>
      <xdr:spPr>
        <a:xfrm>
          <a:off x="6948714" y="72571"/>
          <a:ext cx="2870889" cy="6289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59532</xdr:colOff>
      <xdr:row>16</xdr:row>
      <xdr:rowOff>119061</xdr:rowOff>
    </xdr:from>
    <xdr:to>
      <xdr:col>3</xdr:col>
      <xdr:colOff>1440657</xdr:colOff>
      <xdr:row>31</xdr:row>
      <xdr:rowOff>97627</xdr:rowOff>
    </xdr:to>
    <xdr:graphicFrame macro="">
      <xdr:nvGraphicFramePr>
        <xdr:cNvPr id="4" name="Chart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1765527</xdr:colOff>
      <xdr:row>18</xdr:row>
      <xdr:rowOff>5103</xdr:rowOff>
    </xdr:from>
    <xdr:to>
      <xdr:col>16</xdr:col>
      <xdr:colOff>459242</xdr:colOff>
      <xdr:row>33</xdr:row>
      <xdr:rowOff>9867</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107159</xdr:colOff>
      <xdr:row>19</xdr:row>
      <xdr:rowOff>59531</xdr:rowOff>
    </xdr:from>
    <xdr:to>
      <xdr:col>11</xdr:col>
      <xdr:colOff>988222</xdr:colOff>
      <xdr:row>24</xdr:row>
      <xdr:rowOff>35718</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5905503" y="3917156"/>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Ethernet transport are included in the Ethernet/Telecom segment.</a:t>
          </a:r>
        </a:p>
      </xdr:txBody>
    </xdr:sp>
    <xdr:clientData/>
  </xdr:twoCellAnchor>
  <xdr:twoCellAnchor>
    <xdr:from>
      <xdr:col>3</xdr:col>
      <xdr:colOff>23813</xdr:colOff>
      <xdr:row>21</xdr:row>
      <xdr:rowOff>130969</xdr:rowOff>
    </xdr:from>
    <xdr:to>
      <xdr:col>5</xdr:col>
      <xdr:colOff>107159</xdr:colOff>
      <xdr:row>21</xdr:row>
      <xdr:rowOff>130969</xdr:rowOff>
    </xdr:to>
    <xdr:cxnSp macro="">
      <xdr:nvCxnSpPr>
        <xdr:cNvPr id="9" name="Straight Arrow Connector 8">
          <a:extLst>
            <a:ext uri="{FF2B5EF4-FFF2-40B4-BE49-F238E27FC236}">
              <a16:creationId xmlns:a16="http://schemas.microsoft.com/office/drawing/2014/main" id="{00000000-0008-0000-0D00-000009000000}"/>
            </a:ext>
          </a:extLst>
        </xdr:cNvPr>
        <xdr:cNvCxnSpPr>
          <a:stCxn id="6" idx="1"/>
        </xdr:cNvCxnSpPr>
      </xdr:nvCxnSpPr>
      <xdr:spPr>
        <a:xfrm flipH="1">
          <a:off x="4274344" y="4321969"/>
          <a:ext cx="1631159"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104778</xdr:colOff>
      <xdr:row>25</xdr:row>
      <xdr:rowOff>57150</xdr:rowOff>
    </xdr:from>
    <xdr:to>
      <xdr:col>11</xdr:col>
      <xdr:colOff>985841</xdr:colOff>
      <xdr:row>30</xdr:row>
      <xdr:rowOff>33337</xdr:rowOff>
    </xdr:to>
    <xdr:sp macro="" textlink="">
      <xdr:nvSpPr>
        <xdr:cNvPr id="26" name="TextBox 25">
          <a:extLst>
            <a:ext uri="{FF2B5EF4-FFF2-40B4-BE49-F238E27FC236}">
              <a16:creationId xmlns:a16="http://schemas.microsoft.com/office/drawing/2014/main" id="{00000000-0008-0000-0D00-00001A000000}"/>
            </a:ext>
          </a:extLst>
        </xdr:cNvPr>
        <xdr:cNvSpPr txBox="1"/>
      </xdr:nvSpPr>
      <xdr:spPr>
        <a:xfrm>
          <a:off x="5903122" y="4914900"/>
          <a:ext cx="3333750"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Connections</a:t>
          </a:r>
          <a:r>
            <a:rPr lang="en-US" sz="1400" baseline="0"/>
            <a:t> between datacenters </a:t>
          </a:r>
          <a:r>
            <a:rPr lang="en-US" sz="1400"/>
            <a:t>via DWDM transport are included in the DCI segment.</a:t>
          </a:r>
        </a:p>
      </xdr:txBody>
    </xdr:sp>
    <xdr:clientData/>
  </xdr:twoCellAnchor>
  <xdr:twoCellAnchor>
    <xdr:from>
      <xdr:col>11</xdr:col>
      <xdr:colOff>988219</xdr:colOff>
      <xdr:row>25</xdr:row>
      <xdr:rowOff>104776</xdr:rowOff>
    </xdr:from>
    <xdr:to>
      <xdr:col>11</xdr:col>
      <xdr:colOff>1735933</xdr:colOff>
      <xdr:row>27</xdr:row>
      <xdr:rowOff>1</xdr:rowOff>
    </xdr:to>
    <xdr:cxnSp macro="">
      <xdr:nvCxnSpPr>
        <xdr:cNvPr id="27" name="Straight Arrow Connector 26">
          <a:extLst>
            <a:ext uri="{FF2B5EF4-FFF2-40B4-BE49-F238E27FC236}">
              <a16:creationId xmlns:a16="http://schemas.microsoft.com/office/drawing/2014/main" id="{00000000-0008-0000-0D00-00001B000000}"/>
            </a:ext>
          </a:extLst>
        </xdr:cNvPr>
        <xdr:cNvCxnSpPr/>
      </xdr:nvCxnSpPr>
      <xdr:spPr>
        <a:xfrm flipV="1">
          <a:off x="9239250" y="4962526"/>
          <a:ext cx="747714" cy="22860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12</xdr:col>
      <xdr:colOff>426356</xdr:colOff>
      <xdr:row>0</xdr:row>
      <xdr:rowOff>127000</xdr:rowOff>
    </xdr:from>
    <xdr:to>
      <xdr:col>15</xdr:col>
      <xdr:colOff>625927</xdr:colOff>
      <xdr:row>3</xdr:row>
      <xdr:rowOff>166344</xdr:rowOff>
    </xdr:to>
    <xdr:pic>
      <xdr:nvPicPr>
        <xdr:cNvPr id="10" name="Picture 9">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3"/>
        <a:stretch>
          <a:fillRect/>
        </a:stretch>
      </xdr:blipFill>
      <xdr:spPr>
        <a:xfrm>
          <a:off x="11112499" y="127000"/>
          <a:ext cx="3356429" cy="6289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10582</xdr:colOff>
      <xdr:row>28</xdr:row>
      <xdr:rowOff>31750</xdr:rowOff>
    </xdr:from>
    <xdr:to>
      <xdr:col>7</xdr:col>
      <xdr:colOff>338666</xdr:colOff>
      <xdr:row>48</xdr:row>
      <xdr:rowOff>38100</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504825</xdr:colOff>
      <xdr:row>255</xdr:row>
      <xdr:rowOff>123826</xdr:rowOff>
    </xdr:from>
    <xdr:to>
      <xdr:col>16</xdr:col>
      <xdr:colOff>101600</xdr:colOff>
      <xdr:row>274</xdr:row>
      <xdr:rowOff>127000</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104775</xdr:colOff>
      <xdr:row>255</xdr:row>
      <xdr:rowOff>117928</xdr:rowOff>
    </xdr:from>
    <xdr:to>
      <xdr:col>7</xdr:col>
      <xdr:colOff>447676</xdr:colOff>
      <xdr:row>274</xdr:row>
      <xdr:rowOff>90714</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666751</xdr:colOff>
      <xdr:row>543</xdr:row>
      <xdr:rowOff>76200</xdr:rowOff>
    </xdr:from>
    <xdr:to>
      <xdr:col>5</xdr:col>
      <xdr:colOff>390526</xdr:colOff>
      <xdr:row>561</xdr:row>
      <xdr:rowOff>70485</xdr:rowOff>
    </xdr:to>
    <xdr:graphicFrame macro="">
      <xdr:nvGraphicFramePr>
        <xdr:cNvPr id="8" name="Chart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31751</xdr:colOff>
      <xdr:row>382</xdr:row>
      <xdr:rowOff>21168</xdr:rowOff>
    </xdr:from>
    <xdr:to>
      <xdr:col>22</xdr:col>
      <xdr:colOff>546101</xdr:colOff>
      <xdr:row>401</xdr:row>
      <xdr:rowOff>77894</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840922</xdr:colOff>
      <xdr:row>543</xdr:row>
      <xdr:rowOff>65919</xdr:rowOff>
    </xdr:from>
    <xdr:to>
      <xdr:col>20</xdr:col>
      <xdr:colOff>965200</xdr:colOff>
      <xdr:row>560</xdr:row>
      <xdr:rowOff>164071</xdr:rowOff>
    </xdr:to>
    <xdr:graphicFrame macro="">
      <xdr:nvGraphicFramePr>
        <xdr:cNvPr id="10" name="Chart 9">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11641</xdr:colOff>
      <xdr:row>502</xdr:row>
      <xdr:rowOff>74084</xdr:rowOff>
    </xdr:from>
    <xdr:to>
      <xdr:col>7</xdr:col>
      <xdr:colOff>315383</xdr:colOff>
      <xdr:row>521</xdr:row>
      <xdr:rowOff>77258</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7407</xdr:colOff>
      <xdr:row>341</xdr:row>
      <xdr:rowOff>84666</xdr:rowOff>
    </xdr:from>
    <xdr:to>
      <xdr:col>6</xdr:col>
      <xdr:colOff>529166</xdr:colOff>
      <xdr:row>360</xdr:row>
      <xdr:rowOff>28575</xdr:rowOff>
    </xdr:to>
    <xdr:graphicFrame macro="">
      <xdr:nvGraphicFramePr>
        <xdr:cNvPr id="13" name="Chart 12">
          <a:extLst>
            <a:ext uri="{FF2B5EF4-FFF2-40B4-BE49-F238E27FC236}">
              <a16:creationId xmlns:a16="http://schemas.microsoft.com/office/drawing/2014/main" id="{00000000-0008-0000-0E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10583</xdr:colOff>
      <xdr:row>421</xdr:row>
      <xdr:rowOff>127000</xdr:rowOff>
    </xdr:from>
    <xdr:to>
      <xdr:col>6</xdr:col>
      <xdr:colOff>592666</xdr:colOff>
      <xdr:row>439</xdr:row>
      <xdr:rowOff>83911</xdr:rowOff>
    </xdr:to>
    <xdr:graphicFrame macro="">
      <xdr:nvGraphicFramePr>
        <xdr:cNvPr id="15" name="Chart 14">
          <a:extLst>
            <a:ext uri="{FF2B5EF4-FFF2-40B4-BE49-F238E27FC236}">
              <a16:creationId xmlns:a16="http://schemas.microsoft.com/office/drawing/2014/main" id="{00000000-0008-0000-0E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310696</xdr:colOff>
      <xdr:row>588</xdr:row>
      <xdr:rowOff>36286</xdr:rowOff>
    </xdr:from>
    <xdr:to>
      <xdr:col>5</xdr:col>
      <xdr:colOff>721178</xdr:colOff>
      <xdr:row>606</xdr:row>
      <xdr:rowOff>111125</xdr:rowOff>
    </xdr:to>
    <xdr:graphicFrame macro="">
      <xdr:nvGraphicFramePr>
        <xdr:cNvPr id="16" name="Chart 15">
          <a:extLst>
            <a:ext uri="{FF2B5EF4-FFF2-40B4-BE49-F238E27FC236}">
              <a16:creationId xmlns:a16="http://schemas.microsoft.com/office/drawing/2014/main" id="{00000000-0008-0000-0E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605</xdr:colOff>
      <xdr:row>382</xdr:row>
      <xdr:rowOff>27520</xdr:rowOff>
    </xdr:from>
    <xdr:to>
      <xdr:col>15</xdr:col>
      <xdr:colOff>783167</xdr:colOff>
      <xdr:row>401</xdr:row>
      <xdr:rowOff>127002</xdr:rowOff>
    </xdr:to>
    <xdr:graphicFrame macro="">
      <xdr:nvGraphicFramePr>
        <xdr:cNvPr id="18" name="Chart 17">
          <a:extLst>
            <a:ext uri="{FF2B5EF4-FFF2-40B4-BE49-F238E27FC236}">
              <a16:creationId xmlns:a16="http://schemas.microsoft.com/office/drawing/2014/main" id="{00000000-0008-0000-0E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555625</xdr:colOff>
      <xdr:row>543</xdr:row>
      <xdr:rowOff>81642</xdr:rowOff>
    </xdr:from>
    <xdr:to>
      <xdr:col>11</xdr:col>
      <xdr:colOff>804333</xdr:colOff>
      <xdr:row>561</xdr:row>
      <xdr:rowOff>10160</xdr:rowOff>
    </xdr:to>
    <xdr:graphicFrame macro="">
      <xdr:nvGraphicFramePr>
        <xdr:cNvPr id="19" name="Chart 18">
          <a:extLst>
            <a:ext uri="{FF2B5EF4-FFF2-40B4-BE49-F238E27FC236}">
              <a16:creationId xmlns:a16="http://schemas.microsoft.com/office/drawing/2014/main" id="{00000000-0008-0000-0E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835660</xdr:colOff>
      <xdr:row>588</xdr:row>
      <xdr:rowOff>44753</xdr:rowOff>
    </xdr:from>
    <xdr:to>
      <xdr:col>11</xdr:col>
      <xdr:colOff>714375</xdr:colOff>
      <xdr:row>606</xdr:row>
      <xdr:rowOff>127001</xdr:rowOff>
    </xdr:to>
    <xdr:graphicFrame macro="">
      <xdr:nvGraphicFramePr>
        <xdr:cNvPr id="20" name="Chart 19">
          <a:extLst>
            <a:ext uri="{FF2B5EF4-FFF2-40B4-BE49-F238E27FC236}">
              <a16:creationId xmlns:a16="http://schemas.microsoft.com/office/drawing/2014/main" id="{00000000-0008-0000-0E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136524</xdr:colOff>
      <xdr:row>780</xdr:row>
      <xdr:rowOff>74084</xdr:rowOff>
    </xdr:from>
    <xdr:to>
      <xdr:col>5</xdr:col>
      <xdr:colOff>589643</xdr:colOff>
      <xdr:row>798</xdr:row>
      <xdr:rowOff>92867</xdr:rowOff>
    </xdr:to>
    <xdr:graphicFrame macro="">
      <xdr:nvGraphicFramePr>
        <xdr:cNvPr id="21" name="Chart 20">
          <a:extLst>
            <a:ext uri="{FF2B5EF4-FFF2-40B4-BE49-F238E27FC236}">
              <a16:creationId xmlns:a16="http://schemas.microsoft.com/office/drawing/2014/main" id="{00000000-0008-0000-0E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87919</xdr:colOff>
      <xdr:row>311</xdr:row>
      <xdr:rowOff>137583</xdr:rowOff>
    </xdr:from>
    <xdr:to>
      <xdr:col>6</xdr:col>
      <xdr:colOff>814916</xdr:colOff>
      <xdr:row>329</xdr:row>
      <xdr:rowOff>41804</xdr:rowOff>
    </xdr:to>
    <xdr:graphicFrame macro="">
      <xdr:nvGraphicFramePr>
        <xdr:cNvPr id="22" name="Chart 21">
          <a:extLst>
            <a:ext uri="{FF2B5EF4-FFF2-40B4-BE49-F238E27FC236}">
              <a16:creationId xmlns:a16="http://schemas.microsoft.com/office/drawing/2014/main" id="{00000000-0008-0000-0E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67205</xdr:colOff>
      <xdr:row>165</xdr:row>
      <xdr:rowOff>23814</xdr:rowOff>
    </xdr:from>
    <xdr:to>
      <xdr:col>16</xdr:col>
      <xdr:colOff>177800</xdr:colOff>
      <xdr:row>186</xdr:row>
      <xdr:rowOff>152400</xdr:rowOff>
    </xdr:to>
    <xdr:graphicFrame macro="">
      <xdr:nvGraphicFramePr>
        <xdr:cNvPr id="24" name="Chart 23">
          <a:extLst>
            <a:ext uri="{FF2B5EF4-FFF2-40B4-BE49-F238E27FC236}">
              <a16:creationId xmlns:a16="http://schemas.microsoft.com/office/drawing/2014/main" id="{00000000-0008-0000-0E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xdr:col>
      <xdr:colOff>293158</xdr:colOff>
      <xdr:row>255</xdr:row>
      <xdr:rowOff>153004</xdr:rowOff>
    </xdr:from>
    <xdr:to>
      <xdr:col>22</xdr:col>
      <xdr:colOff>150283</xdr:colOff>
      <xdr:row>274</xdr:row>
      <xdr:rowOff>105833</xdr:rowOff>
    </xdr:to>
    <xdr:graphicFrame macro="">
      <xdr:nvGraphicFramePr>
        <xdr:cNvPr id="25" name="Chart 24">
          <a:extLst>
            <a:ext uri="{FF2B5EF4-FFF2-40B4-BE49-F238E27FC236}">
              <a16:creationId xmlns:a16="http://schemas.microsoft.com/office/drawing/2014/main" id="{00000000-0008-0000-0E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139699</xdr:colOff>
      <xdr:row>471</xdr:row>
      <xdr:rowOff>23284</xdr:rowOff>
    </xdr:from>
    <xdr:to>
      <xdr:col>6</xdr:col>
      <xdr:colOff>841375</xdr:colOff>
      <xdr:row>488</xdr:row>
      <xdr:rowOff>127001</xdr:rowOff>
    </xdr:to>
    <xdr:graphicFrame macro="">
      <xdr:nvGraphicFramePr>
        <xdr:cNvPr id="27" name="Chart 26">
          <a:extLst>
            <a:ext uri="{FF2B5EF4-FFF2-40B4-BE49-F238E27FC236}">
              <a16:creationId xmlns:a16="http://schemas.microsoft.com/office/drawing/2014/main" id="{00000000-0008-0000-0E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70757</xdr:colOff>
      <xdr:row>739</xdr:row>
      <xdr:rowOff>108857</xdr:rowOff>
    </xdr:from>
    <xdr:to>
      <xdr:col>5</xdr:col>
      <xdr:colOff>507999</xdr:colOff>
      <xdr:row>758</xdr:row>
      <xdr:rowOff>3855</xdr:rowOff>
    </xdr:to>
    <xdr:graphicFrame macro="">
      <xdr:nvGraphicFramePr>
        <xdr:cNvPr id="28" name="Chart 27">
          <a:extLst>
            <a:ext uri="{FF2B5EF4-FFF2-40B4-BE49-F238E27FC236}">
              <a16:creationId xmlns:a16="http://schemas.microsoft.com/office/drawing/2014/main" id="{00000000-0008-0000-0E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92528</xdr:colOff>
      <xdr:row>188</xdr:row>
      <xdr:rowOff>5169</xdr:rowOff>
    </xdr:from>
    <xdr:to>
      <xdr:col>5</xdr:col>
      <xdr:colOff>18142</xdr:colOff>
      <xdr:row>205</xdr:row>
      <xdr:rowOff>127000</xdr:rowOff>
    </xdr:to>
    <xdr:graphicFrame macro="">
      <xdr:nvGraphicFramePr>
        <xdr:cNvPr id="29" name="Chart 28">
          <a:extLst>
            <a:ext uri="{FF2B5EF4-FFF2-40B4-BE49-F238E27FC236}">
              <a16:creationId xmlns:a16="http://schemas.microsoft.com/office/drawing/2014/main" id="{00000000-0008-0000-0E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27214</xdr:colOff>
      <xdr:row>95</xdr:row>
      <xdr:rowOff>30844</xdr:rowOff>
    </xdr:from>
    <xdr:to>
      <xdr:col>7</xdr:col>
      <xdr:colOff>635000</xdr:colOff>
      <xdr:row>114</xdr:row>
      <xdr:rowOff>151494</xdr:rowOff>
    </xdr:to>
    <xdr:graphicFrame macro="">
      <xdr:nvGraphicFramePr>
        <xdr:cNvPr id="30" name="Chart 29">
          <a:extLst>
            <a:ext uri="{FF2B5EF4-FFF2-40B4-BE49-F238E27FC236}">
              <a16:creationId xmlns:a16="http://schemas.microsoft.com/office/drawing/2014/main" id="{00000000-0008-0000-0E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659039</xdr:colOff>
      <xdr:row>188</xdr:row>
      <xdr:rowOff>5897</xdr:rowOff>
    </xdr:from>
    <xdr:to>
      <xdr:col>12</xdr:col>
      <xdr:colOff>399142</xdr:colOff>
      <xdr:row>205</xdr:row>
      <xdr:rowOff>127001</xdr:rowOff>
    </xdr:to>
    <xdr:graphicFrame macro="">
      <xdr:nvGraphicFramePr>
        <xdr:cNvPr id="31" name="Chart 30">
          <a:extLst>
            <a:ext uri="{FF2B5EF4-FFF2-40B4-BE49-F238E27FC236}">
              <a16:creationId xmlns:a16="http://schemas.microsoft.com/office/drawing/2014/main" id="{00000000-0008-0000-0E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805089</xdr:colOff>
      <xdr:row>95</xdr:row>
      <xdr:rowOff>52274</xdr:rowOff>
    </xdr:from>
    <xdr:to>
      <xdr:col>17</xdr:col>
      <xdr:colOff>805088</xdr:colOff>
      <xdr:row>115</xdr:row>
      <xdr:rowOff>9638</xdr:rowOff>
    </xdr:to>
    <xdr:graphicFrame macro="">
      <xdr:nvGraphicFramePr>
        <xdr:cNvPr id="32" name="Chart 31">
          <a:extLst>
            <a:ext uri="{FF2B5EF4-FFF2-40B4-BE49-F238E27FC236}">
              <a16:creationId xmlns:a16="http://schemas.microsoft.com/office/drawing/2014/main" id="{00000000-0008-0000-0E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366485</xdr:colOff>
      <xdr:row>165</xdr:row>
      <xdr:rowOff>-1</xdr:rowOff>
    </xdr:from>
    <xdr:to>
      <xdr:col>24</xdr:col>
      <xdr:colOff>647700</xdr:colOff>
      <xdr:row>186</xdr:row>
      <xdr:rowOff>147108</xdr:rowOff>
    </xdr:to>
    <xdr:graphicFrame macro="">
      <xdr:nvGraphicFramePr>
        <xdr:cNvPr id="34" name="Chart 33">
          <a:extLst>
            <a:ext uri="{FF2B5EF4-FFF2-40B4-BE49-F238E27FC236}">
              <a16:creationId xmlns:a16="http://schemas.microsoft.com/office/drawing/2014/main" id="{00000000-0008-0000-0E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16</xdr:col>
      <xdr:colOff>38739</xdr:colOff>
      <xdr:row>421</xdr:row>
      <xdr:rowOff>135468</xdr:rowOff>
    </xdr:from>
    <xdr:to>
      <xdr:col>22</xdr:col>
      <xdr:colOff>698501</xdr:colOff>
      <xdr:row>440</xdr:row>
      <xdr:rowOff>9829</xdr:rowOff>
    </xdr:to>
    <xdr:graphicFrame macro="">
      <xdr:nvGraphicFramePr>
        <xdr:cNvPr id="35" name="Chart 34">
          <a:extLst>
            <a:ext uri="{FF2B5EF4-FFF2-40B4-BE49-F238E27FC236}">
              <a16:creationId xmlns:a16="http://schemas.microsoft.com/office/drawing/2014/main" id="{00000000-0008-0000-0E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6</xdr:col>
      <xdr:colOff>839442</xdr:colOff>
      <xdr:row>421</xdr:row>
      <xdr:rowOff>88900</xdr:rowOff>
    </xdr:from>
    <xdr:to>
      <xdr:col>15</xdr:col>
      <xdr:colOff>571500</xdr:colOff>
      <xdr:row>439</xdr:row>
      <xdr:rowOff>50347</xdr:rowOff>
    </xdr:to>
    <xdr:graphicFrame macro="">
      <xdr:nvGraphicFramePr>
        <xdr:cNvPr id="36" name="Chart 35">
          <a:extLst>
            <a:ext uri="{FF2B5EF4-FFF2-40B4-BE49-F238E27FC236}">
              <a16:creationId xmlns:a16="http://schemas.microsoft.com/office/drawing/2014/main" id="{00000000-0008-0000-0E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695477</xdr:colOff>
      <xdr:row>502</xdr:row>
      <xdr:rowOff>66524</xdr:rowOff>
    </xdr:from>
    <xdr:to>
      <xdr:col>17</xdr:col>
      <xdr:colOff>785283</xdr:colOff>
      <xdr:row>521</xdr:row>
      <xdr:rowOff>36587</xdr:rowOff>
    </xdr:to>
    <xdr:graphicFrame macro="">
      <xdr:nvGraphicFramePr>
        <xdr:cNvPr id="37" name="Chart 36">
          <a:extLst>
            <a:ext uri="{FF2B5EF4-FFF2-40B4-BE49-F238E27FC236}">
              <a16:creationId xmlns:a16="http://schemas.microsoft.com/office/drawing/2014/main" id="{00000000-0008-0000-0E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23282</xdr:colOff>
      <xdr:row>341</xdr:row>
      <xdr:rowOff>118532</xdr:rowOff>
    </xdr:from>
    <xdr:to>
      <xdr:col>15</xdr:col>
      <xdr:colOff>228600</xdr:colOff>
      <xdr:row>360</xdr:row>
      <xdr:rowOff>55032</xdr:rowOff>
    </xdr:to>
    <xdr:graphicFrame macro="">
      <xdr:nvGraphicFramePr>
        <xdr:cNvPr id="38" name="Chart 37">
          <a:extLst>
            <a:ext uri="{FF2B5EF4-FFF2-40B4-BE49-F238E27FC236}">
              <a16:creationId xmlns:a16="http://schemas.microsoft.com/office/drawing/2014/main" id="{00000000-0008-0000-0E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7225</xdr:colOff>
      <xdr:row>6</xdr:row>
      <xdr:rowOff>116417</xdr:rowOff>
    </xdr:from>
    <xdr:to>
      <xdr:col>7</xdr:col>
      <xdr:colOff>359833</xdr:colOff>
      <xdr:row>26</xdr:row>
      <xdr:rowOff>63501</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29</xdr:col>
      <xdr:colOff>97894</xdr:colOff>
      <xdr:row>6</xdr:row>
      <xdr:rowOff>148167</xdr:rowOff>
    </xdr:from>
    <xdr:to>
      <xdr:col>40</xdr:col>
      <xdr:colOff>52916</xdr:colOff>
      <xdr:row>26</xdr:row>
      <xdr:rowOff>76200</xdr:rowOff>
    </xdr:to>
    <xdr:graphicFrame macro="">
      <xdr:nvGraphicFramePr>
        <xdr:cNvPr id="26" name="Chart 25">
          <a:extLst>
            <a:ext uri="{FF2B5EF4-FFF2-40B4-BE49-F238E27FC236}">
              <a16:creationId xmlns:a16="http://schemas.microsoft.com/office/drawing/2014/main" id="{00000000-0008-0000-0E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123824</xdr:colOff>
      <xdr:row>165</xdr:row>
      <xdr:rowOff>25400</xdr:rowOff>
    </xdr:from>
    <xdr:to>
      <xdr:col>6</xdr:col>
      <xdr:colOff>393700</xdr:colOff>
      <xdr:row>186</xdr:row>
      <xdr:rowOff>127000</xdr:rowOff>
    </xdr:to>
    <xdr:graphicFrame macro="">
      <xdr:nvGraphicFramePr>
        <xdr:cNvPr id="23" name="Chart 22">
          <a:extLst>
            <a:ext uri="{FF2B5EF4-FFF2-40B4-BE49-F238E27FC236}">
              <a16:creationId xmlns:a16="http://schemas.microsoft.com/office/drawing/2014/main" id="{00000000-0008-0000-0E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38099</xdr:colOff>
      <xdr:row>382</xdr:row>
      <xdr:rowOff>63501</xdr:rowOff>
    </xdr:from>
    <xdr:to>
      <xdr:col>6</xdr:col>
      <xdr:colOff>740832</xdr:colOff>
      <xdr:row>401</xdr:row>
      <xdr:rowOff>139701</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xdr:col>
      <xdr:colOff>825500</xdr:colOff>
      <xdr:row>50</xdr:row>
      <xdr:rowOff>45358</xdr:rowOff>
    </xdr:from>
    <xdr:to>
      <xdr:col>17</xdr:col>
      <xdr:colOff>656167</xdr:colOff>
      <xdr:row>70</xdr:row>
      <xdr:rowOff>87692</xdr:rowOff>
    </xdr:to>
    <xdr:graphicFrame macro="">
      <xdr:nvGraphicFramePr>
        <xdr:cNvPr id="40" name="Chart 39">
          <a:extLst>
            <a:ext uri="{FF2B5EF4-FFF2-40B4-BE49-F238E27FC236}">
              <a16:creationId xmlns:a16="http://schemas.microsoft.com/office/drawing/2014/main" id="{00000000-0008-0000-0E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688067</xdr:colOff>
      <xdr:row>780</xdr:row>
      <xdr:rowOff>74083</xdr:rowOff>
    </xdr:from>
    <xdr:to>
      <xdr:col>12</xdr:col>
      <xdr:colOff>0</xdr:colOff>
      <xdr:row>798</xdr:row>
      <xdr:rowOff>109194</xdr:rowOff>
    </xdr:to>
    <xdr:graphicFrame macro="">
      <xdr:nvGraphicFramePr>
        <xdr:cNvPr id="43" name="Chart 42">
          <a:extLst>
            <a:ext uri="{FF2B5EF4-FFF2-40B4-BE49-F238E27FC236}">
              <a16:creationId xmlns:a16="http://schemas.microsoft.com/office/drawing/2014/main" id="{00000000-0008-0000-0E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14</xdr:col>
      <xdr:colOff>105683</xdr:colOff>
      <xdr:row>780</xdr:row>
      <xdr:rowOff>95249</xdr:rowOff>
    </xdr:from>
    <xdr:to>
      <xdr:col>20</xdr:col>
      <xdr:colOff>317500</xdr:colOff>
      <xdr:row>798</xdr:row>
      <xdr:rowOff>116452</xdr:rowOff>
    </xdr:to>
    <xdr:graphicFrame macro="">
      <xdr:nvGraphicFramePr>
        <xdr:cNvPr id="44" name="Chart 43">
          <a:extLst>
            <a:ext uri="{FF2B5EF4-FFF2-40B4-BE49-F238E27FC236}">
              <a16:creationId xmlns:a16="http://schemas.microsoft.com/office/drawing/2014/main" id="{00000000-0008-0000-0E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613229</xdr:colOff>
      <xdr:row>739</xdr:row>
      <xdr:rowOff>107043</xdr:rowOff>
    </xdr:from>
    <xdr:to>
      <xdr:col>11</xdr:col>
      <xdr:colOff>542472</xdr:colOff>
      <xdr:row>758</xdr:row>
      <xdr:rowOff>2041</xdr:rowOff>
    </xdr:to>
    <xdr:graphicFrame macro="">
      <xdr:nvGraphicFramePr>
        <xdr:cNvPr id="45" name="Chart 44">
          <a:extLst>
            <a:ext uri="{FF2B5EF4-FFF2-40B4-BE49-F238E27FC236}">
              <a16:creationId xmlns:a16="http://schemas.microsoft.com/office/drawing/2014/main" id="{00000000-0008-0000-0E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11</xdr:col>
      <xdr:colOff>647702</xdr:colOff>
      <xdr:row>739</xdr:row>
      <xdr:rowOff>105229</xdr:rowOff>
    </xdr:from>
    <xdr:to>
      <xdr:col>19</xdr:col>
      <xdr:colOff>671286</xdr:colOff>
      <xdr:row>758</xdr:row>
      <xdr:rowOff>72572</xdr:rowOff>
    </xdr:to>
    <xdr:graphicFrame macro="">
      <xdr:nvGraphicFramePr>
        <xdr:cNvPr id="46" name="Chart 45">
          <a:extLst>
            <a:ext uri="{FF2B5EF4-FFF2-40B4-BE49-F238E27FC236}">
              <a16:creationId xmlns:a16="http://schemas.microsoft.com/office/drawing/2014/main" id="{00000000-0008-0000-0E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10</xdr:col>
      <xdr:colOff>825502</xdr:colOff>
      <xdr:row>1</xdr:row>
      <xdr:rowOff>72572</xdr:rowOff>
    </xdr:from>
    <xdr:to>
      <xdr:col>14</xdr:col>
      <xdr:colOff>287801</xdr:colOff>
      <xdr:row>4</xdr:row>
      <xdr:rowOff>30274</xdr:rowOff>
    </xdr:to>
    <xdr:pic>
      <xdr:nvPicPr>
        <xdr:cNvPr id="47" name="Picture 46">
          <a:extLst>
            <a:ext uri="{FF2B5EF4-FFF2-40B4-BE49-F238E27FC236}">
              <a16:creationId xmlns:a16="http://schemas.microsoft.com/office/drawing/2014/main" id="{00000000-0008-0000-0E00-00002F000000}"/>
            </a:ext>
          </a:extLst>
        </xdr:cNvPr>
        <xdr:cNvPicPr>
          <a:picLocks noChangeAspect="1"/>
        </xdr:cNvPicPr>
      </xdr:nvPicPr>
      <xdr:blipFill>
        <a:blip xmlns:r="http://schemas.openxmlformats.org/officeDocument/2006/relationships" r:embed="rId38"/>
        <a:stretch>
          <a:fillRect/>
        </a:stretch>
      </xdr:blipFill>
      <xdr:spPr>
        <a:xfrm>
          <a:off x="11203216" y="235858"/>
          <a:ext cx="2873156" cy="628987"/>
        </a:xfrm>
        <a:prstGeom prst="rect">
          <a:avLst/>
        </a:prstGeom>
      </xdr:spPr>
    </xdr:pic>
    <xdr:clientData/>
  </xdr:twoCellAnchor>
  <xdr:twoCellAnchor>
    <xdr:from>
      <xdr:col>11</xdr:col>
      <xdr:colOff>784680</xdr:colOff>
      <xdr:row>588</xdr:row>
      <xdr:rowOff>52614</xdr:rowOff>
    </xdr:from>
    <xdr:to>
      <xdr:col>20</xdr:col>
      <xdr:colOff>498928</xdr:colOff>
      <xdr:row>606</xdr:row>
      <xdr:rowOff>111125</xdr:rowOff>
    </xdr:to>
    <xdr:graphicFrame macro="">
      <xdr:nvGraphicFramePr>
        <xdr:cNvPr id="51" name="Chart 50">
          <a:extLst>
            <a:ext uri="{FF2B5EF4-FFF2-40B4-BE49-F238E27FC236}">
              <a16:creationId xmlns:a16="http://schemas.microsoft.com/office/drawing/2014/main" id="{00000000-0008-0000-0E00-00003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18</xdr:col>
      <xdr:colOff>128514</xdr:colOff>
      <xdr:row>50</xdr:row>
      <xdr:rowOff>116419</xdr:rowOff>
    </xdr:from>
    <xdr:to>
      <xdr:col>28</xdr:col>
      <xdr:colOff>254001</xdr:colOff>
      <xdr:row>70</xdr:row>
      <xdr:rowOff>116419</xdr:rowOff>
    </xdr:to>
    <xdr:graphicFrame macro="">
      <xdr:nvGraphicFramePr>
        <xdr:cNvPr id="48" name="Chart 47">
          <a:extLst>
            <a:ext uri="{FF2B5EF4-FFF2-40B4-BE49-F238E27FC236}">
              <a16:creationId xmlns:a16="http://schemas.microsoft.com/office/drawing/2014/main" id="{00000000-0008-0000-0E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74083</xdr:colOff>
      <xdr:row>73</xdr:row>
      <xdr:rowOff>31750</xdr:rowOff>
    </xdr:from>
    <xdr:to>
      <xdr:col>7</xdr:col>
      <xdr:colOff>391584</xdr:colOff>
      <xdr:row>93</xdr:row>
      <xdr:rowOff>31749</xdr:rowOff>
    </xdr:to>
    <xdr:graphicFrame macro="">
      <xdr:nvGraphicFramePr>
        <xdr:cNvPr id="50" name="Chart 49">
          <a:extLst>
            <a:ext uri="{FF2B5EF4-FFF2-40B4-BE49-F238E27FC236}">
              <a16:creationId xmlns:a16="http://schemas.microsoft.com/office/drawing/2014/main" id="{00000000-0008-0000-0E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7</xdr:col>
      <xdr:colOff>779203</xdr:colOff>
      <xdr:row>73</xdr:row>
      <xdr:rowOff>122463</xdr:rowOff>
    </xdr:from>
    <xdr:to>
      <xdr:col>17</xdr:col>
      <xdr:colOff>700011</xdr:colOff>
      <xdr:row>93</xdr:row>
      <xdr:rowOff>22680</xdr:rowOff>
    </xdr:to>
    <xdr:graphicFrame macro="">
      <xdr:nvGraphicFramePr>
        <xdr:cNvPr id="52" name="Chart 51">
          <a:extLst>
            <a:ext uri="{FF2B5EF4-FFF2-40B4-BE49-F238E27FC236}">
              <a16:creationId xmlns:a16="http://schemas.microsoft.com/office/drawing/2014/main" id="{00000000-0008-0000-0E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oneCellAnchor>
    <xdr:from>
      <xdr:col>20</xdr:col>
      <xdr:colOff>685349</xdr:colOff>
      <xdr:row>54</xdr:row>
      <xdr:rowOff>58663</xdr:rowOff>
    </xdr:from>
    <xdr:ext cx="2813436" cy="610844"/>
    <xdr:pic>
      <xdr:nvPicPr>
        <xdr:cNvPr id="54" name="Picture 53">
          <a:extLst>
            <a:ext uri="{FF2B5EF4-FFF2-40B4-BE49-F238E27FC236}">
              <a16:creationId xmlns:a16="http://schemas.microsoft.com/office/drawing/2014/main" id="{00000000-0008-0000-0E00-000036000000}"/>
            </a:ext>
          </a:extLst>
        </xdr:cNvPr>
        <xdr:cNvPicPr>
          <a:picLocks noChangeAspect="1"/>
        </xdr:cNvPicPr>
      </xdr:nvPicPr>
      <xdr:blipFill>
        <a:blip xmlns:r="http://schemas.openxmlformats.org/officeDocument/2006/relationships" r:embed="rId38"/>
        <a:stretch>
          <a:fillRect/>
        </a:stretch>
      </xdr:blipFill>
      <xdr:spPr>
        <a:xfrm>
          <a:off x="17354099" y="9996413"/>
          <a:ext cx="2813436" cy="610844"/>
        </a:xfrm>
        <a:prstGeom prst="rect">
          <a:avLst/>
        </a:prstGeom>
        <a:ln>
          <a:solidFill>
            <a:schemeClr val="tx1"/>
          </a:solidFill>
        </a:ln>
      </xdr:spPr>
    </xdr:pic>
    <xdr:clientData/>
  </xdr:oneCellAnchor>
  <xdr:twoCellAnchor>
    <xdr:from>
      <xdr:col>7</xdr:col>
      <xdr:colOff>794626</xdr:colOff>
      <xdr:row>6</xdr:row>
      <xdr:rowOff>120649</xdr:rowOff>
    </xdr:from>
    <xdr:to>
      <xdr:col>17</xdr:col>
      <xdr:colOff>783166</xdr:colOff>
      <xdr:row>26</xdr:row>
      <xdr:rowOff>78316</xdr:rowOff>
    </xdr:to>
    <xdr:graphicFrame macro="">
      <xdr:nvGraphicFramePr>
        <xdr:cNvPr id="59" name="Chart 58">
          <a:extLst>
            <a:ext uri="{FF2B5EF4-FFF2-40B4-BE49-F238E27FC236}">
              <a16:creationId xmlns:a16="http://schemas.microsoft.com/office/drawing/2014/main" id="{00000000-0008-0000-0E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18</xdr:col>
      <xdr:colOff>79193</xdr:colOff>
      <xdr:row>6</xdr:row>
      <xdr:rowOff>103715</xdr:rowOff>
    </xdr:from>
    <xdr:to>
      <xdr:col>28</xdr:col>
      <xdr:colOff>452968</xdr:colOff>
      <xdr:row>26</xdr:row>
      <xdr:rowOff>61382</xdr:rowOff>
    </xdr:to>
    <xdr:graphicFrame macro="">
      <xdr:nvGraphicFramePr>
        <xdr:cNvPr id="60" name="Chart 59">
          <a:extLst>
            <a:ext uri="{FF2B5EF4-FFF2-40B4-BE49-F238E27FC236}">
              <a16:creationId xmlns:a16="http://schemas.microsoft.com/office/drawing/2014/main" id="{00000000-0008-0000-0E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7</xdr:col>
      <xdr:colOff>800404</xdr:colOff>
      <xdr:row>28</xdr:row>
      <xdr:rowOff>94948</xdr:rowOff>
    </xdr:from>
    <xdr:to>
      <xdr:col>17</xdr:col>
      <xdr:colOff>788005</xdr:colOff>
      <xdr:row>48</xdr:row>
      <xdr:rowOff>42031</xdr:rowOff>
    </xdr:to>
    <xdr:graphicFrame macro="">
      <xdr:nvGraphicFramePr>
        <xdr:cNvPr id="61" name="Chart 60">
          <a:extLst>
            <a:ext uri="{FF2B5EF4-FFF2-40B4-BE49-F238E27FC236}">
              <a16:creationId xmlns:a16="http://schemas.microsoft.com/office/drawing/2014/main" id="{00000000-0008-0000-0E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18</xdr:col>
      <xdr:colOff>50800</xdr:colOff>
      <xdr:row>28</xdr:row>
      <xdr:rowOff>82552</xdr:rowOff>
    </xdr:from>
    <xdr:to>
      <xdr:col>28</xdr:col>
      <xdr:colOff>230717</xdr:colOff>
      <xdr:row>48</xdr:row>
      <xdr:rowOff>29635</xdr:rowOff>
    </xdr:to>
    <xdr:graphicFrame macro="">
      <xdr:nvGraphicFramePr>
        <xdr:cNvPr id="62" name="Chart 61">
          <a:extLst>
            <a:ext uri="{FF2B5EF4-FFF2-40B4-BE49-F238E27FC236}">
              <a16:creationId xmlns:a16="http://schemas.microsoft.com/office/drawing/2014/main" id="{00000000-0008-0000-0E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141816</xdr:colOff>
      <xdr:row>50</xdr:row>
      <xdr:rowOff>120649</xdr:rowOff>
    </xdr:from>
    <xdr:to>
      <xdr:col>7</xdr:col>
      <xdr:colOff>459317</xdr:colOff>
      <xdr:row>70</xdr:row>
      <xdr:rowOff>120649</xdr:rowOff>
    </xdr:to>
    <xdr:graphicFrame macro="">
      <xdr:nvGraphicFramePr>
        <xdr:cNvPr id="64" name="Chart 63">
          <a:extLst>
            <a:ext uri="{FF2B5EF4-FFF2-40B4-BE49-F238E27FC236}">
              <a16:creationId xmlns:a16="http://schemas.microsoft.com/office/drawing/2014/main" id="{00000000-0008-0000-0E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18143</xdr:colOff>
      <xdr:row>624</xdr:row>
      <xdr:rowOff>38554</xdr:rowOff>
    </xdr:from>
    <xdr:to>
      <xdr:col>5</xdr:col>
      <xdr:colOff>687161</xdr:colOff>
      <xdr:row>641</xdr:row>
      <xdr:rowOff>6803</xdr:rowOff>
    </xdr:to>
    <xdr:graphicFrame macro="">
      <xdr:nvGraphicFramePr>
        <xdr:cNvPr id="57" name="Chart 56">
          <a:extLst>
            <a:ext uri="{FF2B5EF4-FFF2-40B4-BE49-F238E27FC236}">
              <a16:creationId xmlns:a16="http://schemas.microsoft.com/office/drawing/2014/main" id="{00000000-0008-0000-0E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34019</xdr:colOff>
      <xdr:row>607</xdr:row>
      <xdr:rowOff>72572</xdr:rowOff>
    </xdr:from>
    <xdr:to>
      <xdr:col>5</xdr:col>
      <xdr:colOff>684894</xdr:colOff>
      <xdr:row>623</xdr:row>
      <xdr:rowOff>145142</xdr:rowOff>
    </xdr:to>
    <xdr:graphicFrame macro="">
      <xdr:nvGraphicFramePr>
        <xdr:cNvPr id="58" name="Chart 57">
          <a:extLst>
            <a:ext uri="{FF2B5EF4-FFF2-40B4-BE49-F238E27FC236}">
              <a16:creationId xmlns:a16="http://schemas.microsoft.com/office/drawing/2014/main" id="{00000000-0008-0000-0E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11</xdr:col>
      <xdr:colOff>830037</xdr:colOff>
      <xdr:row>607</xdr:row>
      <xdr:rowOff>24946</xdr:rowOff>
    </xdr:from>
    <xdr:to>
      <xdr:col>20</xdr:col>
      <xdr:colOff>621393</xdr:colOff>
      <xdr:row>623</xdr:row>
      <xdr:rowOff>129267</xdr:rowOff>
    </xdr:to>
    <xdr:graphicFrame macro="">
      <xdr:nvGraphicFramePr>
        <xdr:cNvPr id="63" name="Chart 62">
          <a:extLst>
            <a:ext uri="{FF2B5EF4-FFF2-40B4-BE49-F238E27FC236}">
              <a16:creationId xmlns:a16="http://schemas.microsoft.com/office/drawing/2014/main" id="{00000000-0008-0000-0E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11</xdr:col>
      <xdr:colOff>833212</xdr:colOff>
      <xdr:row>624</xdr:row>
      <xdr:rowOff>38555</xdr:rowOff>
    </xdr:from>
    <xdr:to>
      <xdr:col>20</xdr:col>
      <xdr:colOff>687162</xdr:colOff>
      <xdr:row>640</xdr:row>
      <xdr:rowOff>81643</xdr:rowOff>
    </xdr:to>
    <xdr:graphicFrame macro="">
      <xdr:nvGraphicFramePr>
        <xdr:cNvPr id="65" name="Chart 64">
          <a:extLst>
            <a:ext uri="{FF2B5EF4-FFF2-40B4-BE49-F238E27FC236}">
              <a16:creationId xmlns:a16="http://schemas.microsoft.com/office/drawing/2014/main" id="{00000000-0008-0000-0E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16</xdr:col>
      <xdr:colOff>253999</xdr:colOff>
      <xdr:row>932</xdr:row>
      <xdr:rowOff>95249</xdr:rowOff>
    </xdr:from>
    <xdr:to>
      <xdr:col>21</xdr:col>
      <xdr:colOff>36285</xdr:colOff>
      <xdr:row>948</xdr:row>
      <xdr:rowOff>43090</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21</xdr:col>
      <xdr:colOff>115661</xdr:colOff>
      <xdr:row>932</xdr:row>
      <xdr:rowOff>163284</xdr:rowOff>
    </xdr:from>
    <xdr:to>
      <xdr:col>26</xdr:col>
      <xdr:colOff>796018</xdr:colOff>
      <xdr:row>948</xdr:row>
      <xdr:rowOff>47624</xdr:rowOff>
    </xdr:to>
    <xdr:graphicFrame macro="">
      <xdr:nvGraphicFramePr>
        <xdr:cNvPr id="66" name="Chart 65">
          <a:extLst>
            <a:ext uri="{FF2B5EF4-FFF2-40B4-BE49-F238E27FC236}">
              <a16:creationId xmlns:a16="http://schemas.microsoft.com/office/drawing/2014/main" id="{00000000-0008-0000-0E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136524</xdr:colOff>
      <xdr:row>836</xdr:row>
      <xdr:rowOff>74083</xdr:rowOff>
    </xdr:from>
    <xdr:to>
      <xdr:col>5</xdr:col>
      <xdr:colOff>417285</xdr:colOff>
      <xdr:row>854</xdr:row>
      <xdr:rowOff>163285</xdr:rowOff>
    </xdr:to>
    <xdr:graphicFrame macro="">
      <xdr:nvGraphicFramePr>
        <xdr:cNvPr id="67" name="Chart 66">
          <a:extLst>
            <a:ext uri="{FF2B5EF4-FFF2-40B4-BE49-F238E27FC236}">
              <a16:creationId xmlns:a16="http://schemas.microsoft.com/office/drawing/2014/main" id="{00000000-0008-0000-0E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783317</xdr:colOff>
      <xdr:row>836</xdr:row>
      <xdr:rowOff>105833</xdr:rowOff>
    </xdr:from>
    <xdr:to>
      <xdr:col>14</xdr:col>
      <xdr:colOff>95250</xdr:colOff>
      <xdr:row>854</xdr:row>
      <xdr:rowOff>140944</xdr:rowOff>
    </xdr:to>
    <xdr:graphicFrame macro="">
      <xdr:nvGraphicFramePr>
        <xdr:cNvPr id="68" name="Chart 67">
          <a:extLst>
            <a:ext uri="{FF2B5EF4-FFF2-40B4-BE49-F238E27FC236}">
              <a16:creationId xmlns:a16="http://schemas.microsoft.com/office/drawing/2014/main" id="{00000000-0008-0000-0E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14</xdr:col>
      <xdr:colOff>248558</xdr:colOff>
      <xdr:row>836</xdr:row>
      <xdr:rowOff>111124</xdr:rowOff>
    </xdr:from>
    <xdr:to>
      <xdr:col>20</xdr:col>
      <xdr:colOff>460375</xdr:colOff>
      <xdr:row>854</xdr:row>
      <xdr:rowOff>132327</xdr:rowOff>
    </xdr:to>
    <xdr:graphicFrame macro="">
      <xdr:nvGraphicFramePr>
        <xdr:cNvPr id="69" name="Chart 68">
          <a:extLst>
            <a:ext uri="{FF2B5EF4-FFF2-40B4-BE49-F238E27FC236}">
              <a16:creationId xmlns:a16="http://schemas.microsoft.com/office/drawing/2014/main" id="{00000000-0008-0000-0E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311150</xdr:colOff>
      <xdr:row>692</xdr:row>
      <xdr:rowOff>206376</xdr:rowOff>
    </xdr:from>
    <xdr:to>
      <xdr:col>5</xdr:col>
      <xdr:colOff>730250</xdr:colOff>
      <xdr:row>707</xdr:row>
      <xdr:rowOff>15875</xdr:rowOff>
    </xdr:to>
    <xdr:graphicFrame macro="">
      <xdr:nvGraphicFramePr>
        <xdr:cNvPr id="70" name="Chart 69">
          <a:extLst>
            <a:ext uri="{FF2B5EF4-FFF2-40B4-BE49-F238E27FC236}">
              <a16:creationId xmlns:a16="http://schemas.microsoft.com/office/drawing/2014/main" id="{00000000-0008-0000-0E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6</xdr:col>
      <xdr:colOff>130175</xdr:colOff>
      <xdr:row>692</xdr:row>
      <xdr:rowOff>215901</xdr:rowOff>
    </xdr:from>
    <xdr:to>
      <xdr:col>14</xdr:col>
      <xdr:colOff>399142</xdr:colOff>
      <xdr:row>707</xdr:row>
      <xdr:rowOff>72571</xdr:rowOff>
    </xdr:to>
    <xdr:graphicFrame macro="">
      <xdr:nvGraphicFramePr>
        <xdr:cNvPr id="71" name="Chart 70">
          <a:extLst>
            <a:ext uri="{FF2B5EF4-FFF2-40B4-BE49-F238E27FC236}">
              <a16:creationId xmlns:a16="http://schemas.microsoft.com/office/drawing/2014/main" id="{00000000-0008-0000-0E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16</xdr:col>
      <xdr:colOff>60325</xdr:colOff>
      <xdr:row>692</xdr:row>
      <xdr:rowOff>225426</xdr:rowOff>
    </xdr:from>
    <xdr:to>
      <xdr:col>22</xdr:col>
      <xdr:colOff>812800</xdr:colOff>
      <xdr:row>707</xdr:row>
      <xdr:rowOff>34925</xdr:rowOff>
    </xdr:to>
    <xdr:graphicFrame macro="">
      <xdr:nvGraphicFramePr>
        <xdr:cNvPr id="72" name="Chart 71">
          <a:extLst>
            <a:ext uri="{FF2B5EF4-FFF2-40B4-BE49-F238E27FC236}">
              <a16:creationId xmlns:a16="http://schemas.microsoft.com/office/drawing/2014/main" id="{00000000-0008-0000-0E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136524</xdr:colOff>
      <xdr:row>888</xdr:row>
      <xdr:rowOff>74083</xdr:rowOff>
    </xdr:from>
    <xdr:to>
      <xdr:col>5</xdr:col>
      <xdr:colOff>417285</xdr:colOff>
      <xdr:row>906</xdr:row>
      <xdr:rowOff>163285</xdr:rowOff>
    </xdr:to>
    <xdr:graphicFrame macro="">
      <xdr:nvGraphicFramePr>
        <xdr:cNvPr id="73" name="Chart 72">
          <a:extLst>
            <a:ext uri="{FF2B5EF4-FFF2-40B4-BE49-F238E27FC236}">
              <a16:creationId xmlns:a16="http://schemas.microsoft.com/office/drawing/2014/main" id="{00000000-0008-0000-0E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783317</xdr:colOff>
      <xdr:row>888</xdr:row>
      <xdr:rowOff>105833</xdr:rowOff>
    </xdr:from>
    <xdr:to>
      <xdr:col>14</xdr:col>
      <xdr:colOff>95250</xdr:colOff>
      <xdr:row>906</xdr:row>
      <xdr:rowOff>140944</xdr:rowOff>
    </xdr:to>
    <xdr:graphicFrame macro="">
      <xdr:nvGraphicFramePr>
        <xdr:cNvPr id="74" name="Chart 73">
          <a:extLst>
            <a:ext uri="{FF2B5EF4-FFF2-40B4-BE49-F238E27FC236}">
              <a16:creationId xmlns:a16="http://schemas.microsoft.com/office/drawing/2014/main" id="{00000000-0008-0000-0E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14</xdr:col>
      <xdr:colOff>248558</xdr:colOff>
      <xdr:row>888</xdr:row>
      <xdr:rowOff>111124</xdr:rowOff>
    </xdr:from>
    <xdr:to>
      <xdr:col>20</xdr:col>
      <xdr:colOff>460375</xdr:colOff>
      <xdr:row>906</xdr:row>
      <xdr:rowOff>132327</xdr:rowOff>
    </xdr:to>
    <xdr:graphicFrame macro="">
      <xdr:nvGraphicFramePr>
        <xdr:cNvPr id="75" name="Chart 74">
          <a:extLst>
            <a:ext uri="{FF2B5EF4-FFF2-40B4-BE49-F238E27FC236}">
              <a16:creationId xmlns:a16="http://schemas.microsoft.com/office/drawing/2014/main" id="{00000000-0008-0000-0E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582385</xdr:colOff>
      <xdr:row>1</xdr:row>
      <xdr:rowOff>75973</xdr:rowOff>
    </xdr:from>
    <xdr:to>
      <xdr:col>15</xdr:col>
      <xdr:colOff>114988</xdr:colOff>
      <xdr:row>4</xdr:row>
      <xdr:rowOff>33675</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11072585" y="241073"/>
          <a:ext cx="2885403" cy="6380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135314</xdr:colOff>
      <xdr:row>7</xdr:row>
      <xdr:rowOff>57906</xdr:rowOff>
    </xdr:from>
    <xdr:to>
      <xdr:col>9</xdr:col>
      <xdr:colOff>508000</xdr:colOff>
      <xdr:row>25</xdr:row>
      <xdr:rowOff>138547</xdr:rowOff>
    </xdr:to>
    <xdr:graphicFrame macro="">
      <xdr:nvGraphicFramePr>
        <xdr:cNvPr id="3" name="Chart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28452</xdr:colOff>
      <xdr:row>7</xdr:row>
      <xdr:rowOff>11545</xdr:rowOff>
    </xdr:from>
    <xdr:to>
      <xdr:col>22</xdr:col>
      <xdr:colOff>635001</xdr:colOff>
      <xdr:row>25</xdr:row>
      <xdr:rowOff>92364</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36286</xdr:colOff>
      <xdr:row>0</xdr:row>
      <xdr:rowOff>0</xdr:rowOff>
    </xdr:from>
    <xdr:to>
      <xdr:col>24</xdr:col>
      <xdr:colOff>702818</xdr:colOff>
      <xdr:row>3</xdr:row>
      <xdr:rowOff>40478</xdr:rowOff>
    </xdr:to>
    <xdr:pic>
      <xdr:nvPicPr>
        <xdr:cNvPr id="5" name="Picture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3"/>
        <a:stretch>
          <a:fillRect/>
        </a:stretch>
      </xdr:blipFill>
      <xdr:spPr>
        <a:xfrm>
          <a:off x="13570857" y="0"/>
          <a:ext cx="2898103" cy="6301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207432</xdr:colOff>
      <xdr:row>7</xdr:row>
      <xdr:rowOff>8467</xdr:rowOff>
    </xdr:from>
    <xdr:to>
      <xdr:col>8</xdr:col>
      <xdr:colOff>211666</xdr:colOff>
      <xdr:row>31</xdr:row>
      <xdr:rowOff>70380</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461131</xdr:colOff>
      <xdr:row>7</xdr:row>
      <xdr:rowOff>907</xdr:rowOff>
    </xdr:from>
    <xdr:to>
      <xdr:col>16</xdr:col>
      <xdr:colOff>677333</xdr:colOff>
      <xdr:row>31</xdr:row>
      <xdr:rowOff>62820</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27213</xdr:colOff>
      <xdr:row>44</xdr:row>
      <xdr:rowOff>122465</xdr:rowOff>
    </xdr:from>
    <xdr:to>
      <xdr:col>7</xdr:col>
      <xdr:colOff>404812</xdr:colOff>
      <xdr:row>69</xdr:row>
      <xdr:rowOff>108857</xdr:rowOff>
    </xdr:to>
    <xdr:graphicFrame macro="">
      <xdr:nvGraphicFramePr>
        <xdr:cNvPr id="24" name="Chart 23">
          <a:extLst>
            <a:ext uri="{FF2B5EF4-FFF2-40B4-BE49-F238E27FC236}">
              <a16:creationId xmlns:a16="http://schemas.microsoft.com/office/drawing/2014/main" id="{00000000-0008-0000-1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519793</xdr:colOff>
      <xdr:row>44</xdr:row>
      <xdr:rowOff>125187</xdr:rowOff>
    </xdr:from>
    <xdr:to>
      <xdr:col>15</xdr:col>
      <xdr:colOff>590551</xdr:colOff>
      <xdr:row>69</xdr:row>
      <xdr:rowOff>119743</xdr:rowOff>
    </xdr:to>
    <xdr:graphicFrame macro="">
      <xdr:nvGraphicFramePr>
        <xdr:cNvPr id="25" name="Chart 24">
          <a:extLst>
            <a:ext uri="{FF2B5EF4-FFF2-40B4-BE49-F238E27FC236}">
              <a16:creationId xmlns:a16="http://schemas.microsoft.com/office/drawing/2014/main" id="{00000000-0008-0000-1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xdr:col>
      <xdr:colOff>0</xdr:colOff>
      <xdr:row>1</xdr:row>
      <xdr:rowOff>0</xdr:rowOff>
    </xdr:from>
    <xdr:to>
      <xdr:col>15</xdr:col>
      <xdr:colOff>339960</xdr:colOff>
      <xdr:row>3</xdr:row>
      <xdr:rowOff>193559</xdr:rowOff>
    </xdr:to>
    <xdr:pic>
      <xdr:nvPicPr>
        <xdr:cNvPr id="9" name="Picture 8">
          <a:extLst>
            <a:ext uri="{FF2B5EF4-FFF2-40B4-BE49-F238E27FC236}">
              <a16:creationId xmlns:a16="http://schemas.microsoft.com/office/drawing/2014/main" id="{00000000-0008-0000-1300-000009000000}"/>
            </a:ext>
          </a:extLst>
        </xdr:cNvPr>
        <xdr:cNvPicPr>
          <a:picLocks noChangeAspect="1"/>
        </xdr:cNvPicPr>
      </xdr:nvPicPr>
      <xdr:blipFill>
        <a:blip xmlns:r="http://schemas.openxmlformats.org/officeDocument/2006/relationships" r:embed="rId5"/>
        <a:stretch>
          <a:fillRect/>
        </a:stretch>
      </xdr:blipFill>
      <xdr:spPr>
        <a:xfrm>
          <a:off x="10731500" y="163286"/>
          <a:ext cx="2870889" cy="62898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198437</xdr:colOff>
      <xdr:row>126</xdr:row>
      <xdr:rowOff>96838</xdr:rowOff>
    </xdr:from>
    <xdr:to>
      <xdr:col>10</xdr:col>
      <xdr:colOff>519905</xdr:colOff>
      <xdr:row>143</xdr:row>
      <xdr:rowOff>6350</xdr:rowOff>
    </xdr:to>
    <xdr:graphicFrame macro="">
      <xdr:nvGraphicFramePr>
        <xdr:cNvPr id="2" name="Chart 1">
          <a:extLst>
            <a:ext uri="{FF2B5EF4-FFF2-40B4-BE49-F238E27FC236}">
              <a16:creationId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0</xdr:colOff>
      <xdr:row>1</xdr:row>
      <xdr:rowOff>0</xdr:rowOff>
    </xdr:from>
    <xdr:to>
      <xdr:col>18</xdr:col>
      <xdr:colOff>344496</xdr:colOff>
      <xdr:row>3</xdr:row>
      <xdr:rowOff>128925</xdr:rowOff>
    </xdr:to>
    <xdr:pic>
      <xdr:nvPicPr>
        <xdr:cNvPr id="11" name="Picture 10">
          <a:extLst>
            <a:ext uri="{FF2B5EF4-FFF2-40B4-BE49-F238E27FC236}">
              <a16:creationId xmlns:a16="http://schemas.microsoft.com/office/drawing/2014/main" id="{00000000-0008-0000-1400-00000B000000}"/>
            </a:ext>
          </a:extLst>
        </xdr:cNvPr>
        <xdr:cNvPicPr>
          <a:picLocks noChangeAspect="1"/>
        </xdr:cNvPicPr>
      </xdr:nvPicPr>
      <xdr:blipFill>
        <a:blip xmlns:r="http://schemas.openxmlformats.org/officeDocument/2006/relationships" r:embed="rId2"/>
        <a:stretch>
          <a:fillRect/>
        </a:stretch>
      </xdr:blipFill>
      <xdr:spPr>
        <a:xfrm>
          <a:off x="9215438" y="166688"/>
          <a:ext cx="2870889" cy="628987"/>
        </a:xfrm>
        <a:prstGeom prst="rect">
          <a:avLst/>
        </a:prstGeom>
      </xdr:spPr>
    </xdr:pic>
    <xdr:clientData/>
  </xdr:twoCellAnchor>
  <xdr:twoCellAnchor editAs="oneCell">
    <xdr:from>
      <xdr:col>1</xdr:col>
      <xdr:colOff>0</xdr:colOff>
      <xdr:row>56</xdr:row>
      <xdr:rowOff>0</xdr:rowOff>
    </xdr:from>
    <xdr:to>
      <xdr:col>9</xdr:col>
      <xdr:colOff>705556</xdr:colOff>
      <xdr:row>73</xdr:row>
      <xdr:rowOff>33</xdr:rowOff>
    </xdr:to>
    <xdr:pic>
      <xdr:nvPicPr>
        <xdr:cNvPr id="9" name="Picture 8">
          <a:extLst>
            <a:ext uri="{FF2B5EF4-FFF2-40B4-BE49-F238E27FC236}">
              <a16:creationId xmlns:a16="http://schemas.microsoft.com/office/drawing/2014/main" id="{00000000-0008-0000-1400-000009000000}"/>
            </a:ext>
          </a:extLst>
        </xdr:cNvPr>
        <xdr:cNvPicPr>
          <a:picLocks noChangeAspect="1"/>
        </xdr:cNvPicPr>
      </xdr:nvPicPr>
      <xdr:blipFill>
        <a:blip xmlns:r="http://schemas.openxmlformats.org/officeDocument/2006/relationships" r:embed="rId3"/>
        <a:stretch>
          <a:fillRect/>
        </a:stretch>
      </xdr:blipFill>
      <xdr:spPr>
        <a:xfrm>
          <a:off x="592667" y="1700389"/>
          <a:ext cx="6011333" cy="2758755"/>
        </a:xfrm>
        <a:prstGeom prst="rect">
          <a:avLst/>
        </a:prstGeom>
      </xdr:spPr>
    </xdr:pic>
    <xdr:clientData/>
  </xdr:twoCellAnchor>
  <xdr:twoCellAnchor editAs="oneCell">
    <xdr:from>
      <xdr:col>11</xdr:col>
      <xdr:colOff>1</xdr:colOff>
      <xdr:row>56</xdr:row>
      <xdr:rowOff>0</xdr:rowOff>
    </xdr:from>
    <xdr:to>
      <xdr:col>20</xdr:col>
      <xdr:colOff>66525</xdr:colOff>
      <xdr:row>72</xdr:row>
      <xdr:rowOff>139507</xdr:rowOff>
    </xdr:to>
    <xdr:pic>
      <xdr:nvPicPr>
        <xdr:cNvPr id="10" name="Picture 9">
          <a:extLst>
            <a:ext uri="{FF2B5EF4-FFF2-40B4-BE49-F238E27FC236}">
              <a16:creationId xmlns:a16="http://schemas.microsoft.com/office/drawing/2014/main" id="{00000000-0008-0000-1400-00000A000000}"/>
            </a:ext>
          </a:extLst>
        </xdr:cNvPr>
        <xdr:cNvPicPr>
          <a:picLocks noChangeAspect="1"/>
        </xdr:cNvPicPr>
      </xdr:nvPicPr>
      <xdr:blipFill>
        <a:blip xmlns:r="http://schemas.openxmlformats.org/officeDocument/2006/relationships" r:embed="rId4"/>
        <a:stretch>
          <a:fillRect/>
        </a:stretch>
      </xdr:blipFill>
      <xdr:spPr>
        <a:xfrm>
          <a:off x="7493001" y="1700389"/>
          <a:ext cx="6230056" cy="2735951"/>
        </a:xfrm>
        <a:prstGeom prst="rect">
          <a:avLst/>
        </a:prstGeom>
      </xdr:spPr>
    </xdr:pic>
    <xdr:clientData/>
  </xdr:twoCellAnchor>
  <xdr:twoCellAnchor editAs="oneCell">
    <xdr:from>
      <xdr:col>1</xdr:col>
      <xdr:colOff>1</xdr:colOff>
      <xdr:row>76</xdr:row>
      <xdr:rowOff>1</xdr:rowOff>
    </xdr:from>
    <xdr:to>
      <xdr:col>9</xdr:col>
      <xdr:colOff>741006</xdr:colOff>
      <xdr:row>93</xdr:row>
      <xdr:rowOff>14112</xdr:rowOff>
    </xdr:to>
    <xdr:pic>
      <xdr:nvPicPr>
        <xdr:cNvPr id="15" name="Picture 14">
          <a:extLst>
            <a:ext uri="{FF2B5EF4-FFF2-40B4-BE49-F238E27FC236}">
              <a16:creationId xmlns:a16="http://schemas.microsoft.com/office/drawing/2014/main" id="{00000000-0008-0000-1400-00000F000000}"/>
            </a:ext>
          </a:extLst>
        </xdr:cNvPr>
        <xdr:cNvPicPr>
          <a:picLocks noChangeAspect="1"/>
        </xdr:cNvPicPr>
      </xdr:nvPicPr>
      <xdr:blipFill>
        <a:blip xmlns:r="http://schemas.openxmlformats.org/officeDocument/2006/relationships" r:embed="rId5"/>
        <a:stretch>
          <a:fillRect/>
        </a:stretch>
      </xdr:blipFill>
      <xdr:spPr>
        <a:xfrm>
          <a:off x="592668" y="4945945"/>
          <a:ext cx="6046782" cy="2772834"/>
        </a:xfrm>
        <a:prstGeom prst="rect">
          <a:avLst/>
        </a:prstGeom>
      </xdr:spPr>
    </xdr:pic>
    <xdr:clientData/>
  </xdr:twoCellAnchor>
  <xdr:twoCellAnchor editAs="oneCell">
    <xdr:from>
      <xdr:col>11</xdr:col>
      <xdr:colOff>0</xdr:colOff>
      <xdr:row>76</xdr:row>
      <xdr:rowOff>0</xdr:rowOff>
    </xdr:from>
    <xdr:to>
      <xdr:col>20</xdr:col>
      <xdr:colOff>45357</xdr:colOff>
      <xdr:row>93</xdr:row>
      <xdr:rowOff>21166</xdr:rowOff>
    </xdr:to>
    <xdr:pic>
      <xdr:nvPicPr>
        <xdr:cNvPr id="17" name="Picture 16">
          <a:extLst>
            <a:ext uri="{FF2B5EF4-FFF2-40B4-BE49-F238E27FC236}">
              <a16:creationId xmlns:a16="http://schemas.microsoft.com/office/drawing/2014/main" id="{00000000-0008-0000-1400-000011000000}"/>
            </a:ext>
          </a:extLst>
        </xdr:cNvPr>
        <xdr:cNvPicPr>
          <a:picLocks noChangeAspect="1"/>
        </xdr:cNvPicPr>
      </xdr:nvPicPr>
      <xdr:blipFill>
        <a:blip xmlns:r="http://schemas.openxmlformats.org/officeDocument/2006/relationships" r:embed="rId6"/>
        <a:stretch>
          <a:fillRect/>
        </a:stretch>
      </xdr:blipFill>
      <xdr:spPr>
        <a:xfrm>
          <a:off x="7493000" y="4945944"/>
          <a:ext cx="6208889" cy="2779889"/>
        </a:xfrm>
        <a:prstGeom prst="rect">
          <a:avLst/>
        </a:prstGeom>
      </xdr:spPr>
    </xdr:pic>
    <xdr:clientData/>
  </xdr:twoCellAnchor>
  <xdr:twoCellAnchor>
    <xdr:from>
      <xdr:col>2</xdr:col>
      <xdr:colOff>9071</xdr:colOff>
      <xdr:row>96</xdr:row>
      <xdr:rowOff>79829</xdr:rowOff>
    </xdr:from>
    <xdr:to>
      <xdr:col>8</xdr:col>
      <xdr:colOff>344714</xdr:colOff>
      <xdr:row>114</xdr:row>
      <xdr:rowOff>63500</xdr:rowOff>
    </xdr:to>
    <xdr:graphicFrame macro="">
      <xdr:nvGraphicFramePr>
        <xdr:cNvPr id="5" name="Chart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344714</xdr:colOff>
      <xdr:row>96</xdr:row>
      <xdr:rowOff>81643</xdr:rowOff>
    </xdr:from>
    <xdr:to>
      <xdr:col>13</xdr:col>
      <xdr:colOff>634999</xdr:colOff>
      <xdr:row>114</xdr:row>
      <xdr:rowOff>65314</xdr:rowOff>
    </xdr:to>
    <xdr:graphicFrame macro="">
      <xdr:nvGraphicFramePr>
        <xdr:cNvPr id="18" name="Chart 17">
          <a:extLst>
            <a:ext uri="{FF2B5EF4-FFF2-40B4-BE49-F238E27FC236}">
              <a16:creationId xmlns:a16="http://schemas.microsoft.com/office/drawing/2014/main" id="{00000000-0008-0000-1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36286</xdr:colOff>
      <xdr:row>31</xdr:row>
      <xdr:rowOff>136071</xdr:rowOff>
    </xdr:from>
    <xdr:to>
      <xdr:col>9</xdr:col>
      <xdr:colOff>662215</xdr:colOff>
      <xdr:row>49</xdr:row>
      <xdr:rowOff>127000</xdr:rowOff>
    </xdr:to>
    <xdr:graphicFrame macro="">
      <xdr:nvGraphicFramePr>
        <xdr:cNvPr id="20" name="Chart 19">
          <a:extLst>
            <a:ext uri="{FF2B5EF4-FFF2-40B4-BE49-F238E27FC236}">
              <a16:creationId xmlns:a16="http://schemas.microsoft.com/office/drawing/2014/main" id="{00000000-0008-0000-1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235856</xdr:colOff>
      <xdr:row>8</xdr:row>
      <xdr:rowOff>36286</xdr:rowOff>
    </xdr:from>
    <xdr:to>
      <xdr:col>9</xdr:col>
      <xdr:colOff>653142</xdr:colOff>
      <xdr:row>29</xdr:row>
      <xdr:rowOff>18144</xdr:rowOff>
    </xdr:to>
    <xdr:graphicFrame macro="">
      <xdr:nvGraphicFramePr>
        <xdr:cNvPr id="16" name="Chart 15">
          <a:extLst>
            <a:ext uri="{FF2B5EF4-FFF2-40B4-BE49-F238E27FC236}">
              <a16:creationId xmlns:a16="http://schemas.microsoft.com/office/drawing/2014/main" id="{00000000-0008-0000-1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0.60526</cdr:x>
      <cdr:y>0.78947</cdr:y>
    </cdr:from>
    <cdr:to>
      <cdr:x>1</cdr:x>
      <cdr:y>0.92778</cdr:y>
    </cdr:to>
    <cdr:pic>
      <cdr:nvPicPr>
        <cdr:cNvPr id="2" name="Picture 1">
          <a:extLst xmlns:a="http://schemas.openxmlformats.org/drawingml/2006/main">
            <a:ext uri="{FF2B5EF4-FFF2-40B4-BE49-F238E27FC236}">
              <a16:creationId xmlns:a16="http://schemas.microsoft.com/office/drawing/2014/main" id="{00000000-0008-0000-1100-00000B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755572" y="2993571"/>
          <a:ext cx="2449285" cy="524440"/>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LC%20Reports/40-100G%20Data%20Center%20study/2015%20update/Ethernet%20historical%20data%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hernet"/>
    </sheetNames>
    <sheetDataSet>
      <sheetData sheetId="0" refreshError="1">
        <row r="9">
          <cell r="AE9" t="str">
            <v>A_10G_17</v>
          </cell>
        </row>
        <row r="10">
          <cell r="AE10" t="str">
            <v>A_10G_21</v>
          </cell>
        </row>
        <row r="11">
          <cell r="AE11" t="str">
            <v>A_10G_16</v>
          </cell>
        </row>
        <row r="12">
          <cell r="AE12" t="str">
            <v>A_10G_20</v>
          </cell>
        </row>
        <row r="13">
          <cell r="AE13" t="str">
            <v>EoC</v>
          </cell>
        </row>
        <row r="14">
          <cell r="AE14" t="str">
            <v>A_40G_11</v>
          </cell>
        </row>
        <row r="15">
          <cell r="AE15" t="str">
            <v>A_100G_5</v>
          </cell>
        </row>
        <row r="16">
          <cell r="AE16" t="str">
            <v>B_10R_18</v>
          </cell>
        </row>
        <row r="17">
          <cell r="AE17" t="str">
            <v>B_10R_15</v>
          </cell>
        </row>
        <row r="18">
          <cell r="AE18" t="str">
            <v>C_1G_13</v>
          </cell>
        </row>
        <row r="19">
          <cell r="AE19" t="str">
            <v>C_1G_14</v>
          </cell>
        </row>
        <row r="20">
          <cell r="AE20" t="str">
            <v>C_1G_7</v>
          </cell>
        </row>
        <row r="21">
          <cell r="AE21" t="str">
            <v>C_1G_1</v>
          </cell>
        </row>
        <row r="22">
          <cell r="AE22" t="str">
            <v>D_FE_22</v>
          </cell>
        </row>
        <row r="23">
          <cell r="AE23" t="str">
            <v>D_40F_5</v>
          </cell>
        </row>
        <row r="24">
          <cell r="AE24" t="str">
            <v>D_40SS_11</v>
          </cell>
        </row>
        <row r="25">
          <cell r="AE25" t="str">
            <v>E_1G_13</v>
          </cell>
        </row>
        <row r="26">
          <cell r="AE26" t="str">
            <v>E_1G_14</v>
          </cell>
        </row>
        <row r="27">
          <cell r="AE27" t="str">
            <v>E_1G_8</v>
          </cell>
        </row>
        <row r="28">
          <cell r="AE28" t="str">
            <v>E_10G_19</v>
          </cell>
        </row>
        <row r="29">
          <cell r="AE29" t="str">
            <v>E_10G_17</v>
          </cell>
        </row>
        <row r="30">
          <cell r="AE30" t="str">
            <v>E_10G_21</v>
          </cell>
        </row>
        <row r="31">
          <cell r="AE31" t="str">
            <v>E_10G_15</v>
          </cell>
        </row>
        <row r="32">
          <cell r="AE32" t="str">
            <v>E_40G_5</v>
          </cell>
        </row>
        <row r="33">
          <cell r="AE33" t="str">
            <v>E_40G_11</v>
          </cell>
        </row>
        <row r="34">
          <cell r="AE34" t="str">
            <v>E_100G_5</v>
          </cell>
        </row>
        <row r="35">
          <cell r="AE35" t="str">
            <v>E_100G_6</v>
          </cell>
        </row>
        <row r="36">
          <cell r="AE36" t="str">
            <v>F_FE_22</v>
          </cell>
        </row>
        <row r="37">
          <cell r="AE37" t="str">
            <v>G_1G_14</v>
          </cell>
        </row>
        <row r="38">
          <cell r="AE38" t="str">
            <v>G_1G_10</v>
          </cell>
        </row>
        <row r="39">
          <cell r="AE39" t="str">
            <v>G_10G_17</v>
          </cell>
        </row>
        <row r="40">
          <cell r="AE40" t="str">
            <v>G_10G_21</v>
          </cell>
        </row>
        <row r="41">
          <cell r="AE41" t="str">
            <v>G_10G_15</v>
          </cell>
        </row>
        <row r="42">
          <cell r="AE42" t="str">
            <v>H_1G_14</v>
          </cell>
        </row>
        <row r="43">
          <cell r="AE43" t="str">
            <v>H_1G_10</v>
          </cell>
        </row>
        <row r="44">
          <cell r="AE44" t="str">
            <v>H_10G_21</v>
          </cell>
        </row>
        <row r="45">
          <cell r="AE45" t="str">
            <v>H_10G_15</v>
          </cell>
        </row>
        <row r="46">
          <cell r="AE46" t="str">
            <v>MISC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46"/>
  <sheetViews>
    <sheetView showGridLines="0" tabSelected="1" zoomScale="70" zoomScaleNormal="70" zoomScalePageLayoutView="80" workbookViewId="0"/>
  </sheetViews>
  <sheetFormatPr defaultColWidth="9.21875" defaultRowHeight="13.2"/>
  <cols>
    <col min="1" max="1" width="4.44140625" style="4" customWidth="1"/>
    <col min="2" max="2" width="36.21875" style="4" customWidth="1"/>
    <col min="3" max="3" width="41.44140625" style="4" customWidth="1"/>
    <col min="4" max="16384" width="9.21875" style="4"/>
  </cols>
  <sheetData>
    <row r="1" spans="1:20">
      <c r="A1" s="2"/>
      <c r="B1" s="2"/>
      <c r="C1" s="2"/>
      <c r="D1" s="2"/>
      <c r="E1" s="2"/>
      <c r="F1" s="2"/>
      <c r="G1" s="2"/>
      <c r="H1" s="2"/>
      <c r="I1" s="2"/>
      <c r="J1" s="2"/>
      <c r="K1" s="2"/>
      <c r="L1" s="2"/>
      <c r="M1" s="2"/>
      <c r="N1" s="2"/>
      <c r="O1" s="2"/>
      <c r="P1" s="2"/>
      <c r="Q1" s="2"/>
      <c r="R1" s="2"/>
      <c r="S1" s="2"/>
      <c r="T1" s="2"/>
    </row>
    <row r="2" spans="1:20" ht="17.399999999999999">
      <c r="A2" s="2"/>
      <c r="B2" s="6" t="s">
        <v>66</v>
      </c>
      <c r="C2" s="2"/>
      <c r="D2" s="11"/>
      <c r="E2" s="2"/>
      <c r="F2" s="2"/>
      <c r="G2" s="2"/>
      <c r="H2" s="2"/>
      <c r="I2" s="2"/>
      <c r="J2" s="2"/>
      <c r="K2" s="2"/>
      <c r="L2" s="2"/>
      <c r="M2" s="2"/>
      <c r="N2" s="2"/>
      <c r="O2" s="2"/>
      <c r="P2" s="2"/>
      <c r="Q2" s="2"/>
      <c r="R2" s="2"/>
      <c r="S2" s="2"/>
      <c r="T2" s="2"/>
    </row>
    <row r="3" spans="1:20" ht="15.6">
      <c r="A3" s="2"/>
      <c r="B3" s="611" t="s">
        <v>531</v>
      </c>
      <c r="C3" s="2"/>
      <c r="D3" s="2"/>
      <c r="E3" s="2"/>
      <c r="F3" s="2"/>
      <c r="G3" s="2"/>
      <c r="H3" s="2"/>
      <c r="I3" s="2"/>
      <c r="J3" s="2"/>
      <c r="K3" s="2"/>
      <c r="L3" s="2"/>
      <c r="M3" s="2"/>
      <c r="N3" s="2"/>
      <c r="O3" s="2"/>
      <c r="P3" s="2"/>
      <c r="Q3" s="2"/>
      <c r="R3" s="2"/>
      <c r="S3" s="2"/>
      <c r="T3" s="2"/>
    </row>
    <row r="4" spans="1:20" ht="17.399999999999999">
      <c r="A4" s="2"/>
      <c r="B4" s="6" t="s">
        <v>30</v>
      </c>
      <c r="C4" s="2"/>
      <c r="D4" s="2"/>
      <c r="E4" s="2"/>
      <c r="F4" s="2"/>
      <c r="G4" s="2"/>
      <c r="H4" s="2"/>
      <c r="I4" s="2"/>
      <c r="J4" s="2"/>
      <c r="K4" s="2"/>
      <c r="L4" s="2"/>
      <c r="M4" s="2"/>
      <c r="N4" s="2"/>
      <c r="O4" s="2"/>
      <c r="P4" s="2"/>
      <c r="Q4" s="2"/>
      <c r="R4" s="2"/>
      <c r="S4" s="2"/>
      <c r="T4" s="2"/>
    </row>
    <row r="5" spans="1:20">
      <c r="A5" s="2"/>
      <c r="C5" s="2"/>
      <c r="D5" s="2"/>
      <c r="E5" s="2"/>
      <c r="F5" s="2"/>
      <c r="G5" s="2"/>
      <c r="H5" s="2"/>
      <c r="I5" s="2"/>
      <c r="J5" s="2"/>
      <c r="K5" s="2"/>
      <c r="L5" s="2"/>
      <c r="M5" s="2"/>
      <c r="N5" s="2"/>
      <c r="O5" s="2"/>
      <c r="P5" s="2"/>
      <c r="Q5" s="2"/>
      <c r="R5" s="2"/>
      <c r="S5" s="2"/>
      <c r="T5" s="2"/>
    </row>
    <row r="6" spans="1:20" ht="12.75" customHeight="1">
      <c r="A6" s="2"/>
      <c r="B6" s="696" t="str">
        <f>"This forecast presents historical sales from 2010 to "&amp;E11&amp;" and a forecast through "&amp;E12&amp;" for Ethernet transceivers.  The historical data accounts for more than 30 optical component and module vendors, including 25 that shared confidential data with LightCounting."&amp;" The market forecast is based on a combination of historical trend extrapolation, expert opinion (based on numerous in-depth interviews with leading vendors), and life-cycle models based on past experience in this segment. "</f>
        <v xml:space="preserve">This forecast presents historical sales from 2010 to  and a forecast through  for Ethernet transceivers.  The historical data accounts for more than 30 optical component and module vendors, including 25 that shared confidential data with LightCounting. The market forecast is based on a combination of historical trend extrapolation, expert opinion (based on numerous in-depth interviews with leading vendors), and life-cycle models based on past experience in this segment. </v>
      </c>
      <c r="C6" s="696"/>
      <c r="D6" s="696"/>
      <c r="E6" s="696"/>
      <c r="F6" s="696"/>
      <c r="G6" s="696"/>
      <c r="H6" s="696"/>
      <c r="I6" s="696"/>
      <c r="J6" s="696"/>
      <c r="K6" s="696"/>
      <c r="L6" s="696"/>
      <c r="M6" s="696"/>
      <c r="N6" s="2"/>
      <c r="O6" s="2"/>
      <c r="P6" s="2"/>
      <c r="Q6" s="2"/>
      <c r="R6" s="2"/>
      <c r="S6" s="2"/>
      <c r="T6" s="2"/>
    </row>
    <row r="7" spans="1:20">
      <c r="A7" s="2"/>
      <c r="B7" s="696"/>
      <c r="C7" s="696"/>
      <c r="D7" s="696"/>
      <c r="E7" s="696"/>
      <c r="F7" s="696"/>
      <c r="G7" s="696"/>
      <c r="H7" s="696"/>
      <c r="I7" s="696"/>
      <c r="J7" s="696"/>
      <c r="K7" s="696"/>
      <c r="L7" s="696"/>
      <c r="M7" s="696"/>
      <c r="N7" s="2"/>
      <c r="O7" s="2"/>
      <c r="P7" s="2"/>
      <c r="Q7" s="2"/>
      <c r="R7" s="2"/>
      <c r="S7" s="2"/>
      <c r="T7" s="2"/>
    </row>
    <row r="8" spans="1:20">
      <c r="A8" s="2"/>
      <c r="B8" s="696"/>
      <c r="C8" s="696"/>
      <c r="D8" s="696"/>
      <c r="E8" s="696"/>
      <c r="F8" s="696"/>
      <c r="G8" s="696"/>
      <c r="H8" s="696"/>
      <c r="I8" s="696"/>
      <c r="J8" s="696"/>
      <c r="K8" s="696"/>
      <c r="L8" s="696"/>
      <c r="M8" s="696"/>
      <c r="N8" s="2"/>
      <c r="O8" s="2"/>
      <c r="P8" s="2"/>
      <c r="Q8" s="2"/>
      <c r="R8" s="2"/>
      <c r="S8" s="2"/>
      <c r="T8" s="2"/>
    </row>
    <row r="9" spans="1:20">
      <c r="A9" s="2"/>
      <c r="B9" s="696"/>
      <c r="C9" s="696"/>
      <c r="D9" s="696"/>
      <c r="E9" s="696"/>
      <c r="F9" s="696"/>
      <c r="G9" s="696"/>
      <c r="H9" s="696"/>
      <c r="I9" s="696"/>
      <c r="J9" s="696"/>
      <c r="K9" s="696"/>
      <c r="L9" s="696"/>
      <c r="M9" s="696"/>
      <c r="N9" s="2"/>
      <c r="O9" s="2"/>
      <c r="P9" s="2"/>
      <c r="Q9" s="2"/>
      <c r="R9" s="2"/>
      <c r="S9" s="2"/>
      <c r="T9" s="2"/>
    </row>
    <row r="10" spans="1:20">
      <c r="A10" s="2"/>
      <c r="B10" s="696"/>
      <c r="C10" s="696"/>
      <c r="D10" s="696"/>
      <c r="E10" s="696"/>
      <c r="F10" s="696"/>
      <c r="G10" s="696"/>
      <c r="H10" s="696"/>
      <c r="I10" s="696"/>
      <c r="J10" s="696"/>
      <c r="K10" s="696"/>
      <c r="L10" s="696"/>
      <c r="M10" s="696"/>
      <c r="N10" s="2"/>
      <c r="O10" s="2"/>
      <c r="P10" s="2"/>
      <c r="Q10" s="2"/>
      <c r="R10" s="2"/>
      <c r="S10" s="2"/>
      <c r="T10" s="2"/>
    </row>
    <row r="11" spans="1:20" ht="24" customHeight="1">
      <c r="A11" s="2"/>
      <c r="B11" s="31" t="s">
        <v>519</v>
      </c>
      <c r="C11" s="30"/>
      <c r="D11" s="2"/>
      <c r="E11" s="413"/>
      <c r="F11" s="7"/>
      <c r="G11" s="2"/>
      <c r="H11" s="2"/>
      <c r="I11" s="2"/>
      <c r="J11" s="2"/>
      <c r="K11" s="2"/>
      <c r="L11" s="2"/>
      <c r="M11" s="2"/>
      <c r="N11" s="2"/>
      <c r="O11" s="2"/>
      <c r="P11" s="2"/>
      <c r="Q11" s="2"/>
      <c r="R11" s="2"/>
      <c r="S11" s="2"/>
      <c r="T11" s="2"/>
    </row>
    <row r="12" spans="1:20" ht="24" customHeight="1">
      <c r="A12" s="2"/>
      <c r="B12" s="30" t="s">
        <v>27</v>
      </c>
      <c r="C12" s="30"/>
      <c r="D12" s="2"/>
      <c r="E12" s="7"/>
      <c r="F12" s="7"/>
      <c r="G12" s="2"/>
      <c r="H12" s="2"/>
      <c r="I12" s="2"/>
      <c r="J12" s="2"/>
      <c r="K12" s="2"/>
      <c r="L12" s="2"/>
      <c r="M12" s="2"/>
      <c r="N12" s="2"/>
      <c r="O12" s="2"/>
      <c r="P12" s="2"/>
      <c r="Q12" s="2"/>
      <c r="R12" s="2"/>
      <c r="S12" s="2"/>
      <c r="T12" s="2"/>
    </row>
    <row r="13" spans="1:20" ht="24" customHeight="1">
      <c r="A13" s="2"/>
      <c r="B13" s="525" t="s">
        <v>520</v>
      </c>
      <c r="C13" s="2"/>
      <c r="D13" s="2"/>
      <c r="E13" s="2"/>
      <c r="F13" s="2"/>
      <c r="G13" s="2"/>
      <c r="H13" s="2"/>
      <c r="I13" s="2"/>
      <c r="J13" s="2"/>
      <c r="K13" s="2"/>
      <c r="L13" s="2"/>
      <c r="M13" s="2"/>
      <c r="N13" s="2"/>
      <c r="O13" s="2"/>
      <c r="P13" s="2"/>
      <c r="Q13" s="2"/>
      <c r="R13" s="2"/>
      <c r="S13" s="2"/>
      <c r="T13" s="2"/>
    </row>
    <row r="14" spans="1:20" ht="15">
      <c r="A14" s="2"/>
      <c r="B14" s="415"/>
      <c r="C14" s="7"/>
      <c r="D14" s="2"/>
      <c r="E14" s="2"/>
      <c r="F14" s="2"/>
      <c r="G14" s="2"/>
      <c r="H14" s="2"/>
      <c r="I14" s="2"/>
      <c r="J14" s="2"/>
      <c r="K14" s="2"/>
      <c r="L14" s="2"/>
      <c r="M14" s="2"/>
      <c r="N14" s="2"/>
      <c r="O14" s="2"/>
      <c r="P14" s="2"/>
      <c r="Q14" s="2"/>
      <c r="R14" s="2"/>
      <c r="S14" s="2"/>
      <c r="T14" s="2"/>
    </row>
    <row r="15" spans="1:20" ht="15">
      <c r="A15" s="2"/>
      <c r="B15" s="415"/>
      <c r="C15" s="2"/>
      <c r="D15" s="2"/>
      <c r="E15" s="2"/>
      <c r="F15" s="2"/>
      <c r="G15" s="2"/>
      <c r="H15" s="2"/>
      <c r="I15" s="2"/>
      <c r="J15" s="2"/>
      <c r="K15" s="2"/>
      <c r="L15" s="2"/>
      <c r="M15" s="2"/>
      <c r="N15" s="2"/>
      <c r="O15" s="2"/>
      <c r="P15" s="2"/>
      <c r="Q15" s="2"/>
      <c r="R15" s="2"/>
      <c r="S15" s="2"/>
      <c r="T15" s="2"/>
    </row>
    <row r="16" spans="1:20" ht="18.75" customHeight="1">
      <c r="A16" s="2"/>
      <c r="D16" s="2"/>
      <c r="E16" s="2"/>
      <c r="F16" s="2"/>
      <c r="G16" s="2"/>
      <c r="H16" s="2"/>
      <c r="I16" s="2"/>
      <c r="J16" s="2"/>
      <c r="K16" s="2"/>
      <c r="L16" s="2"/>
      <c r="M16" s="2"/>
      <c r="N16" s="2"/>
      <c r="O16" s="2"/>
      <c r="P16" s="2"/>
      <c r="Q16" s="2"/>
      <c r="R16" s="2"/>
      <c r="S16" s="2"/>
      <c r="T16" s="2"/>
    </row>
    <row r="17" spans="1:20">
      <c r="A17" s="2"/>
      <c r="B17" s="412"/>
      <c r="C17" s="2"/>
      <c r="D17" s="2"/>
      <c r="E17" s="2"/>
      <c r="F17" s="2"/>
      <c r="G17" s="2"/>
      <c r="H17" s="2"/>
      <c r="I17" s="2"/>
      <c r="J17" s="2"/>
      <c r="K17" s="2"/>
      <c r="L17" s="2"/>
      <c r="M17" s="2"/>
      <c r="N17" s="2"/>
      <c r="O17" s="2"/>
      <c r="P17" s="2"/>
      <c r="Q17" s="2"/>
      <c r="R17" s="2"/>
      <c r="S17" s="2"/>
      <c r="T17" s="2"/>
    </row>
    <row r="18" spans="1:20">
      <c r="A18" s="2"/>
      <c r="D18" s="2"/>
      <c r="E18" s="2"/>
      <c r="F18" s="2"/>
      <c r="G18" s="2"/>
      <c r="H18" s="2"/>
      <c r="I18" s="2"/>
      <c r="J18" s="2"/>
      <c r="K18" s="2"/>
      <c r="L18" s="2"/>
      <c r="M18" s="2"/>
      <c r="N18" s="2"/>
      <c r="O18" s="2"/>
      <c r="P18" s="2"/>
      <c r="Q18" s="2"/>
      <c r="R18" s="2"/>
      <c r="S18" s="2"/>
      <c r="T18" s="2"/>
    </row>
    <row r="19" spans="1:20">
      <c r="A19" s="2"/>
      <c r="D19" s="2"/>
      <c r="E19" s="2"/>
      <c r="F19" s="2"/>
      <c r="G19" s="2"/>
      <c r="H19" s="2"/>
      <c r="I19" s="2"/>
      <c r="J19" s="2"/>
      <c r="K19" s="2"/>
      <c r="L19" s="2"/>
      <c r="M19" s="2"/>
      <c r="N19" s="2"/>
      <c r="O19" s="2"/>
      <c r="P19" s="2"/>
      <c r="Q19" s="2"/>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2"/>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
      <c r="B23" s="2"/>
      <c r="C23" s="2"/>
      <c r="D23" s="2"/>
      <c r="E23" s="2"/>
      <c r="F23" s="2"/>
      <c r="G23" s="2"/>
      <c r="H23" s="2"/>
      <c r="I23" s="2"/>
      <c r="J23" s="2"/>
      <c r="K23" s="2"/>
      <c r="L23" s="2"/>
      <c r="M23" s="2"/>
      <c r="N23" s="2"/>
      <c r="O23" s="2"/>
      <c r="P23" s="2"/>
      <c r="Q23" s="2"/>
      <c r="R23" s="2"/>
      <c r="S23" s="2"/>
      <c r="T23" s="2"/>
    </row>
    <row r="24" spans="1:20">
      <c r="A24" s="2"/>
      <c r="B24" s="2"/>
      <c r="C24" s="2"/>
      <c r="D24" s="2"/>
      <c r="E24" s="2"/>
      <c r="F24" s="2"/>
      <c r="G24" s="2"/>
      <c r="H24" s="2"/>
      <c r="I24" s="2"/>
      <c r="J24" s="2"/>
      <c r="K24" s="2"/>
      <c r="L24" s="2"/>
      <c r="M24" s="2"/>
      <c r="N24" s="2"/>
      <c r="O24" s="2"/>
      <c r="P24" s="2"/>
      <c r="Q24" s="2"/>
      <c r="R24" s="2"/>
      <c r="S24" s="2"/>
      <c r="T24" s="2"/>
    </row>
    <row r="25" spans="1:20">
      <c r="A25" s="2"/>
      <c r="B25" s="2"/>
      <c r="C25" s="2"/>
      <c r="D25" s="2"/>
      <c r="E25" s="2"/>
      <c r="F25" s="2"/>
      <c r="G25" s="2"/>
      <c r="H25" s="2"/>
      <c r="I25" s="2"/>
      <c r="J25" s="2"/>
      <c r="K25" s="2"/>
      <c r="L25" s="2"/>
      <c r="M25" s="2"/>
      <c r="N25" s="2"/>
      <c r="O25" s="2"/>
      <c r="P25" s="2"/>
      <c r="Q25" s="2"/>
      <c r="R25" s="2"/>
      <c r="S25" s="2"/>
      <c r="T25" s="2"/>
    </row>
    <row r="26" spans="1:20">
      <c r="A26" s="2"/>
      <c r="B26" s="2"/>
      <c r="C26" s="2"/>
      <c r="D26" s="2"/>
      <c r="E26" s="2"/>
      <c r="F26" s="2"/>
      <c r="G26" s="2"/>
      <c r="H26" s="2"/>
      <c r="I26" s="2"/>
      <c r="J26" s="2"/>
      <c r="K26" s="2"/>
      <c r="L26" s="2"/>
      <c r="M26" s="2"/>
      <c r="N26" s="2"/>
      <c r="O26" s="2"/>
      <c r="P26" s="2"/>
      <c r="Q26" s="2"/>
      <c r="R26" s="2"/>
      <c r="S26" s="2"/>
      <c r="T26" s="2"/>
    </row>
    <row r="27" spans="1:20">
      <c r="A27" s="2"/>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29" spans="1:20">
      <c r="A29" s="2"/>
      <c r="B29" s="2"/>
      <c r="C29" s="2"/>
      <c r="D29" s="2"/>
      <c r="E29" s="2"/>
      <c r="F29" s="2"/>
      <c r="G29" s="2"/>
      <c r="H29" s="2"/>
      <c r="I29" s="2"/>
      <c r="J29" s="2"/>
      <c r="K29" s="2"/>
      <c r="L29" s="2"/>
      <c r="M29" s="2"/>
      <c r="N29" s="2"/>
      <c r="O29" s="2"/>
      <c r="P29" s="2"/>
      <c r="Q29" s="2"/>
      <c r="R29" s="2"/>
      <c r="S29" s="2"/>
      <c r="T29" s="2"/>
    </row>
    <row r="30" spans="1:20">
      <c r="A30" s="2"/>
      <c r="B30" s="2"/>
      <c r="C30" s="2"/>
      <c r="D30" s="2"/>
      <c r="E30" s="2"/>
      <c r="F30" s="2"/>
      <c r="G30" s="2"/>
      <c r="H30" s="2"/>
      <c r="I30" s="2"/>
      <c r="J30" s="2"/>
      <c r="K30" s="2"/>
      <c r="L30" s="2"/>
      <c r="M30" s="2"/>
      <c r="N30" s="2"/>
      <c r="O30" s="2"/>
      <c r="P30" s="2"/>
      <c r="Q30" s="2"/>
      <c r="R30" s="2"/>
      <c r="S30" s="2"/>
      <c r="T30" s="2"/>
    </row>
    <row r="31" spans="1:20">
      <c r="A31" s="2"/>
      <c r="B31" s="2"/>
      <c r="C31" s="2"/>
      <c r="D31" s="2"/>
      <c r="E31" s="2"/>
      <c r="F31" s="2"/>
      <c r="G31" s="2"/>
      <c r="H31" s="2"/>
      <c r="I31" s="2"/>
      <c r="J31" s="2"/>
      <c r="K31" s="2"/>
      <c r="L31" s="2"/>
      <c r="M31" s="2"/>
      <c r="N31" s="2"/>
      <c r="O31" s="2"/>
      <c r="P31" s="2"/>
      <c r="Q31" s="2"/>
      <c r="R31" s="2"/>
      <c r="S31" s="2"/>
      <c r="T31" s="2"/>
    </row>
    <row r="32" spans="1:20">
      <c r="A32" s="2"/>
      <c r="B32" s="2"/>
      <c r="C32" s="2"/>
      <c r="D32" s="2"/>
      <c r="E32" s="2"/>
      <c r="F32" s="2"/>
      <c r="G32" s="2"/>
      <c r="H32" s="2"/>
      <c r="I32" s="2"/>
      <c r="J32" s="2"/>
      <c r="K32" s="2"/>
      <c r="L32" s="2"/>
      <c r="M32" s="2"/>
      <c r="N32" s="2"/>
      <c r="O32" s="2"/>
      <c r="P32" s="2"/>
      <c r="Q32" s="2"/>
      <c r="R32" s="2"/>
      <c r="S32" s="2"/>
      <c r="T32" s="2"/>
    </row>
    <row r="33" spans="1:20">
      <c r="A33" s="2"/>
      <c r="B33" s="2"/>
      <c r="C33" s="2"/>
      <c r="D33" s="2"/>
      <c r="E33" s="2"/>
      <c r="F33" s="2"/>
      <c r="G33" s="2"/>
      <c r="H33" s="2"/>
      <c r="I33" s="2"/>
      <c r="J33" s="2"/>
      <c r="K33" s="2"/>
      <c r="L33" s="2"/>
      <c r="M33" s="2"/>
      <c r="N33" s="2"/>
      <c r="O33" s="2"/>
      <c r="P33" s="2"/>
      <c r="Q33" s="2"/>
      <c r="R33" s="2"/>
      <c r="S33" s="2"/>
      <c r="T33" s="2"/>
    </row>
    <row r="34" spans="1:20">
      <c r="A34" s="2"/>
      <c r="B34" s="2"/>
      <c r="C34" s="2"/>
      <c r="D34" s="2"/>
      <c r="E34" s="2"/>
      <c r="F34" s="2"/>
      <c r="G34" s="2"/>
      <c r="H34" s="2"/>
      <c r="I34" s="2"/>
      <c r="J34" s="2"/>
      <c r="K34" s="2"/>
      <c r="L34" s="2"/>
      <c r="M34" s="2"/>
      <c r="N34" s="2"/>
      <c r="O34" s="2"/>
      <c r="P34" s="2"/>
      <c r="Q34" s="2"/>
      <c r="R34" s="2"/>
      <c r="S34" s="2"/>
      <c r="T34" s="2"/>
    </row>
    <row r="35" spans="1:20">
      <c r="A35" s="2"/>
      <c r="B35" s="2"/>
      <c r="C35" s="2"/>
      <c r="D35" s="2"/>
      <c r="E35" s="2"/>
      <c r="F35" s="2"/>
      <c r="G35" s="2"/>
      <c r="H35" s="2"/>
      <c r="I35" s="2"/>
      <c r="J35" s="2"/>
      <c r="K35" s="2"/>
      <c r="L35" s="2"/>
      <c r="M35" s="2"/>
      <c r="N35" s="2"/>
      <c r="O35" s="2"/>
      <c r="P35" s="2"/>
      <c r="Q35" s="2"/>
      <c r="R35" s="2"/>
      <c r="S35" s="2"/>
      <c r="T35" s="2"/>
    </row>
    <row r="36" spans="1:20">
      <c r="A36" s="2"/>
      <c r="B36" s="2"/>
      <c r="C36" s="2"/>
      <c r="D36" s="2"/>
      <c r="E36" s="2"/>
      <c r="F36" s="2"/>
      <c r="G36" s="2"/>
      <c r="H36" s="2"/>
      <c r="I36" s="2"/>
      <c r="J36" s="2"/>
      <c r="K36" s="2"/>
      <c r="L36" s="2"/>
      <c r="M36" s="2"/>
      <c r="N36" s="2"/>
      <c r="O36" s="2"/>
      <c r="P36" s="2"/>
      <c r="Q36" s="2"/>
      <c r="R36" s="2"/>
      <c r="S36" s="2"/>
      <c r="T36" s="2"/>
    </row>
    <row r="37" spans="1:20">
      <c r="A37" s="2"/>
      <c r="B37" s="2"/>
      <c r="C37" s="2"/>
      <c r="D37" s="2"/>
      <c r="E37" s="2"/>
      <c r="F37" s="2"/>
      <c r="G37" s="2"/>
      <c r="H37" s="2"/>
      <c r="I37" s="2"/>
      <c r="J37" s="2"/>
      <c r="K37" s="2"/>
      <c r="L37" s="2"/>
      <c r="M37" s="2"/>
      <c r="N37" s="2"/>
      <c r="O37" s="2"/>
      <c r="P37" s="2"/>
      <c r="Q37" s="2"/>
      <c r="R37" s="2"/>
      <c r="S37" s="2"/>
      <c r="T37" s="2"/>
    </row>
    <row r="38" spans="1:20">
      <c r="A38" s="2"/>
      <c r="B38" s="2"/>
      <c r="C38" s="2"/>
      <c r="D38" s="2"/>
      <c r="E38" s="2"/>
      <c r="F38" s="2"/>
      <c r="G38" s="2"/>
      <c r="H38" s="2"/>
      <c r="I38" s="2"/>
      <c r="J38" s="2"/>
      <c r="K38" s="2"/>
      <c r="L38" s="2"/>
      <c r="M38" s="2"/>
      <c r="N38" s="2"/>
      <c r="O38" s="2"/>
      <c r="P38" s="2"/>
      <c r="Q38" s="2"/>
      <c r="R38" s="2"/>
      <c r="S38" s="2"/>
      <c r="T38" s="2"/>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c r="A41" s="2"/>
      <c r="B41" s="2"/>
      <c r="C41" s="2"/>
      <c r="D41" s="2"/>
      <c r="E41" s="2"/>
      <c r="F41" s="2"/>
      <c r="G41" s="2"/>
      <c r="H41" s="2"/>
      <c r="I41" s="2"/>
      <c r="J41" s="2"/>
      <c r="K41" s="2"/>
      <c r="L41" s="2"/>
      <c r="M41" s="2"/>
      <c r="N41" s="2"/>
      <c r="O41" s="2"/>
      <c r="P41" s="2"/>
      <c r="Q41" s="2"/>
      <c r="R41" s="2"/>
      <c r="S41" s="2"/>
      <c r="T41" s="2"/>
    </row>
    <row r="42" spans="1:20">
      <c r="A42" s="2"/>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2"/>
      <c r="T43" s="2"/>
    </row>
    <row r="44" spans="1:20">
      <c r="A44" s="2"/>
      <c r="B44" s="2"/>
      <c r="C44" s="2"/>
      <c r="D44" s="2"/>
      <c r="E44" s="2"/>
      <c r="F44" s="2"/>
      <c r="G44" s="2"/>
      <c r="H44" s="2"/>
      <c r="I44" s="2"/>
      <c r="J44" s="2"/>
      <c r="K44" s="2"/>
      <c r="L44" s="2"/>
      <c r="M44" s="2"/>
      <c r="N44" s="2"/>
      <c r="O44" s="2"/>
      <c r="P44" s="2"/>
      <c r="Q44" s="2"/>
      <c r="R44" s="2"/>
      <c r="S44" s="2"/>
      <c r="T44" s="2"/>
    </row>
    <row r="45" spans="1:20">
      <c r="A45" s="2"/>
      <c r="B45" s="2"/>
      <c r="C45" s="2"/>
      <c r="D45" s="2"/>
      <c r="E45" s="2"/>
      <c r="F45" s="2"/>
      <c r="G45" s="2"/>
      <c r="H45" s="2"/>
      <c r="I45" s="2"/>
      <c r="J45" s="2"/>
      <c r="K45" s="2"/>
      <c r="L45" s="2"/>
      <c r="M45" s="2"/>
      <c r="N45" s="2"/>
      <c r="O45" s="2"/>
      <c r="P45" s="2"/>
      <c r="Q45" s="2"/>
      <c r="R45" s="2"/>
      <c r="S45" s="2"/>
      <c r="T45" s="2"/>
    </row>
    <row r="46" spans="1:20">
      <c r="A46" s="2"/>
      <c r="B46" s="2"/>
      <c r="C46" s="2"/>
      <c r="D46" s="2"/>
      <c r="E46" s="2"/>
      <c r="F46" s="2"/>
      <c r="G46" s="2"/>
      <c r="H46" s="2"/>
      <c r="I46" s="2"/>
      <c r="J46" s="2"/>
      <c r="K46" s="2"/>
      <c r="L46" s="2"/>
      <c r="M46" s="2"/>
      <c r="N46" s="2"/>
      <c r="O46" s="2"/>
      <c r="P46" s="2"/>
      <c r="Q46" s="2"/>
      <c r="R46" s="2"/>
      <c r="S46" s="2"/>
      <c r="T46" s="2"/>
    </row>
  </sheetData>
  <mergeCells count="1">
    <mergeCell ref="B6:M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U260"/>
  <sheetViews>
    <sheetView showGridLines="0" zoomScale="70" zoomScaleNormal="70" zoomScalePageLayoutView="70" workbookViewId="0">
      <pane xSplit="4" ySplit="6" topLeftCell="E7" activePane="bottomRight" state="frozen"/>
      <selection activeCell="H67" sqref="H67"/>
      <selection pane="topRight" activeCell="H67" sqref="H67"/>
      <selection pane="bottomLeft" activeCell="H67" sqref="H67"/>
      <selection pane="bottomRight"/>
    </sheetView>
  </sheetViews>
  <sheetFormatPr defaultColWidth="8.77734375" defaultRowHeight="13.8"/>
  <cols>
    <col min="1" max="1" width="4.44140625" style="74" customWidth="1"/>
    <col min="2" max="2" width="17.77734375" style="74" customWidth="1"/>
    <col min="3" max="3" width="12.44140625" style="74" customWidth="1"/>
    <col min="4" max="4" width="17.21875" style="74" customWidth="1"/>
    <col min="5" max="16" width="12.44140625" style="74" customWidth="1"/>
    <col min="17" max="17" width="22.21875" style="74" customWidth="1"/>
    <col min="18" max="18" width="10.77734375" style="74" bestFit="1" customWidth="1"/>
    <col min="19" max="23" width="8.77734375" style="74"/>
    <col min="24" max="31" width="10.44140625" style="74" customWidth="1"/>
    <col min="32" max="16384" width="8.77734375" style="74"/>
  </cols>
  <sheetData>
    <row r="2" spans="2:21" ht="23.4">
      <c r="B2" s="6" t="str">
        <f>Introduction!$B$2</f>
        <v>LightCounting Ethernet Transceivers Forecast</v>
      </c>
      <c r="C2" s="56"/>
      <c r="D2" s="56"/>
      <c r="T2" s="12"/>
      <c r="U2" s="12"/>
    </row>
    <row r="3" spans="2:21" ht="15.6">
      <c r="B3" s="37" t="str">
        <f>Introduction!$B$3</f>
        <v>March 2022 - sample spreadsheet</v>
      </c>
    </row>
    <row r="4" spans="2:21" ht="18">
      <c r="B4" s="6" t="s">
        <v>380</v>
      </c>
      <c r="C4" s="56"/>
      <c r="D4" s="56"/>
    </row>
    <row r="5" spans="2:21" ht="14.4">
      <c r="B5" s="75"/>
    </row>
    <row r="6" spans="2:21">
      <c r="B6" s="254" t="s">
        <v>32</v>
      </c>
      <c r="C6" s="255" t="s">
        <v>31</v>
      </c>
      <c r="D6" s="256" t="s">
        <v>33</v>
      </c>
      <c r="E6" s="156">
        <v>2016</v>
      </c>
      <c r="F6" s="156">
        <v>2017</v>
      </c>
      <c r="G6" s="156">
        <v>2018</v>
      </c>
      <c r="H6" s="156">
        <v>2019</v>
      </c>
      <c r="I6" s="156">
        <v>2020</v>
      </c>
      <c r="J6" s="156">
        <v>2021</v>
      </c>
      <c r="K6" s="156">
        <v>2022</v>
      </c>
      <c r="L6" s="156">
        <v>2023</v>
      </c>
      <c r="M6" s="156">
        <v>2024</v>
      </c>
      <c r="N6" s="156">
        <v>2025</v>
      </c>
      <c r="O6" s="156">
        <v>2026</v>
      </c>
      <c r="P6" s="156">
        <v>2027</v>
      </c>
    </row>
    <row r="7" spans="2:21" ht="21">
      <c r="B7" s="14" t="s">
        <v>18</v>
      </c>
      <c r="E7" s="13" t="s">
        <v>17</v>
      </c>
    </row>
    <row r="8" spans="2:21">
      <c r="B8" s="359" t="str">
        <f>B6</f>
        <v>Data Rate</v>
      </c>
      <c r="C8" s="360" t="str">
        <f>C6</f>
        <v>Reach</v>
      </c>
      <c r="D8" s="360" t="str">
        <f>D6</f>
        <v>Form Factor</v>
      </c>
      <c r="E8" s="265">
        <v>2016</v>
      </c>
      <c r="F8" s="265">
        <v>2017</v>
      </c>
      <c r="G8" s="265">
        <v>2018</v>
      </c>
      <c r="H8" s="265">
        <v>2019</v>
      </c>
      <c r="I8" s="265">
        <v>2020</v>
      </c>
      <c r="J8" s="265">
        <v>2021</v>
      </c>
      <c r="K8" s="265">
        <v>2022</v>
      </c>
      <c r="L8" s="265">
        <v>2023</v>
      </c>
      <c r="M8" s="265">
        <v>2024</v>
      </c>
      <c r="N8" s="265">
        <v>2025</v>
      </c>
      <c r="O8" s="265">
        <v>2026</v>
      </c>
      <c r="P8" s="265">
        <v>2027</v>
      </c>
    </row>
    <row r="9" spans="2:21">
      <c r="B9" s="79" t="str">
        <f>Products!B36</f>
        <v>1G</v>
      </c>
      <c r="C9" s="80" t="str">
        <f>Products!C36</f>
        <v>500 m</v>
      </c>
      <c r="D9" s="81" t="str">
        <f>Products!D36</f>
        <v>SFP</v>
      </c>
      <c r="E9" s="82">
        <v>4496175.0999999996</v>
      </c>
      <c r="F9" s="82">
        <v>4278484</v>
      </c>
      <c r="G9" s="82">
        <v>4962296</v>
      </c>
      <c r="H9" s="82"/>
      <c r="I9" s="82"/>
      <c r="J9" s="82"/>
      <c r="K9" s="82"/>
      <c r="L9" s="82"/>
      <c r="M9" s="82"/>
      <c r="N9" s="82"/>
      <c r="O9" s="82"/>
      <c r="P9" s="82"/>
    </row>
    <row r="10" spans="2:21">
      <c r="B10" s="87" t="str">
        <f>Products!B37</f>
        <v>1G</v>
      </c>
      <c r="C10" s="88" t="str">
        <f>Products!C37</f>
        <v>10 km</v>
      </c>
      <c r="D10" s="89" t="str">
        <f>Products!D37</f>
        <v>SFP</v>
      </c>
      <c r="E10" s="90">
        <v>6043317.0336000007</v>
      </c>
      <c r="F10" s="90">
        <v>4616748.72</v>
      </c>
      <c r="G10" s="90">
        <v>5648443.9199999999</v>
      </c>
      <c r="H10" s="90"/>
      <c r="I10" s="90"/>
      <c r="J10" s="90"/>
      <c r="K10" s="90"/>
      <c r="L10" s="90"/>
      <c r="M10" s="90"/>
      <c r="N10" s="90"/>
      <c r="O10" s="90"/>
      <c r="P10" s="90"/>
    </row>
    <row r="11" spans="2:21">
      <c r="B11" s="87" t="str">
        <f>Products!B38</f>
        <v>1G</v>
      </c>
      <c r="C11" s="88" t="str">
        <f>Products!C38</f>
        <v>40 km</v>
      </c>
      <c r="D11" s="89" t="str">
        <f>Products!D38</f>
        <v>SFP</v>
      </c>
      <c r="E11" s="90">
        <v>281281.8125</v>
      </c>
      <c r="F11" s="90">
        <v>238750.2</v>
      </c>
      <c r="G11" s="90">
        <v>508066.5</v>
      </c>
      <c r="H11" s="90"/>
      <c r="I11" s="90"/>
      <c r="J11" s="90"/>
      <c r="K11" s="90"/>
      <c r="L11" s="90"/>
      <c r="M11" s="90"/>
      <c r="N11" s="90"/>
      <c r="O11" s="90"/>
      <c r="P11" s="90"/>
    </row>
    <row r="12" spans="2:21">
      <c r="B12" s="87" t="str">
        <f>Products!B39</f>
        <v>1G</v>
      </c>
      <c r="C12" s="88" t="str">
        <f>Products!C39</f>
        <v>80 km</v>
      </c>
      <c r="D12" s="89" t="str">
        <f>Products!D39</f>
        <v>SFP</v>
      </c>
      <c r="E12" s="90">
        <v>0</v>
      </c>
      <c r="F12" s="90">
        <v>0</v>
      </c>
      <c r="G12" s="90">
        <v>0</v>
      </c>
      <c r="H12" s="90"/>
      <c r="I12" s="90"/>
      <c r="J12" s="90"/>
      <c r="K12" s="90"/>
      <c r="L12" s="90"/>
      <c r="M12" s="90"/>
      <c r="N12" s="90"/>
      <c r="O12" s="90"/>
      <c r="P12" s="90"/>
    </row>
    <row r="13" spans="2:21">
      <c r="B13" s="83" t="str">
        <f>Products!B40</f>
        <v>1G &amp; Fast Ethernet</v>
      </c>
      <c r="C13" s="84" t="str">
        <f>Products!C40</f>
        <v>Various</v>
      </c>
      <c r="D13" s="85" t="str">
        <f>Products!D40</f>
        <v>Legacy/discontinued</v>
      </c>
      <c r="E13" s="86">
        <v>100000</v>
      </c>
      <c r="F13" s="86">
        <v>0</v>
      </c>
      <c r="G13" s="86">
        <v>0</v>
      </c>
      <c r="H13" s="86"/>
      <c r="I13" s="86"/>
      <c r="J13" s="86"/>
      <c r="K13" s="86"/>
      <c r="L13" s="86"/>
      <c r="M13" s="86"/>
      <c r="N13" s="86"/>
      <c r="O13" s="86"/>
      <c r="P13" s="86"/>
    </row>
    <row r="14" spans="2:21">
      <c r="B14" s="87" t="str">
        <f>Products!B41</f>
        <v>10G</v>
      </c>
      <c r="C14" s="88" t="str">
        <f>Products!C41</f>
        <v>300 m</v>
      </c>
      <c r="D14" s="88" t="str">
        <f>Products!D41</f>
        <v>XFP</v>
      </c>
      <c r="E14" s="90">
        <v>117811</v>
      </c>
      <c r="F14" s="90">
        <v>83582</v>
      </c>
      <c r="G14" s="90">
        <v>55887</v>
      </c>
      <c r="H14" s="90"/>
      <c r="I14" s="90"/>
      <c r="J14" s="90"/>
      <c r="K14" s="90"/>
      <c r="L14" s="90"/>
      <c r="M14" s="90"/>
      <c r="N14" s="90"/>
      <c r="O14" s="90"/>
      <c r="P14" s="90"/>
    </row>
    <row r="15" spans="2:21">
      <c r="B15" s="87" t="str">
        <f>Products!B42</f>
        <v>10G</v>
      </c>
      <c r="C15" s="88" t="str">
        <f>Products!C42</f>
        <v>300 m</v>
      </c>
      <c r="D15" s="88" t="str">
        <f>Products!D42</f>
        <v>SFP+</v>
      </c>
      <c r="E15" s="90">
        <v>5828784.1666400004</v>
      </c>
      <c r="F15" s="90">
        <v>6732983.1762297843</v>
      </c>
      <c r="G15" s="90">
        <v>7180143.9841816463</v>
      </c>
      <c r="H15" s="90"/>
      <c r="I15" s="90"/>
      <c r="J15" s="90"/>
      <c r="K15" s="90"/>
      <c r="L15" s="90"/>
      <c r="M15" s="90"/>
      <c r="N15" s="90"/>
      <c r="O15" s="90"/>
      <c r="P15" s="90"/>
    </row>
    <row r="16" spans="2:21">
      <c r="B16" s="87" t="str">
        <f>Products!B43</f>
        <v>10G LRM</v>
      </c>
      <c r="C16" s="88" t="str">
        <f>Products!C43</f>
        <v>220 m</v>
      </c>
      <c r="D16" s="88" t="str">
        <f>Products!D43</f>
        <v>SFP+</v>
      </c>
      <c r="E16" s="90">
        <v>121638</v>
      </c>
      <c r="F16" s="90">
        <v>108162</v>
      </c>
      <c r="G16" s="90">
        <v>97170</v>
      </c>
      <c r="H16" s="90"/>
      <c r="I16" s="90"/>
      <c r="J16" s="90"/>
      <c r="K16" s="90"/>
      <c r="L16" s="90"/>
      <c r="M16" s="90"/>
      <c r="N16" s="90"/>
      <c r="O16" s="90"/>
      <c r="P16" s="90"/>
    </row>
    <row r="17" spans="2:16">
      <c r="B17" s="87" t="str">
        <f>Products!B44</f>
        <v>10G</v>
      </c>
      <c r="C17" s="88" t="str">
        <f>Products!C44</f>
        <v>10 km</v>
      </c>
      <c r="D17" s="88" t="str">
        <f>Products!D44</f>
        <v>XFP</v>
      </c>
      <c r="E17" s="90">
        <v>36681.300000000003</v>
      </c>
      <c r="F17" s="90">
        <v>19571.400000000001</v>
      </c>
      <c r="G17" s="90">
        <v>59521.200000000012</v>
      </c>
      <c r="H17" s="90"/>
      <c r="I17" s="90"/>
      <c r="J17" s="90"/>
      <c r="K17" s="90"/>
      <c r="L17" s="90"/>
      <c r="M17" s="90"/>
      <c r="N17" s="90"/>
      <c r="O17" s="90"/>
      <c r="P17" s="90"/>
    </row>
    <row r="18" spans="2:16">
      <c r="B18" s="87" t="str">
        <f>Products!B45</f>
        <v>10G</v>
      </c>
      <c r="C18" s="88" t="str">
        <f>Products!C45</f>
        <v>10 km</v>
      </c>
      <c r="D18" s="88" t="str">
        <f>Products!D45</f>
        <v>SFP+</v>
      </c>
      <c r="E18" s="90">
        <v>3392360.6810269356</v>
      </c>
      <c r="F18" s="90">
        <v>3629959.5306415008</v>
      </c>
      <c r="G18" s="90">
        <v>4119535.2900000005</v>
      </c>
      <c r="H18" s="90"/>
      <c r="I18" s="90"/>
      <c r="J18" s="90"/>
      <c r="K18" s="90"/>
      <c r="L18" s="90"/>
      <c r="M18" s="90"/>
      <c r="N18" s="90"/>
      <c r="O18" s="90"/>
      <c r="P18" s="90"/>
    </row>
    <row r="19" spans="2:16">
      <c r="B19" s="87" t="str">
        <f>Products!B46</f>
        <v>10G</v>
      </c>
      <c r="C19" s="88" t="str">
        <f>Products!C46</f>
        <v>40 km</v>
      </c>
      <c r="D19" s="88" t="str">
        <f>Products!D46</f>
        <v>XFP</v>
      </c>
      <c r="E19" s="90">
        <v>0</v>
      </c>
      <c r="F19" s="90">
        <v>0</v>
      </c>
      <c r="G19" s="90">
        <v>0</v>
      </c>
      <c r="H19" s="90"/>
      <c r="I19" s="90"/>
      <c r="J19" s="90"/>
      <c r="K19" s="90"/>
      <c r="L19" s="90"/>
      <c r="M19" s="90"/>
      <c r="N19" s="90"/>
      <c r="O19" s="90"/>
      <c r="P19" s="90"/>
    </row>
    <row r="20" spans="2:16">
      <c r="B20" s="87" t="str">
        <f>Products!B47</f>
        <v>10G</v>
      </c>
      <c r="C20" s="88" t="str">
        <f>Products!C47</f>
        <v>40 km</v>
      </c>
      <c r="D20" s="88" t="str">
        <f>Products!D47</f>
        <v>SFP+</v>
      </c>
      <c r="E20" s="90">
        <v>51581.85000000002</v>
      </c>
      <c r="F20" s="90">
        <v>64579.649999999994</v>
      </c>
      <c r="G20" s="90">
        <v>162555.48000000001</v>
      </c>
      <c r="H20" s="90"/>
      <c r="I20" s="90"/>
      <c r="J20" s="90"/>
      <c r="K20" s="90"/>
      <c r="L20" s="90"/>
      <c r="M20" s="90"/>
      <c r="N20" s="90"/>
      <c r="O20" s="90"/>
      <c r="P20" s="90"/>
    </row>
    <row r="21" spans="2:16">
      <c r="B21" s="87" t="str">
        <f>Products!B48</f>
        <v>10G</v>
      </c>
      <c r="C21" s="88" t="str">
        <f>Products!C48</f>
        <v>80 km</v>
      </c>
      <c r="D21" s="88" t="str">
        <f>Products!D48</f>
        <v>XFP</v>
      </c>
      <c r="E21" s="90">
        <v>0</v>
      </c>
      <c r="F21" s="90">
        <v>0</v>
      </c>
      <c r="G21" s="90">
        <v>0</v>
      </c>
      <c r="H21" s="90"/>
      <c r="I21" s="90"/>
      <c r="J21" s="90"/>
      <c r="K21" s="90"/>
      <c r="L21" s="90"/>
      <c r="M21" s="90"/>
      <c r="N21" s="90"/>
      <c r="O21" s="90"/>
      <c r="P21" s="90"/>
    </row>
    <row r="22" spans="2:16">
      <c r="B22" s="87" t="str">
        <f>Products!B49</f>
        <v>10G</v>
      </c>
      <c r="C22" s="88" t="str">
        <f>Products!C49</f>
        <v>80 km</v>
      </c>
      <c r="D22" s="88" t="str">
        <f>Products!D49</f>
        <v>SFP+</v>
      </c>
      <c r="E22" s="90">
        <v>0</v>
      </c>
      <c r="F22" s="90">
        <v>0</v>
      </c>
      <c r="G22" s="90">
        <v>0</v>
      </c>
      <c r="H22" s="90"/>
      <c r="I22" s="90"/>
      <c r="J22" s="90"/>
      <c r="K22" s="90"/>
      <c r="L22" s="90"/>
      <c r="M22" s="90"/>
      <c r="N22" s="90"/>
      <c r="O22" s="90"/>
      <c r="P22" s="90"/>
    </row>
    <row r="23" spans="2:16">
      <c r="B23" s="87" t="str">
        <f>Products!B50</f>
        <v>10G</v>
      </c>
      <c r="C23" s="88" t="str">
        <f>Products!C50</f>
        <v>Various</v>
      </c>
      <c r="D23" s="88" t="str">
        <f>Products!D50</f>
        <v>Legacy/discontinued</v>
      </c>
      <c r="E23" s="90">
        <v>32526.5</v>
      </c>
      <c r="F23" s="90">
        <v>12164.5</v>
      </c>
      <c r="G23" s="90">
        <v>1750</v>
      </c>
      <c r="H23" s="90"/>
      <c r="I23" s="90"/>
      <c r="J23" s="90"/>
      <c r="K23" s="90"/>
      <c r="L23" s="90"/>
      <c r="M23" s="90"/>
      <c r="N23" s="90"/>
      <c r="O23" s="90"/>
      <c r="P23" s="90"/>
    </row>
    <row r="24" spans="2:16">
      <c r="B24" s="79" t="str">
        <f>Products!B51</f>
        <v>25G SR, eSR</v>
      </c>
      <c r="C24" s="80" t="str">
        <f>Products!C51</f>
        <v>100 - 300 m</v>
      </c>
      <c r="D24" s="81" t="str">
        <f>Products!D51</f>
        <v>SFP28</v>
      </c>
      <c r="E24" s="82">
        <v>7146</v>
      </c>
      <c r="F24" s="82">
        <v>95865</v>
      </c>
      <c r="G24" s="82">
        <v>318978</v>
      </c>
      <c r="H24" s="82"/>
      <c r="I24" s="82"/>
      <c r="J24" s="82"/>
      <c r="K24" s="82"/>
      <c r="L24" s="82"/>
      <c r="M24" s="82"/>
      <c r="N24" s="82"/>
      <c r="O24" s="82"/>
      <c r="P24" s="82"/>
    </row>
    <row r="25" spans="2:16">
      <c r="B25" s="87" t="str">
        <f>Products!B52</f>
        <v>25G LR</v>
      </c>
      <c r="C25" s="88" t="str">
        <f>Products!C52</f>
        <v>10 km</v>
      </c>
      <c r="D25" s="89" t="str">
        <f>Products!D52</f>
        <v>SFP28</v>
      </c>
      <c r="E25" s="90">
        <v>3183.6</v>
      </c>
      <c r="F25" s="90">
        <v>12223.4</v>
      </c>
      <c r="G25" s="90">
        <v>39696.299999999996</v>
      </c>
      <c r="H25" s="90"/>
      <c r="I25" s="90"/>
      <c r="J25" s="90"/>
      <c r="K25" s="90"/>
      <c r="L25" s="90"/>
      <c r="M25" s="90"/>
      <c r="N25" s="90"/>
      <c r="O25" s="90"/>
      <c r="P25" s="90"/>
    </row>
    <row r="26" spans="2:16">
      <c r="B26" s="83" t="str">
        <f>Products!B53</f>
        <v>25G ER</v>
      </c>
      <c r="C26" s="84" t="str">
        <f>Products!C53</f>
        <v>40 km</v>
      </c>
      <c r="D26" s="85" t="str">
        <f>Products!D53</f>
        <v>SFP28</v>
      </c>
      <c r="E26" s="86">
        <v>0</v>
      </c>
      <c r="F26" s="86">
        <v>0</v>
      </c>
      <c r="G26" s="86">
        <v>0</v>
      </c>
      <c r="H26" s="86"/>
      <c r="I26" s="86"/>
      <c r="J26" s="86"/>
      <c r="K26" s="86"/>
      <c r="L26" s="86"/>
      <c r="M26" s="86"/>
      <c r="N26" s="86"/>
      <c r="O26" s="86"/>
      <c r="P26" s="86"/>
    </row>
    <row r="27" spans="2:16">
      <c r="B27" s="87" t="str">
        <f>Products!B54</f>
        <v>40G SR4</v>
      </c>
      <c r="C27" s="88" t="str">
        <f>Products!C54</f>
        <v>100 m</v>
      </c>
      <c r="D27" s="89" t="str">
        <f>Products!D54</f>
        <v>QSFP+</v>
      </c>
      <c r="E27" s="82">
        <v>63993.500000000015</v>
      </c>
      <c r="F27" s="82">
        <v>79381.200000000012</v>
      </c>
      <c r="G27" s="82">
        <v>96063.950000000012</v>
      </c>
      <c r="H27" s="82"/>
      <c r="I27" s="82"/>
      <c r="J27" s="82"/>
      <c r="K27" s="82"/>
      <c r="L27" s="82"/>
      <c r="M27" s="82"/>
      <c r="N27" s="82"/>
      <c r="O27" s="82"/>
      <c r="P27" s="82"/>
    </row>
    <row r="28" spans="2:16">
      <c r="B28" s="87" t="str">
        <f>Products!B55</f>
        <v>40G MM duplex</v>
      </c>
      <c r="C28" s="88" t="str">
        <f>Products!C55</f>
        <v>100 m</v>
      </c>
      <c r="D28" s="89" t="str">
        <f>Products!D55</f>
        <v>QSFP+</v>
      </c>
      <c r="E28" s="90">
        <v>614294</v>
      </c>
      <c r="F28" s="90">
        <v>750519</v>
      </c>
      <c r="G28" s="90">
        <v>594327</v>
      </c>
      <c r="H28" s="90"/>
      <c r="I28" s="90"/>
      <c r="J28" s="90"/>
      <c r="K28" s="90"/>
      <c r="L28" s="90"/>
      <c r="M28" s="90"/>
      <c r="N28" s="90"/>
      <c r="O28" s="90"/>
      <c r="P28" s="90"/>
    </row>
    <row r="29" spans="2:16">
      <c r="B29" s="87" t="str">
        <f>Products!B56</f>
        <v>40G eSR4</v>
      </c>
      <c r="C29" s="88" t="str">
        <f>Products!C56</f>
        <v>300 m</v>
      </c>
      <c r="D29" s="89" t="str">
        <f>Products!D56</f>
        <v>QSFP+</v>
      </c>
      <c r="E29" s="90">
        <v>27526.900000000005</v>
      </c>
      <c r="F29" s="90">
        <v>46653.500000000007</v>
      </c>
      <c r="G29" s="90">
        <v>49106.700000000012</v>
      </c>
      <c r="H29" s="90"/>
      <c r="I29" s="90"/>
      <c r="J29" s="90"/>
      <c r="K29" s="90"/>
      <c r="L29" s="90"/>
      <c r="M29" s="90"/>
      <c r="N29" s="90"/>
      <c r="O29" s="90"/>
      <c r="P29" s="90"/>
    </row>
    <row r="30" spans="2:16">
      <c r="B30" s="87" t="s">
        <v>271</v>
      </c>
      <c r="C30" s="88" t="s">
        <v>44</v>
      </c>
      <c r="D30" s="89" t="s">
        <v>93</v>
      </c>
      <c r="E30" s="187">
        <v>0</v>
      </c>
      <c r="F30" s="187">
        <v>0</v>
      </c>
      <c r="G30" s="187">
        <v>0</v>
      </c>
      <c r="H30" s="187"/>
      <c r="I30" s="187"/>
      <c r="J30" s="187"/>
      <c r="K30" s="187"/>
      <c r="L30" s="187"/>
      <c r="M30" s="187"/>
      <c r="N30" s="187"/>
      <c r="O30" s="187"/>
      <c r="P30" s="187"/>
    </row>
    <row r="31" spans="2:16">
      <c r="B31" s="87" t="str">
        <f>Products!B58</f>
        <v>40G (FR)</v>
      </c>
      <c r="C31" s="88" t="str">
        <f>Products!C58</f>
        <v>2 km</v>
      </c>
      <c r="D31" s="89" t="str">
        <f>Products!D58</f>
        <v>CFP</v>
      </c>
      <c r="E31" s="90">
        <v>0</v>
      </c>
      <c r="F31" s="90">
        <v>0</v>
      </c>
      <c r="G31" s="90">
        <v>0</v>
      </c>
      <c r="H31" s="90"/>
      <c r="I31" s="90"/>
      <c r="J31" s="90"/>
      <c r="K31" s="90"/>
      <c r="L31" s="90"/>
      <c r="M31" s="90"/>
      <c r="N31" s="90"/>
      <c r="O31" s="90"/>
      <c r="P31" s="90"/>
    </row>
    <row r="32" spans="2:16">
      <c r="B32" s="87" t="str">
        <f>Products!B59</f>
        <v>40G (LR4 subspec)</v>
      </c>
      <c r="C32" s="88" t="str">
        <f>Products!C59</f>
        <v>2 km</v>
      </c>
      <c r="D32" s="89" t="str">
        <f>Products!D59</f>
        <v>QSFP+</v>
      </c>
      <c r="E32" s="90">
        <v>0</v>
      </c>
      <c r="F32" s="90">
        <v>0</v>
      </c>
      <c r="G32" s="90">
        <v>0</v>
      </c>
      <c r="H32" s="90"/>
      <c r="I32" s="90"/>
      <c r="J32" s="90"/>
      <c r="K32" s="90"/>
      <c r="L32" s="90"/>
      <c r="M32" s="90"/>
      <c r="N32" s="90"/>
      <c r="O32" s="90"/>
      <c r="P32" s="90"/>
    </row>
    <row r="33" spans="2:16">
      <c r="B33" s="87" t="str">
        <f>Products!B60</f>
        <v>40G</v>
      </c>
      <c r="C33" s="88" t="str">
        <f>Products!C60</f>
        <v>10 km</v>
      </c>
      <c r="D33" s="89" t="str">
        <f>Products!D60</f>
        <v>CFP</v>
      </c>
      <c r="E33" s="90">
        <v>0</v>
      </c>
      <c r="F33" s="90">
        <v>0</v>
      </c>
      <c r="G33" s="90">
        <v>0</v>
      </c>
      <c r="H33" s="90"/>
      <c r="I33" s="90"/>
      <c r="J33" s="90"/>
      <c r="K33" s="90"/>
      <c r="L33" s="90"/>
      <c r="M33" s="90"/>
      <c r="N33" s="90"/>
      <c r="O33" s="90"/>
      <c r="P33" s="90"/>
    </row>
    <row r="34" spans="2:16">
      <c r="B34" s="87" t="str">
        <f>Products!B61</f>
        <v>40G</v>
      </c>
      <c r="C34" s="88" t="str">
        <f>Products!C61</f>
        <v>10 km</v>
      </c>
      <c r="D34" s="89" t="str">
        <f>Products!D61</f>
        <v>QSFP+</v>
      </c>
      <c r="E34" s="90">
        <v>65446.199999999983</v>
      </c>
      <c r="F34" s="90">
        <v>84871.599999999977</v>
      </c>
      <c r="G34" s="90">
        <v>53867.399999999987</v>
      </c>
      <c r="H34" s="90"/>
      <c r="I34" s="90"/>
      <c r="J34" s="90"/>
      <c r="K34" s="90"/>
      <c r="L34" s="90"/>
      <c r="M34" s="90"/>
      <c r="N34" s="90"/>
      <c r="O34" s="90"/>
      <c r="P34" s="90"/>
    </row>
    <row r="35" spans="2:16">
      <c r="B35" s="83" t="str">
        <f>Products!B62</f>
        <v>40G</v>
      </c>
      <c r="C35" s="84" t="str">
        <f>Products!C62</f>
        <v>40 km</v>
      </c>
      <c r="D35" s="85" t="str">
        <f>Products!D62</f>
        <v>QSFP+</v>
      </c>
      <c r="E35" s="86">
        <v>2202.3000000000002</v>
      </c>
      <c r="F35" s="86">
        <v>2824.64</v>
      </c>
      <c r="G35" s="86">
        <v>4852.1600000000008</v>
      </c>
      <c r="H35" s="86"/>
      <c r="I35" s="86"/>
      <c r="J35" s="86"/>
      <c r="K35" s="86"/>
      <c r="L35" s="86"/>
      <c r="M35" s="86"/>
      <c r="N35" s="86"/>
      <c r="O35" s="86"/>
      <c r="P35" s="86"/>
    </row>
    <row r="36" spans="2:16">
      <c r="B36" s="79" t="str">
        <f>Products!B63</f>
        <v xml:space="preserve">50G </v>
      </c>
      <c r="C36" s="80" t="str">
        <f>Products!C63</f>
        <v>100 m</v>
      </c>
      <c r="D36" s="81" t="str">
        <f>Products!D63</f>
        <v>all</v>
      </c>
      <c r="E36" s="82">
        <v>0</v>
      </c>
      <c r="F36" s="82">
        <v>0</v>
      </c>
      <c r="G36" s="82">
        <v>0</v>
      </c>
      <c r="H36" s="82"/>
      <c r="I36" s="82"/>
      <c r="J36" s="82"/>
      <c r="K36" s="82"/>
      <c r="L36" s="82"/>
      <c r="M36" s="82"/>
      <c r="N36" s="82"/>
      <c r="O36" s="82"/>
      <c r="P36" s="82"/>
    </row>
    <row r="37" spans="2:16">
      <c r="B37" s="87" t="str">
        <f>Products!B64</f>
        <v xml:space="preserve">50G </v>
      </c>
      <c r="C37" s="88" t="str">
        <f>Products!C64</f>
        <v>2 km</v>
      </c>
      <c r="D37" s="89" t="str">
        <f>Products!D64</f>
        <v>all</v>
      </c>
      <c r="E37" s="90">
        <v>0</v>
      </c>
      <c r="F37" s="90">
        <v>0</v>
      </c>
      <c r="G37" s="90">
        <v>0</v>
      </c>
      <c r="H37" s="90"/>
      <c r="I37" s="90"/>
      <c r="J37" s="90"/>
      <c r="K37" s="90"/>
      <c r="L37" s="90"/>
      <c r="M37" s="90"/>
      <c r="N37" s="90"/>
      <c r="O37" s="90"/>
      <c r="P37" s="90"/>
    </row>
    <row r="38" spans="2:16">
      <c r="B38" s="87" t="str">
        <f>Products!B65</f>
        <v xml:space="preserve">50G </v>
      </c>
      <c r="C38" s="88" t="str">
        <f>Products!C65</f>
        <v>10 km</v>
      </c>
      <c r="D38" s="89" t="str">
        <f>Products!D65</f>
        <v>all</v>
      </c>
      <c r="E38" s="90">
        <v>0</v>
      </c>
      <c r="F38" s="90">
        <v>0</v>
      </c>
      <c r="G38" s="90">
        <v>0</v>
      </c>
      <c r="H38" s="90"/>
      <c r="I38" s="90"/>
      <c r="J38" s="90"/>
      <c r="K38" s="90"/>
      <c r="L38" s="90"/>
      <c r="M38" s="90"/>
      <c r="N38" s="90"/>
      <c r="O38" s="90"/>
      <c r="P38" s="90"/>
    </row>
    <row r="39" spans="2:16">
      <c r="B39" s="87" t="str">
        <f>Products!B66</f>
        <v xml:space="preserve">50G </v>
      </c>
      <c r="C39" s="88" t="str">
        <f>Products!C66</f>
        <v>40 km</v>
      </c>
      <c r="D39" s="89" t="str">
        <f>Products!D66</f>
        <v>all</v>
      </c>
      <c r="E39" s="90">
        <v>0</v>
      </c>
      <c r="F39" s="90">
        <v>0</v>
      </c>
      <c r="G39" s="90">
        <v>0</v>
      </c>
      <c r="H39" s="90"/>
      <c r="I39" s="90"/>
      <c r="J39" s="90"/>
      <c r="K39" s="90"/>
      <c r="L39" s="90"/>
      <c r="M39" s="90"/>
      <c r="N39" s="90"/>
      <c r="O39" s="90"/>
      <c r="P39" s="90"/>
    </row>
    <row r="40" spans="2:16">
      <c r="B40" s="87" t="str">
        <f>Products!B67</f>
        <v xml:space="preserve">50G </v>
      </c>
      <c r="C40" s="88" t="str">
        <f>Products!C67</f>
        <v>80 km</v>
      </c>
      <c r="D40" s="89" t="str">
        <f>Products!D67</f>
        <v>all</v>
      </c>
      <c r="E40" s="90">
        <v>0</v>
      </c>
      <c r="F40" s="90">
        <v>0</v>
      </c>
      <c r="G40" s="90">
        <v>0</v>
      </c>
      <c r="H40" s="90"/>
      <c r="I40" s="90"/>
      <c r="J40" s="90"/>
      <c r="K40" s="90"/>
      <c r="L40" s="90"/>
      <c r="M40" s="90"/>
      <c r="N40" s="90"/>
      <c r="O40" s="90"/>
      <c r="P40" s="90"/>
    </row>
    <row r="41" spans="2:16">
      <c r="B41" s="79" t="str">
        <f>Products!B68</f>
        <v>100G SR4</v>
      </c>
      <c r="C41" s="80" t="str">
        <f>Products!C68</f>
        <v>100 m</v>
      </c>
      <c r="D41" s="81" t="str">
        <f>Products!D68</f>
        <v>CFP</v>
      </c>
      <c r="E41" s="82">
        <v>0</v>
      </c>
      <c r="F41" s="82">
        <v>0</v>
      </c>
      <c r="G41" s="82">
        <v>0</v>
      </c>
      <c r="H41" s="82"/>
      <c r="I41" s="82"/>
      <c r="J41" s="82"/>
      <c r="K41" s="82"/>
      <c r="L41" s="82"/>
      <c r="M41" s="82"/>
      <c r="N41" s="82"/>
      <c r="O41" s="82"/>
      <c r="P41" s="82"/>
    </row>
    <row r="42" spans="2:16">
      <c r="B42" s="87" t="str">
        <f>Products!B69</f>
        <v>100G SR4</v>
      </c>
      <c r="C42" s="88" t="str">
        <f>Products!C69</f>
        <v>100 m</v>
      </c>
      <c r="D42" s="89" t="str">
        <f>Products!D69</f>
        <v>CFP2/4</v>
      </c>
      <c r="E42" s="90">
        <v>0</v>
      </c>
      <c r="F42" s="90">
        <v>0</v>
      </c>
      <c r="G42" s="90">
        <v>0</v>
      </c>
      <c r="H42" s="90"/>
      <c r="I42" s="90"/>
      <c r="J42" s="90"/>
      <c r="K42" s="90"/>
      <c r="L42" s="90"/>
      <c r="M42" s="90"/>
      <c r="N42" s="90"/>
      <c r="O42" s="90"/>
      <c r="P42" s="90"/>
    </row>
    <row r="43" spans="2:16">
      <c r="B43" s="87" t="str">
        <f>Products!B70</f>
        <v>100G SR4</v>
      </c>
      <c r="C43" s="88" t="str">
        <f>Products!C70</f>
        <v>100 m</v>
      </c>
      <c r="D43" s="89" t="str">
        <f>Products!D70</f>
        <v>QSFP28</v>
      </c>
      <c r="E43" s="90">
        <v>0</v>
      </c>
      <c r="F43" s="90">
        <v>0</v>
      </c>
      <c r="G43" s="90">
        <v>153265.35999999996</v>
      </c>
      <c r="H43" s="90"/>
      <c r="I43" s="90"/>
      <c r="J43" s="90"/>
      <c r="K43" s="90"/>
      <c r="L43" s="90"/>
      <c r="M43" s="90"/>
      <c r="N43" s="90"/>
      <c r="O43" s="90"/>
      <c r="P43" s="90"/>
    </row>
    <row r="44" spans="2:16">
      <c r="B44" s="87" t="str">
        <f>Products!B71</f>
        <v>100G SR2</v>
      </c>
      <c r="C44" s="88" t="str">
        <f>Products!C71</f>
        <v>100 m</v>
      </c>
      <c r="D44" s="89" t="str">
        <f>Products!D71</f>
        <v>All</v>
      </c>
      <c r="E44" s="90">
        <v>0</v>
      </c>
      <c r="F44" s="90">
        <v>0</v>
      </c>
      <c r="G44" s="90">
        <v>0</v>
      </c>
      <c r="H44" s="90"/>
      <c r="I44" s="90"/>
      <c r="J44" s="90"/>
      <c r="K44" s="90"/>
      <c r="L44" s="90"/>
      <c r="M44" s="90"/>
      <c r="N44" s="90"/>
      <c r="O44" s="90"/>
      <c r="P44" s="90"/>
    </row>
    <row r="45" spans="2:16">
      <c r="B45" s="87" t="str">
        <f>Products!B72</f>
        <v>100G MM Duplex</v>
      </c>
      <c r="C45" s="88" t="str">
        <f>Products!C72</f>
        <v>100 - 300 m</v>
      </c>
      <c r="D45" s="89" t="str">
        <f>Products!D72</f>
        <v>QSFP28</v>
      </c>
      <c r="E45" s="90">
        <v>0</v>
      </c>
      <c r="F45" s="90">
        <v>0</v>
      </c>
      <c r="G45" s="90">
        <v>150000</v>
      </c>
      <c r="H45" s="90"/>
      <c r="I45" s="90"/>
      <c r="J45" s="90"/>
      <c r="K45" s="90"/>
      <c r="L45" s="90"/>
      <c r="M45" s="90"/>
      <c r="N45" s="90"/>
      <c r="O45" s="90"/>
      <c r="P45" s="90"/>
    </row>
    <row r="46" spans="2:16">
      <c r="B46" s="87" t="str">
        <f>Products!B73</f>
        <v>100G eSR4</v>
      </c>
      <c r="C46" s="88" t="str">
        <f>Products!C73</f>
        <v>300 m</v>
      </c>
      <c r="D46" s="89" t="str">
        <f>Products!D73</f>
        <v>QSFP28</v>
      </c>
      <c r="E46" s="90">
        <v>0</v>
      </c>
      <c r="F46" s="90">
        <v>0</v>
      </c>
      <c r="G46" s="90">
        <v>999.99999999999977</v>
      </c>
      <c r="H46" s="90"/>
      <c r="I46" s="90"/>
      <c r="J46" s="90"/>
      <c r="K46" s="90"/>
      <c r="L46" s="90"/>
      <c r="M46" s="90"/>
      <c r="N46" s="90"/>
      <c r="O46" s="90"/>
      <c r="P46" s="90"/>
    </row>
    <row r="47" spans="2:16">
      <c r="B47" s="87" t="str">
        <f>Products!B74</f>
        <v>100G PSM4</v>
      </c>
      <c r="C47" s="88" t="str">
        <f>Products!C74</f>
        <v>500 m</v>
      </c>
      <c r="D47" s="89" t="str">
        <f>Products!D74</f>
        <v>QSFP28</v>
      </c>
      <c r="E47" s="90">
        <v>0</v>
      </c>
      <c r="F47" s="90">
        <v>0</v>
      </c>
      <c r="G47" s="90">
        <v>0</v>
      </c>
      <c r="H47" s="90"/>
      <c r="I47" s="90"/>
      <c r="J47" s="90"/>
      <c r="K47" s="90"/>
      <c r="L47" s="90"/>
      <c r="M47" s="90"/>
      <c r="N47" s="90"/>
      <c r="O47" s="90"/>
      <c r="P47" s="90"/>
    </row>
    <row r="48" spans="2:16">
      <c r="B48" s="87" t="str">
        <f>Products!B75</f>
        <v>100G DR</v>
      </c>
      <c r="C48" s="88" t="str">
        <f>Products!C75</f>
        <v>500m</v>
      </c>
      <c r="D48" s="89" t="str">
        <f>Products!D75</f>
        <v>QSFP28</v>
      </c>
      <c r="E48" s="90">
        <v>0</v>
      </c>
      <c r="F48" s="90">
        <v>0</v>
      </c>
      <c r="G48" s="90">
        <v>0</v>
      </c>
      <c r="H48" s="90"/>
      <c r="I48" s="90"/>
      <c r="J48" s="90"/>
      <c r="K48" s="90"/>
      <c r="L48" s="90"/>
      <c r="M48" s="90"/>
      <c r="N48" s="90"/>
      <c r="O48" s="90"/>
      <c r="P48" s="90"/>
    </row>
    <row r="49" spans="2:17">
      <c r="B49" s="87" t="str">
        <f>Products!B76</f>
        <v>100G CWDM4-subspec</v>
      </c>
      <c r="C49" s="88" t="str">
        <f>Products!C76</f>
        <v>500 m</v>
      </c>
      <c r="D49" s="89" t="str">
        <f>Products!D76</f>
        <v>QSFP28</v>
      </c>
      <c r="E49" s="90">
        <v>0</v>
      </c>
      <c r="F49" s="90">
        <v>0</v>
      </c>
      <c r="G49" s="90">
        <v>0</v>
      </c>
      <c r="H49" s="90"/>
      <c r="I49" s="90"/>
      <c r="J49" s="90"/>
      <c r="K49" s="90"/>
      <c r="L49" s="90"/>
      <c r="M49" s="90"/>
      <c r="N49" s="90"/>
      <c r="O49" s="90"/>
      <c r="P49" s="90"/>
      <c r="Q49" s="488"/>
    </row>
    <row r="50" spans="2:17">
      <c r="B50" s="87" t="str">
        <f>Products!B77</f>
        <v>100G CWDM4</v>
      </c>
      <c r="C50" s="88" t="str">
        <f>Products!C77</f>
        <v>2 km</v>
      </c>
      <c r="D50" s="89" t="str">
        <f>Products!D77</f>
        <v>QSFP28</v>
      </c>
      <c r="E50" s="90">
        <v>0</v>
      </c>
      <c r="F50" s="90">
        <v>0</v>
      </c>
      <c r="G50" s="90">
        <v>0</v>
      </c>
      <c r="H50" s="90"/>
      <c r="I50" s="90"/>
      <c r="J50" s="90"/>
      <c r="K50" s="90"/>
      <c r="L50" s="90"/>
      <c r="M50" s="90"/>
      <c r="N50" s="90"/>
      <c r="O50" s="90"/>
      <c r="P50" s="90"/>
      <c r="Q50" s="488"/>
    </row>
    <row r="51" spans="2:17">
      <c r="B51" s="87" t="str">
        <f>Products!B78</f>
        <v>100G FR, DR+</v>
      </c>
      <c r="C51" s="88" t="str">
        <f>Products!C78</f>
        <v>2 km</v>
      </c>
      <c r="D51" s="89" t="str">
        <f>Products!D78</f>
        <v>QSFP28</v>
      </c>
      <c r="E51" s="90">
        <v>0</v>
      </c>
      <c r="F51" s="90">
        <v>0</v>
      </c>
      <c r="G51" s="90">
        <v>0</v>
      </c>
      <c r="H51" s="90"/>
      <c r="I51" s="90"/>
      <c r="J51" s="90"/>
      <c r="K51" s="90"/>
      <c r="L51" s="90"/>
      <c r="M51" s="90"/>
      <c r="N51" s="90"/>
      <c r="O51" s="90"/>
      <c r="P51" s="90"/>
      <c r="Q51" s="488"/>
    </row>
    <row r="52" spans="2:17">
      <c r="B52" s="87" t="str">
        <f>Products!B79</f>
        <v>100G LR4</v>
      </c>
      <c r="C52" s="88" t="str">
        <f>Products!C79</f>
        <v>10 km</v>
      </c>
      <c r="D52" s="89" t="str">
        <f>Products!D79</f>
        <v>CFP</v>
      </c>
      <c r="E52" s="90">
        <v>0</v>
      </c>
      <c r="F52" s="90">
        <v>0</v>
      </c>
      <c r="G52" s="90">
        <v>0</v>
      </c>
      <c r="H52" s="90"/>
      <c r="I52" s="90"/>
      <c r="J52" s="90"/>
      <c r="K52" s="90"/>
      <c r="L52" s="90"/>
      <c r="M52" s="90"/>
      <c r="N52" s="90"/>
      <c r="O52" s="90"/>
      <c r="P52" s="90"/>
      <c r="Q52" s="488"/>
    </row>
    <row r="53" spans="2:17">
      <c r="B53" s="87" t="str">
        <f>Products!B80</f>
        <v>100G LR4</v>
      </c>
      <c r="C53" s="88" t="str">
        <f>Products!C80</f>
        <v>10 km</v>
      </c>
      <c r="D53" s="89" t="str">
        <f>Products!D80</f>
        <v>CFP2/4</v>
      </c>
      <c r="E53" s="90">
        <v>0</v>
      </c>
      <c r="F53" s="90">
        <v>0</v>
      </c>
      <c r="G53" s="90">
        <v>0</v>
      </c>
      <c r="H53" s="90"/>
      <c r="I53" s="90"/>
      <c r="J53" s="90"/>
      <c r="K53" s="90"/>
      <c r="L53" s="90"/>
      <c r="M53" s="90"/>
      <c r="N53" s="90"/>
      <c r="O53" s="90"/>
      <c r="P53" s="90"/>
      <c r="Q53" s="488"/>
    </row>
    <row r="54" spans="2:17">
      <c r="B54" s="87" t="str">
        <f>Products!B81</f>
        <v>100G LR4 and LR1</v>
      </c>
      <c r="C54" s="88" t="str">
        <f>Products!C81</f>
        <v>10 km</v>
      </c>
      <c r="D54" s="89" t="str">
        <f>Products!D81</f>
        <v>QSFP28</v>
      </c>
      <c r="E54" s="90">
        <v>0</v>
      </c>
      <c r="F54" s="90">
        <v>0</v>
      </c>
      <c r="G54" s="90">
        <v>19894.555882352935</v>
      </c>
      <c r="H54" s="90"/>
      <c r="I54" s="90"/>
      <c r="J54" s="90"/>
      <c r="K54" s="90"/>
      <c r="L54" s="90"/>
      <c r="M54" s="90"/>
      <c r="N54" s="90"/>
      <c r="O54" s="90"/>
      <c r="P54" s="90"/>
      <c r="Q54" s="488"/>
    </row>
    <row r="55" spans="2:17">
      <c r="B55" s="87" t="str">
        <f>Products!B82</f>
        <v>100G 4WDM10</v>
      </c>
      <c r="C55" s="88" t="str">
        <f>Products!C82</f>
        <v>10 km</v>
      </c>
      <c r="D55" s="89" t="str">
        <f>Products!D82</f>
        <v>QSFP28</v>
      </c>
      <c r="E55" s="90">
        <v>0</v>
      </c>
      <c r="F55" s="90">
        <v>4499.9999999999991</v>
      </c>
      <c r="G55" s="90">
        <v>12000</v>
      </c>
      <c r="H55" s="90"/>
      <c r="I55" s="90"/>
      <c r="J55" s="90"/>
      <c r="K55" s="90"/>
      <c r="L55" s="90"/>
      <c r="M55" s="90"/>
      <c r="N55" s="90"/>
      <c r="O55" s="90"/>
      <c r="P55" s="90"/>
      <c r="Q55" s="488"/>
    </row>
    <row r="56" spans="2:17">
      <c r="B56" s="87" t="str">
        <f>Products!B83</f>
        <v>100G 4WDM20</v>
      </c>
      <c r="C56" s="88" t="str">
        <f>Products!C83</f>
        <v>20 km</v>
      </c>
      <c r="D56" s="89" t="str">
        <f>Products!D83</f>
        <v>QSFP28</v>
      </c>
      <c r="E56" s="90">
        <v>0</v>
      </c>
      <c r="F56" s="90">
        <v>0</v>
      </c>
      <c r="G56" s="90">
        <v>0</v>
      </c>
      <c r="H56" s="90"/>
      <c r="I56" s="90"/>
      <c r="J56" s="90"/>
      <c r="K56" s="90"/>
      <c r="L56" s="90"/>
      <c r="M56" s="90"/>
      <c r="N56" s="90"/>
      <c r="O56" s="90"/>
      <c r="P56" s="90"/>
      <c r="Q56" s="488"/>
    </row>
    <row r="57" spans="2:17">
      <c r="B57" s="87" t="str">
        <f>Products!B84</f>
        <v>100G ER4-Lite</v>
      </c>
      <c r="C57" s="88" t="str">
        <f>Products!C84</f>
        <v>30 km</v>
      </c>
      <c r="D57" s="89" t="str">
        <f>Products!D84</f>
        <v>QSFP28</v>
      </c>
      <c r="E57" s="90">
        <v>0</v>
      </c>
      <c r="F57" s="90">
        <v>399.99999999999989</v>
      </c>
      <c r="G57" s="90">
        <v>1209.9999999999998</v>
      </c>
      <c r="H57" s="90"/>
      <c r="I57" s="90"/>
      <c r="J57" s="90"/>
      <c r="K57" s="90"/>
      <c r="L57" s="90"/>
      <c r="M57" s="90"/>
      <c r="N57" s="90"/>
      <c r="O57" s="90"/>
      <c r="P57" s="90"/>
      <c r="Q57" s="488"/>
    </row>
    <row r="58" spans="2:17">
      <c r="B58" s="87" t="str">
        <f>Products!B85</f>
        <v>100G ER4</v>
      </c>
      <c r="C58" s="88" t="str">
        <f>Products!C85</f>
        <v>40 km</v>
      </c>
      <c r="D58" s="89" t="str">
        <f>Products!D85</f>
        <v>QSFP28</v>
      </c>
      <c r="E58" s="90">
        <v>1491.1999999999996</v>
      </c>
      <c r="F58" s="90">
        <v>1654.3999999999996</v>
      </c>
      <c r="G58" s="90">
        <v>809.99999999999977</v>
      </c>
      <c r="H58" s="90"/>
      <c r="I58" s="90"/>
      <c r="J58" s="90"/>
      <c r="K58" s="90"/>
      <c r="L58" s="90"/>
      <c r="M58" s="90"/>
      <c r="N58" s="90"/>
      <c r="O58" s="90"/>
      <c r="P58" s="90"/>
      <c r="Q58" s="488"/>
    </row>
    <row r="59" spans="2:17">
      <c r="B59" s="87" t="str">
        <f>Products!B86</f>
        <v>100G ZR4</v>
      </c>
      <c r="C59" s="88" t="str">
        <f>Products!C86</f>
        <v>80 km</v>
      </c>
      <c r="D59" s="89" t="str">
        <f>Products!D86</f>
        <v>QSFP28</v>
      </c>
      <c r="E59" s="86">
        <v>0</v>
      </c>
      <c r="F59" s="86">
        <v>0</v>
      </c>
      <c r="G59" s="86">
        <v>0</v>
      </c>
      <c r="H59" s="86"/>
      <c r="I59" s="86"/>
      <c r="J59" s="86"/>
      <c r="K59" s="86"/>
      <c r="L59" s="86"/>
      <c r="M59" s="86"/>
      <c r="N59" s="86"/>
      <c r="O59" s="86"/>
      <c r="P59" s="86"/>
      <c r="Q59" s="488"/>
    </row>
    <row r="60" spans="2:17">
      <c r="B60" s="79" t="str">
        <f>Products!B87</f>
        <v>200G SR4</v>
      </c>
      <c r="C60" s="80" t="str">
        <f>Products!C87</f>
        <v>100 m</v>
      </c>
      <c r="D60" s="81" t="str">
        <f>Products!D87</f>
        <v>QSFP56</v>
      </c>
      <c r="E60" s="82">
        <v>0</v>
      </c>
      <c r="F60" s="82">
        <v>0</v>
      </c>
      <c r="G60" s="82">
        <v>0</v>
      </c>
      <c r="H60" s="82"/>
      <c r="I60" s="82"/>
      <c r="J60" s="82"/>
      <c r="K60" s="82"/>
      <c r="L60" s="82"/>
      <c r="M60" s="82"/>
      <c r="N60" s="82"/>
      <c r="O60" s="82"/>
      <c r="P60" s="82"/>
      <c r="Q60" s="488"/>
    </row>
    <row r="61" spans="2:17">
      <c r="B61" s="87" t="str">
        <f>Products!B88</f>
        <v>200G DR</v>
      </c>
      <c r="C61" s="88" t="str">
        <f>Products!C88</f>
        <v>500 m</v>
      </c>
      <c r="D61" s="89" t="str">
        <f>Products!D88</f>
        <v>TBD</v>
      </c>
      <c r="E61" s="90">
        <v>0</v>
      </c>
      <c r="F61" s="90">
        <v>0</v>
      </c>
      <c r="G61" s="90">
        <v>0</v>
      </c>
      <c r="H61" s="90"/>
      <c r="I61" s="90"/>
      <c r="J61" s="90"/>
      <c r="K61" s="90"/>
      <c r="L61" s="90"/>
      <c r="M61" s="90"/>
      <c r="N61" s="90"/>
      <c r="O61" s="90"/>
      <c r="P61" s="90"/>
      <c r="Q61" s="488"/>
    </row>
    <row r="62" spans="2:17">
      <c r="B62" s="87" t="str">
        <f>Products!B89</f>
        <v>200G FR4</v>
      </c>
      <c r="C62" s="88" t="str">
        <f>Products!C89</f>
        <v>3 km</v>
      </c>
      <c r="D62" s="89" t="str">
        <f>Products!D89</f>
        <v>QSFP56</v>
      </c>
      <c r="E62" s="90">
        <v>0</v>
      </c>
      <c r="F62" s="90">
        <v>0</v>
      </c>
      <c r="G62" s="90">
        <v>0</v>
      </c>
      <c r="H62" s="90"/>
      <c r="I62" s="90"/>
      <c r="J62" s="90"/>
      <c r="K62" s="90"/>
      <c r="L62" s="90"/>
      <c r="M62" s="90"/>
      <c r="N62" s="90"/>
      <c r="O62" s="90"/>
      <c r="P62" s="90"/>
      <c r="Q62" s="488"/>
    </row>
    <row r="63" spans="2:17">
      <c r="B63" s="87" t="str">
        <f>Products!B90</f>
        <v>200G LR</v>
      </c>
      <c r="C63" s="88" t="str">
        <f>Products!C90</f>
        <v>10 km</v>
      </c>
      <c r="D63" s="89" t="str">
        <f>Products!D90</f>
        <v>TBD</v>
      </c>
      <c r="E63" s="90">
        <v>0</v>
      </c>
      <c r="F63" s="90">
        <v>0</v>
      </c>
      <c r="G63" s="90">
        <v>0</v>
      </c>
      <c r="H63" s="90"/>
      <c r="I63" s="90"/>
      <c r="J63" s="90"/>
      <c r="K63" s="90"/>
      <c r="L63" s="90"/>
      <c r="M63" s="90"/>
      <c r="N63" s="90"/>
      <c r="O63" s="90"/>
      <c r="P63" s="90"/>
      <c r="Q63" s="488"/>
    </row>
    <row r="64" spans="2:17">
      <c r="B64" s="87" t="str">
        <f>Products!B91</f>
        <v>200G ER4</v>
      </c>
      <c r="C64" s="88" t="str">
        <f>Products!C91</f>
        <v>40 km</v>
      </c>
      <c r="D64" s="89" t="str">
        <f>Products!D91</f>
        <v>TBD</v>
      </c>
      <c r="E64" s="90">
        <v>0</v>
      </c>
      <c r="F64" s="90">
        <v>0</v>
      </c>
      <c r="G64" s="90">
        <v>0</v>
      </c>
      <c r="H64" s="90"/>
      <c r="I64" s="90"/>
      <c r="J64" s="90"/>
      <c r="K64" s="90"/>
      <c r="L64" s="90"/>
      <c r="M64" s="90"/>
      <c r="N64" s="90"/>
      <c r="O64" s="90"/>
      <c r="P64" s="90"/>
      <c r="Q64" s="488"/>
    </row>
    <row r="65" spans="2:17">
      <c r="B65" s="79" t="str">
        <f>Products!B92</f>
        <v>2x200 (400G-SR8)</v>
      </c>
      <c r="C65" s="80" t="str">
        <f>Products!C92</f>
        <v>100 m</v>
      </c>
      <c r="D65" s="81" t="str">
        <f>Products!D92</f>
        <v>OSFP, QSFP-DD</v>
      </c>
      <c r="E65" s="82">
        <v>0</v>
      </c>
      <c r="F65" s="82">
        <v>0</v>
      </c>
      <c r="G65" s="82">
        <v>0</v>
      </c>
      <c r="H65" s="82"/>
      <c r="I65" s="82"/>
      <c r="J65" s="82"/>
      <c r="K65" s="82"/>
      <c r="L65" s="82"/>
      <c r="M65" s="82"/>
      <c r="N65" s="82"/>
      <c r="O65" s="82"/>
      <c r="P65" s="82"/>
      <c r="Q65" s="488"/>
    </row>
    <row r="66" spans="2:17">
      <c r="B66" s="87" t="str">
        <f>Products!B93</f>
        <v>400G SR4.2</v>
      </c>
      <c r="C66" s="88" t="str">
        <f>Products!C93</f>
        <v>100 m</v>
      </c>
      <c r="D66" s="89" t="str">
        <f>Products!D93</f>
        <v>OSFP, QSFP-DD</v>
      </c>
      <c r="E66" s="90">
        <v>0</v>
      </c>
      <c r="F66" s="90">
        <v>0</v>
      </c>
      <c r="G66" s="90">
        <v>0</v>
      </c>
      <c r="H66" s="90"/>
      <c r="I66" s="90"/>
      <c r="J66" s="90"/>
      <c r="K66" s="90"/>
      <c r="L66" s="90"/>
      <c r="M66" s="90"/>
      <c r="N66" s="90"/>
      <c r="O66" s="90"/>
      <c r="P66" s="90"/>
      <c r="Q66" s="488"/>
    </row>
    <row r="67" spans="2:17">
      <c r="B67" s="87" t="str">
        <f>Products!B94</f>
        <v>400G DR4</v>
      </c>
      <c r="C67" s="88" t="str">
        <f>Products!C94</f>
        <v>500 m</v>
      </c>
      <c r="D67" s="89" t="str">
        <f>Products!D94</f>
        <v>OSFP, QSFP-DD, QSFP112</v>
      </c>
      <c r="E67" s="90">
        <v>0</v>
      </c>
      <c r="F67" s="90">
        <v>0</v>
      </c>
      <c r="G67" s="90">
        <v>0</v>
      </c>
      <c r="H67" s="90"/>
      <c r="I67" s="90"/>
      <c r="J67" s="90"/>
      <c r="K67" s="90"/>
      <c r="L67" s="90"/>
      <c r="M67" s="90"/>
      <c r="N67" s="90"/>
      <c r="O67" s="90"/>
      <c r="P67" s="90"/>
      <c r="Q67" s="488"/>
    </row>
    <row r="68" spans="2:17">
      <c r="B68" s="87" t="str">
        <f>Products!B95</f>
        <v>2x(200G FR4)</v>
      </c>
      <c r="C68" s="88" t="str">
        <f>Products!C95</f>
        <v>2 km</v>
      </c>
      <c r="D68" s="89" t="str">
        <f>Products!D95</f>
        <v>OSFP</v>
      </c>
      <c r="E68" s="90">
        <v>0</v>
      </c>
      <c r="F68" s="90">
        <v>0</v>
      </c>
      <c r="G68" s="90">
        <v>0</v>
      </c>
      <c r="H68" s="90"/>
      <c r="I68" s="90"/>
      <c r="J68" s="90"/>
      <c r="K68" s="90"/>
      <c r="L68" s="90"/>
      <c r="M68" s="90"/>
      <c r="N68" s="90"/>
      <c r="O68" s="90"/>
      <c r="P68" s="90"/>
      <c r="Q68" s="488"/>
    </row>
    <row r="69" spans="2:17">
      <c r="B69" s="87" t="str">
        <f>Products!B96</f>
        <v>400G FR4</v>
      </c>
      <c r="C69" s="88" t="str">
        <f>Products!C96</f>
        <v>2 km</v>
      </c>
      <c r="D69" s="89" t="str">
        <f>Products!D96</f>
        <v>OSFP, QSFP-DD, QSFP112</v>
      </c>
      <c r="E69" s="90">
        <v>0</v>
      </c>
      <c r="F69" s="90">
        <v>0</v>
      </c>
      <c r="G69" s="90">
        <v>0</v>
      </c>
      <c r="H69" s="90"/>
      <c r="I69" s="90"/>
      <c r="J69" s="90"/>
      <c r="K69" s="90"/>
      <c r="L69" s="90"/>
      <c r="M69" s="90"/>
      <c r="N69" s="90"/>
      <c r="O69" s="90"/>
      <c r="P69" s="90"/>
      <c r="Q69" s="488"/>
    </row>
    <row r="70" spans="2:17">
      <c r="B70" s="87" t="str">
        <f>Products!B97</f>
        <v>400G LR8, LR4</v>
      </c>
      <c r="C70" s="88" t="str">
        <f>Products!C97</f>
        <v>10 km</v>
      </c>
      <c r="D70" s="89" t="str">
        <f>Products!D97</f>
        <v>OSFP, QSFP-DD, QSFP112</v>
      </c>
      <c r="E70" s="90">
        <v>0</v>
      </c>
      <c r="F70" s="90">
        <v>0</v>
      </c>
      <c r="G70" s="90">
        <v>0</v>
      </c>
      <c r="H70" s="90"/>
      <c r="I70" s="90"/>
      <c r="J70" s="90"/>
      <c r="K70" s="90"/>
      <c r="L70" s="90"/>
      <c r="M70" s="90"/>
      <c r="N70" s="90"/>
      <c r="O70" s="90"/>
      <c r="P70" s="90"/>
      <c r="Q70" s="488"/>
    </row>
    <row r="71" spans="2:17">
      <c r="B71" s="83" t="str">
        <f>Products!B98</f>
        <v>400G ER4</v>
      </c>
      <c r="C71" s="84" t="str">
        <f>Products!C98</f>
        <v>40 km</v>
      </c>
      <c r="D71" s="85" t="str">
        <f>Products!D98</f>
        <v>TBD</v>
      </c>
      <c r="E71" s="86">
        <v>0</v>
      </c>
      <c r="F71" s="86">
        <v>0</v>
      </c>
      <c r="G71" s="86">
        <v>0</v>
      </c>
      <c r="H71" s="86"/>
      <c r="I71" s="86"/>
      <c r="J71" s="86"/>
      <c r="K71" s="86"/>
      <c r="L71" s="86"/>
      <c r="M71" s="86"/>
      <c r="N71" s="86"/>
      <c r="O71" s="86"/>
      <c r="P71" s="86"/>
      <c r="Q71" s="488"/>
    </row>
    <row r="72" spans="2:17" s="92" customFormat="1">
      <c r="B72" s="87" t="str">
        <f>Products!B99</f>
        <v>800G SR8</v>
      </c>
      <c r="C72" s="88" t="str">
        <f>Products!C99</f>
        <v>50 m</v>
      </c>
      <c r="D72" s="89" t="str">
        <f>Products!D99</f>
        <v>OSFP, QSFP-DD800</v>
      </c>
      <c r="E72" s="90">
        <v>0</v>
      </c>
      <c r="F72" s="90">
        <v>0</v>
      </c>
      <c r="G72" s="90">
        <v>0</v>
      </c>
      <c r="H72" s="90"/>
      <c r="I72" s="90"/>
      <c r="J72" s="90"/>
      <c r="K72" s="90"/>
      <c r="L72" s="90"/>
      <c r="M72" s="90"/>
      <c r="N72" s="90"/>
      <c r="O72" s="90"/>
      <c r="P72" s="90"/>
      <c r="Q72" s="488"/>
    </row>
    <row r="73" spans="2:17" s="92" customFormat="1">
      <c r="B73" s="87" t="str">
        <f>Products!B100</f>
        <v>800G DR8, DR4</v>
      </c>
      <c r="C73" s="88" t="str">
        <f>Products!C100</f>
        <v>500 m</v>
      </c>
      <c r="D73" s="89" t="str">
        <f>Products!D100</f>
        <v>OSFP, QSFP-DD800</v>
      </c>
      <c r="E73" s="90">
        <v>0</v>
      </c>
      <c r="F73" s="90">
        <v>0</v>
      </c>
      <c r="G73" s="90">
        <v>0</v>
      </c>
      <c r="H73" s="90"/>
      <c r="I73" s="90"/>
      <c r="J73" s="90"/>
      <c r="K73" s="90"/>
      <c r="L73" s="90"/>
      <c r="M73" s="90"/>
      <c r="N73" s="90"/>
      <c r="O73" s="90"/>
      <c r="P73" s="90"/>
      <c r="Q73" s="488"/>
    </row>
    <row r="74" spans="2:17" s="92" customFormat="1">
      <c r="B74" s="87" t="str">
        <f>Products!B101</f>
        <v>2x(400G FR4), 800G FR4</v>
      </c>
      <c r="C74" s="88" t="str">
        <f>Products!C101</f>
        <v>2 km</v>
      </c>
      <c r="D74" s="89" t="str">
        <f>Products!D101</f>
        <v>OSFP, QSFP-DD800</v>
      </c>
      <c r="E74" s="90">
        <v>0</v>
      </c>
      <c r="F74" s="90">
        <v>0</v>
      </c>
      <c r="G74" s="90">
        <v>0</v>
      </c>
      <c r="H74" s="90"/>
      <c r="I74" s="90"/>
      <c r="J74" s="90"/>
      <c r="K74" s="90"/>
      <c r="L74" s="90"/>
      <c r="M74" s="90"/>
      <c r="N74" s="90"/>
      <c r="O74" s="90"/>
      <c r="P74" s="90"/>
      <c r="Q74" s="488"/>
    </row>
    <row r="75" spans="2:17" s="92" customFormat="1">
      <c r="B75" s="87" t="str">
        <f>Products!B102</f>
        <v>800G LR8, LR4</v>
      </c>
      <c r="C75" s="88" t="str">
        <f>Products!C102</f>
        <v>6, 10 km</v>
      </c>
      <c r="D75" s="89" t="str">
        <f>Products!D102</f>
        <v>TBD</v>
      </c>
      <c r="E75" s="90">
        <v>0</v>
      </c>
      <c r="F75" s="90">
        <v>0</v>
      </c>
      <c r="G75" s="90">
        <v>0</v>
      </c>
      <c r="H75" s="90"/>
      <c r="I75" s="90"/>
      <c r="J75" s="90"/>
      <c r="K75" s="90"/>
      <c r="L75" s="90"/>
      <c r="M75" s="90"/>
      <c r="N75" s="90"/>
      <c r="O75" s="90"/>
      <c r="P75" s="90"/>
      <c r="Q75" s="488"/>
    </row>
    <row r="76" spans="2:17" s="92" customFormat="1">
      <c r="B76" s="87" t="str">
        <f>Products!B103</f>
        <v>800G ZRlite</v>
      </c>
      <c r="C76" s="88" t="str">
        <f>Products!C103</f>
        <v>10 km, 20 km</v>
      </c>
      <c r="D76" s="89" t="str">
        <f>Products!D103</f>
        <v>TBD</v>
      </c>
      <c r="E76" s="90">
        <v>0</v>
      </c>
      <c r="F76" s="90">
        <v>0</v>
      </c>
      <c r="G76" s="90">
        <v>0</v>
      </c>
      <c r="H76" s="90"/>
      <c r="I76" s="90"/>
      <c r="J76" s="90"/>
      <c r="K76" s="90"/>
      <c r="L76" s="90"/>
      <c r="M76" s="90"/>
      <c r="N76" s="90"/>
      <c r="O76" s="90"/>
      <c r="P76" s="90"/>
      <c r="Q76" s="488"/>
    </row>
    <row r="77" spans="2:17" s="92" customFormat="1">
      <c r="B77" s="83" t="str">
        <f>Products!B104</f>
        <v>800G ER4</v>
      </c>
      <c r="C77" s="84" t="str">
        <f>Products!C104</f>
        <v>40 km</v>
      </c>
      <c r="D77" s="85" t="str">
        <f>Products!D104</f>
        <v>TBD</v>
      </c>
      <c r="E77" s="86">
        <v>0</v>
      </c>
      <c r="F77" s="86">
        <v>0</v>
      </c>
      <c r="G77" s="86">
        <v>0</v>
      </c>
      <c r="H77" s="86"/>
      <c r="I77" s="86"/>
      <c r="J77" s="86"/>
      <c r="K77" s="86"/>
      <c r="L77" s="86"/>
      <c r="M77" s="86"/>
      <c r="N77" s="86"/>
      <c r="O77" s="86"/>
      <c r="P77" s="86"/>
      <c r="Q77" s="488"/>
    </row>
    <row r="78" spans="2:17" s="92" customFormat="1">
      <c r="B78" s="87" t="str">
        <f>Products!B105</f>
        <v>1.6T SR16</v>
      </c>
      <c r="C78" s="88" t="str">
        <f>Products!C105</f>
        <v>100 m</v>
      </c>
      <c r="D78" s="89" t="str">
        <f>Products!D105</f>
        <v>OSFP-XD and TBD</v>
      </c>
      <c r="E78" s="90">
        <v>0</v>
      </c>
      <c r="F78" s="90">
        <v>0</v>
      </c>
      <c r="G78" s="90">
        <v>0</v>
      </c>
      <c r="H78" s="90"/>
      <c r="I78" s="90"/>
      <c r="J78" s="90"/>
      <c r="K78" s="90"/>
      <c r="L78" s="90"/>
      <c r="M78" s="90"/>
      <c r="N78" s="90"/>
      <c r="O78" s="90"/>
      <c r="P78" s="90"/>
      <c r="Q78" s="488"/>
    </row>
    <row r="79" spans="2:17" s="92" customFormat="1">
      <c r="B79" s="87" t="str">
        <f>Products!B106</f>
        <v>1.6T DR8</v>
      </c>
      <c r="C79" s="88" t="str">
        <f>Products!C106</f>
        <v>500 m</v>
      </c>
      <c r="D79" s="89" t="str">
        <f>Products!D106</f>
        <v>OSFP-XD and TBD</v>
      </c>
      <c r="E79" s="90">
        <v>0</v>
      </c>
      <c r="F79" s="90">
        <v>0</v>
      </c>
      <c r="G79" s="90">
        <v>0</v>
      </c>
      <c r="H79" s="90"/>
      <c r="I79" s="90"/>
      <c r="J79" s="90"/>
      <c r="K79" s="90"/>
      <c r="L79" s="90"/>
      <c r="M79" s="90"/>
      <c r="N79" s="90"/>
      <c r="O79" s="90"/>
      <c r="P79" s="90"/>
      <c r="Q79" s="488"/>
    </row>
    <row r="80" spans="2:17" s="92" customFormat="1">
      <c r="B80" s="87" t="str">
        <f>Products!B107</f>
        <v>1.6T FR8</v>
      </c>
      <c r="C80" s="88" t="str">
        <f>Products!C107</f>
        <v>2 km</v>
      </c>
      <c r="D80" s="89" t="str">
        <f>Products!D107</f>
        <v>OSFP-XD and TBD</v>
      </c>
      <c r="E80" s="90">
        <v>0</v>
      </c>
      <c r="F80" s="90">
        <v>0</v>
      </c>
      <c r="G80" s="90">
        <v>0</v>
      </c>
      <c r="H80" s="90"/>
      <c r="I80" s="90"/>
      <c r="J80" s="90"/>
      <c r="K80" s="90"/>
      <c r="L80" s="90"/>
      <c r="M80" s="90"/>
      <c r="N80" s="90"/>
      <c r="O80" s="90"/>
      <c r="P80" s="90"/>
      <c r="Q80" s="488"/>
    </row>
    <row r="81" spans="2:17" s="92" customFormat="1">
      <c r="B81" s="87" t="str">
        <f>Products!B108</f>
        <v>1.6T LR8</v>
      </c>
      <c r="C81" s="88" t="str">
        <f>Products!C108</f>
        <v>10 km</v>
      </c>
      <c r="D81" s="89" t="str">
        <f>Products!D108</f>
        <v>OSFP-XD and TBD</v>
      </c>
      <c r="E81" s="90">
        <v>0</v>
      </c>
      <c r="F81" s="90">
        <v>0</v>
      </c>
      <c r="G81" s="90">
        <v>0</v>
      </c>
      <c r="H81" s="90"/>
      <c r="I81" s="90"/>
      <c r="J81" s="90"/>
      <c r="K81" s="90"/>
      <c r="L81" s="90"/>
      <c r="M81" s="90"/>
      <c r="N81" s="90"/>
      <c r="O81" s="90"/>
      <c r="P81" s="90"/>
      <c r="Q81" s="488"/>
    </row>
    <row r="82" spans="2:17" s="92" customFormat="1">
      <c r="B82" s="83" t="str">
        <f>Products!B109</f>
        <v>1.6T ER8</v>
      </c>
      <c r="C82" s="84" t="str">
        <f>Products!C109</f>
        <v>&gt;10 km</v>
      </c>
      <c r="D82" s="85" t="str">
        <f>Products!D109</f>
        <v>OSFP-XD and TBD</v>
      </c>
      <c r="E82" s="86">
        <v>0</v>
      </c>
      <c r="F82" s="86">
        <v>0</v>
      </c>
      <c r="G82" s="86">
        <v>0</v>
      </c>
      <c r="H82" s="86"/>
      <c r="I82" s="86"/>
      <c r="J82" s="86"/>
      <c r="K82" s="86"/>
      <c r="L82" s="86"/>
      <c r="M82" s="86"/>
      <c r="N82" s="86"/>
      <c r="O82" s="86"/>
      <c r="P82" s="86"/>
      <c r="Q82" s="488"/>
    </row>
    <row r="83" spans="2:17" s="92" customFormat="1">
      <c r="B83" s="87" t="str">
        <f>Products!B110</f>
        <v>3.2T SR</v>
      </c>
      <c r="C83" s="88" t="str">
        <f>Products!C110</f>
        <v>100 m</v>
      </c>
      <c r="D83" s="89" t="str">
        <f>Products!D110</f>
        <v>OSFP-XD and TBD</v>
      </c>
      <c r="E83" s="90">
        <v>0</v>
      </c>
      <c r="F83" s="90">
        <v>0</v>
      </c>
      <c r="G83" s="90">
        <v>0</v>
      </c>
      <c r="H83" s="90"/>
      <c r="I83" s="90"/>
      <c r="J83" s="90"/>
      <c r="K83" s="90"/>
      <c r="L83" s="90"/>
      <c r="M83" s="90"/>
      <c r="N83" s="90"/>
      <c r="O83" s="90"/>
      <c r="P83" s="90"/>
      <c r="Q83" s="488"/>
    </row>
    <row r="84" spans="2:17" s="92" customFormat="1">
      <c r="B84" s="87" t="str">
        <f>Products!B111</f>
        <v>3.2T DR</v>
      </c>
      <c r="C84" s="88" t="str">
        <f>Products!C111</f>
        <v>500 m</v>
      </c>
      <c r="D84" s="89" t="str">
        <f>Products!D111</f>
        <v>OSFP-XD and TBD</v>
      </c>
      <c r="E84" s="90">
        <v>0</v>
      </c>
      <c r="F84" s="90">
        <v>0</v>
      </c>
      <c r="G84" s="90">
        <v>0</v>
      </c>
      <c r="H84" s="90"/>
      <c r="I84" s="90"/>
      <c r="J84" s="90"/>
      <c r="K84" s="90"/>
      <c r="L84" s="90"/>
      <c r="M84" s="90"/>
      <c r="N84" s="90"/>
      <c r="O84" s="90"/>
      <c r="P84" s="90"/>
      <c r="Q84" s="488"/>
    </row>
    <row r="85" spans="2:17" s="92" customFormat="1">
      <c r="B85" s="87" t="str">
        <f>Products!B112</f>
        <v>3.2T FR</v>
      </c>
      <c r="C85" s="88" t="str">
        <f>Products!C112</f>
        <v>2 km</v>
      </c>
      <c r="D85" s="89" t="str">
        <f>Products!D112</f>
        <v>OSFP-XD and TBD</v>
      </c>
      <c r="E85" s="90">
        <v>0</v>
      </c>
      <c r="F85" s="90">
        <v>0</v>
      </c>
      <c r="G85" s="90">
        <v>0</v>
      </c>
      <c r="H85" s="90"/>
      <c r="I85" s="90"/>
      <c r="J85" s="90"/>
      <c r="K85" s="90"/>
      <c r="L85" s="90"/>
      <c r="M85" s="90"/>
      <c r="N85" s="90"/>
      <c r="O85" s="90"/>
      <c r="P85" s="90"/>
      <c r="Q85" s="488"/>
    </row>
    <row r="86" spans="2:17" s="92" customFormat="1">
      <c r="B86" s="87" t="str">
        <f>Products!B113</f>
        <v>3.2T LR</v>
      </c>
      <c r="C86" s="88" t="str">
        <f>Products!C113</f>
        <v>10 km</v>
      </c>
      <c r="D86" s="89" t="str">
        <f>Products!D113</f>
        <v>OSFP-XD and TBD</v>
      </c>
      <c r="E86" s="90">
        <v>0</v>
      </c>
      <c r="F86" s="90">
        <v>0</v>
      </c>
      <c r="G86" s="90">
        <v>0</v>
      </c>
      <c r="H86" s="90"/>
      <c r="I86" s="90"/>
      <c r="J86" s="90"/>
      <c r="K86" s="90"/>
      <c r="L86" s="90"/>
      <c r="M86" s="90"/>
      <c r="N86" s="90"/>
      <c r="O86" s="90"/>
      <c r="P86" s="90"/>
      <c r="Q86" s="488"/>
    </row>
    <row r="87" spans="2:17" s="92" customFormat="1">
      <c r="B87" s="87" t="str">
        <f>Products!B114</f>
        <v>3.2T ER</v>
      </c>
      <c r="C87" s="88" t="str">
        <f>Products!C114</f>
        <v>&gt;10 km</v>
      </c>
      <c r="D87" s="89" t="str">
        <f>Products!D114</f>
        <v>OSFP-XD and TBD</v>
      </c>
      <c r="E87" s="90">
        <v>0</v>
      </c>
      <c r="F87" s="90">
        <v>0</v>
      </c>
      <c r="G87" s="90">
        <v>0</v>
      </c>
      <c r="H87" s="90"/>
      <c r="I87" s="90"/>
      <c r="J87" s="90"/>
      <c r="K87" s="90"/>
      <c r="L87" s="90"/>
      <c r="M87" s="90"/>
      <c r="N87" s="90"/>
      <c r="O87" s="90"/>
      <c r="P87" s="90"/>
      <c r="Q87" s="488"/>
    </row>
    <row r="88" spans="2:17" s="92" customFormat="1">
      <c r="B88" s="83"/>
      <c r="C88" s="84"/>
      <c r="D88" s="85"/>
      <c r="E88" s="86"/>
      <c r="F88" s="86"/>
      <c r="G88" s="86"/>
      <c r="H88" s="86"/>
      <c r="I88" s="86"/>
      <c r="J88" s="86"/>
      <c r="K88" s="86"/>
      <c r="L88" s="86"/>
      <c r="M88" s="86"/>
      <c r="N88" s="86"/>
      <c r="O88" s="86"/>
      <c r="P88" s="86"/>
      <c r="Q88" s="488"/>
    </row>
    <row r="89" spans="2:17">
      <c r="B89" s="45" t="s">
        <v>20</v>
      </c>
      <c r="C89" s="46"/>
      <c r="D89" s="47"/>
      <c r="E89" s="96">
        <f t="shared" ref="E89:G89" si="0">SUM(E9:E88)</f>
        <v>21287441.14376694</v>
      </c>
      <c r="F89" s="96">
        <f t="shared" si="0"/>
        <v>20863877.916871279</v>
      </c>
      <c r="G89" s="96">
        <f t="shared" si="0"/>
        <v>24290440.800063994</v>
      </c>
      <c r="H89" s="96"/>
      <c r="I89" s="96"/>
      <c r="J89" s="96"/>
      <c r="K89" s="96"/>
      <c r="L89" s="96"/>
      <c r="M89" s="96"/>
      <c r="N89" s="96"/>
      <c r="O89" s="96"/>
      <c r="P89" s="96"/>
      <c r="Q89" s="488"/>
    </row>
    <row r="90" spans="2:17">
      <c r="D90" s="98"/>
      <c r="E90" s="211"/>
      <c r="F90" s="211"/>
      <c r="G90" s="211"/>
      <c r="H90" s="211"/>
      <c r="I90" s="211"/>
      <c r="J90" s="211"/>
      <c r="K90" s="211"/>
      <c r="L90" s="211"/>
      <c r="M90" s="211"/>
      <c r="N90" s="211"/>
      <c r="O90" s="211"/>
      <c r="P90" s="211"/>
      <c r="Q90" s="488"/>
    </row>
    <row r="91" spans="2:17">
      <c r="D91" s="98"/>
      <c r="E91" s="112"/>
      <c r="F91" s="112"/>
      <c r="G91" s="112"/>
      <c r="H91" s="112"/>
      <c r="I91" s="112"/>
      <c r="J91" s="112"/>
      <c r="K91" s="112"/>
      <c r="L91" s="112"/>
      <c r="M91" s="112"/>
      <c r="N91" s="112"/>
      <c r="O91" s="112"/>
      <c r="P91" s="629"/>
      <c r="Q91" s="488"/>
    </row>
    <row r="92" spans="2:17" ht="21">
      <c r="B92" s="14" t="s">
        <v>19</v>
      </c>
      <c r="C92" s="14"/>
      <c r="D92" s="14"/>
      <c r="Q92" s="488"/>
    </row>
    <row r="93" spans="2:17">
      <c r="B93" s="77" t="str">
        <f>B6</f>
        <v>Data Rate</v>
      </c>
      <c r="C93" s="77" t="str">
        <f>C6</f>
        <v>Reach</v>
      </c>
      <c r="D93" s="77" t="str">
        <f>D6</f>
        <v>Form Factor</v>
      </c>
      <c r="E93" s="100">
        <v>2016</v>
      </c>
      <c r="F93" s="100">
        <v>2017</v>
      </c>
      <c r="G93" s="100">
        <v>2018</v>
      </c>
      <c r="H93" s="100"/>
      <c r="I93" s="100"/>
      <c r="J93" s="100"/>
      <c r="K93" s="100"/>
      <c r="L93" s="100"/>
      <c r="M93" s="100"/>
      <c r="N93" s="100"/>
      <c r="O93" s="100"/>
      <c r="P93" s="100"/>
      <c r="Q93" s="488"/>
    </row>
    <row r="94" spans="2:17">
      <c r="B94" s="79" t="str">
        <f t="shared" ref="B94:D113" si="1">B9</f>
        <v>1G</v>
      </c>
      <c r="C94" s="80" t="str">
        <f t="shared" si="1"/>
        <v>500 m</v>
      </c>
      <c r="D94" s="81" t="str">
        <f t="shared" si="1"/>
        <v>SFP</v>
      </c>
      <c r="E94" s="101">
        <f>'Products x speed'!E105</f>
        <v>10.178233731377588</v>
      </c>
      <c r="F94" s="101">
        <f>'Products x speed'!F105</f>
        <v>8.9746992158904888</v>
      </c>
      <c r="G94" s="101">
        <f>'Products x speed'!G105</f>
        <v>8.1963947817703744</v>
      </c>
      <c r="H94" s="101"/>
      <c r="I94" s="101"/>
      <c r="J94" s="101"/>
      <c r="K94" s="101"/>
      <c r="L94" s="101"/>
      <c r="M94" s="101"/>
      <c r="N94" s="101"/>
      <c r="O94" s="101"/>
      <c r="P94" s="101"/>
      <c r="Q94" s="488"/>
    </row>
    <row r="95" spans="2:17">
      <c r="B95" s="87" t="str">
        <f t="shared" si="1"/>
        <v>1G</v>
      </c>
      <c r="C95" s="88" t="str">
        <f t="shared" si="1"/>
        <v>10 km</v>
      </c>
      <c r="D95" s="89" t="str">
        <f t="shared" si="1"/>
        <v>SFP</v>
      </c>
      <c r="E95" s="103">
        <f>'Products x speed'!E106</f>
        <v>11.313150064475876</v>
      </c>
      <c r="F95" s="103">
        <f>'Products x speed'!F106</f>
        <v>9.7279618337487541</v>
      </c>
      <c r="G95" s="103">
        <f>'Products x speed'!G106</f>
        <v>7.9991133376783168</v>
      </c>
      <c r="H95" s="103"/>
      <c r="I95" s="103"/>
      <c r="J95" s="103"/>
      <c r="K95" s="103"/>
      <c r="L95" s="103"/>
      <c r="M95" s="103"/>
      <c r="N95" s="103"/>
      <c r="O95" s="103"/>
      <c r="P95" s="103"/>
      <c r="Q95" s="488"/>
    </row>
    <row r="96" spans="2:17">
      <c r="B96" s="87" t="str">
        <f t="shared" si="1"/>
        <v>1G</v>
      </c>
      <c r="C96" s="88" t="str">
        <f t="shared" si="1"/>
        <v>40 km</v>
      </c>
      <c r="D96" s="89" t="str">
        <f t="shared" si="1"/>
        <v>SFP</v>
      </c>
      <c r="E96" s="103">
        <f>'Products x speed'!E107</f>
        <v>14.223250006112197</v>
      </c>
      <c r="F96" s="103">
        <f>'Products x speed'!F107</f>
        <v>11.270556706605298</v>
      </c>
      <c r="G96" s="103">
        <f>'Products x speed'!G107</f>
        <v>11.355942578382948</v>
      </c>
      <c r="H96" s="103"/>
      <c r="I96" s="103"/>
      <c r="J96" s="103"/>
      <c r="K96" s="103"/>
      <c r="L96" s="103"/>
      <c r="M96" s="103"/>
      <c r="N96" s="103"/>
      <c r="O96" s="103"/>
      <c r="P96" s="103"/>
      <c r="Q96" s="488"/>
    </row>
    <row r="97" spans="2:17">
      <c r="B97" s="87" t="str">
        <f t="shared" si="1"/>
        <v>1G</v>
      </c>
      <c r="C97" s="88" t="str">
        <f t="shared" si="1"/>
        <v>80 km</v>
      </c>
      <c r="D97" s="88" t="str">
        <f t="shared" si="1"/>
        <v>SFP</v>
      </c>
      <c r="E97" s="103">
        <f>'Products x speed'!E108</f>
        <v>47.263945249069465</v>
      </c>
      <c r="F97" s="103">
        <f>'Products x speed'!F108</f>
        <v>42.349942382451964</v>
      </c>
      <c r="G97" s="103">
        <f>'Products x speed'!G108</f>
        <v>32.87799862653884</v>
      </c>
      <c r="H97" s="103"/>
      <c r="I97" s="103"/>
      <c r="J97" s="103"/>
      <c r="K97" s="103"/>
      <c r="L97" s="103"/>
      <c r="M97" s="103"/>
      <c r="N97" s="103"/>
      <c r="O97" s="103"/>
      <c r="P97" s="103"/>
      <c r="Q97" s="488"/>
    </row>
    <row r="98" spans="2:17">
      <c r="B98" s="83" t="str">
        <f t="shared" si="1"/>
        <v>1G &amp; Fast Ethernet</v>
      </c>
      <c r="C98" s="84" t="str">
        <f t="shared" si="1"/>
        <v>Various</v>
      </c>
      <c r="D98" s="84" t="str">
        <f t="shared" si="1"/>
        <v>Legacy/discontinued</v>
      </c>
      <c r="E98" s="102">
        <f>'Products x speed'!E109</f>
        <v>18</v>
      </c>
      <c r="F98" s="102" t="str">
        <f>'Products x speed'!F109</f>
        <v/>
      </c>
      <c r="G98" s="102" t="str">
        <f>'Products x speed'!G109</f>
        <v/>
      </c>
      <c r="H98" s="102"/>
      <c r="I98" s="102"/>
      <c r="J98" s="102"/>
      <c r="K98" s="102"/>
      <c r="L98" s="102"/>
      <c r="M98" s="102"/>
      <c r="N98" s="102"/>
      <c r="O98" s="102"/>
      <c r="P98" s="102"/>
      <c r="Q98" s="488"/>
    </row>
    <row r="99" spans="2:17">
      <c r="B99" s="87" t="str">
        <f t="shared" si="1"/>
        <v>10G</v>
      </c>
      <c r="C99" s="88" t="str">
        <f t="shared" si="1"/>
        <v>300 m</v>
      </c>
      <c r="D99" s="88" t="str">
        <f t="shared" si="1"/>
        <v>XFP</v>
      </c>
      <c r="E99" s="103">
        <f>'Products x speed'!E110</f>
        <v>65.084287545305614</v>
      </c>
      <c r="F99" s="103">
        <f>'Products x speed'!F110</f>
        <v>58.749084731162213</v>
      </c>
      <c r="G99" s="103">
        <f>'Products x speed'!G110</f>
        <v>53.859817130996483</v>
      </c>
      <c r="H99" s="103"/>
      <c r="I99" s="103"/>
      <c r="J99" s="103"/>
      <c r="K99" s="103"/>
      <c r="L99" s="103"/>
      <c r="M99" s="103"/>
      <c r="N99" s="103"/>
      <c r="O99" s="103"/>
      <c r="P99" s="103"/>
      <c r="Q99" s="488"/>
    </row>
    <row r="100" spans="2:17">
      <c r="B100" s="87" t="str">
        <f t="shared" si="1"/>
        <v>10G</v>
      </c>
      <c r="C100" s="88" t="str">
        <f t="shared" si="1"/>
        <v>300 m</v>
      </c>
      <c r="D100" s="88" t="str">
        <f t="shared" si="1"/>
        <v>SFP+</v>
      </c>
      <c r="E100" s="103">
        <f>'Products x speed'!E111</f>
        <v>18.016278339273537</v>
      </c>
      <c r="F100" s="103">
        <f>'Products x speed'!F111</f>
        <v>15.097691372748406</v>
      </c>
      <c r="G100" s="103">
        <f>'Products x speed'!G111</f>
        <v>12.873119482168063</v>
      </c>
      <c r="H100" s="103"/>
      <c r="I100" s="103"/>
      <c r="J100" s="103"/>
      <c r="K100" s="103"/>
      <c r="L100" s="103"/>
      <c r="M100" s="103"/>
      <c r="N100" s="103"/>
      <c r="O100" s="103"/>
      <c r="P100" s="103"/>
      <c r="Q100" s="488"/>
    </row>
    <row r="101" spans="2:17">
      <c r="B101" s="87" t="str">
        <f t="shared" si="1"/>
        <v>10G LRM</v>
      </c>
      <c r="C101" s="88" t="str">
        <f t="shared" si="1"/>
        <v>220 m</v>
      </c>
      <c r="D101" s="88" t="str">
        <f t="shared" si="1"/>
        <v>SFP+</v>
      </c>
      <c r="E101" s="103">
        <f>'Products x speed'!E112</f>
        <v>78.390761412913719</v>
      </c>
      <c r="F101" s="103">
        <f>'Products x speed'!F112</f>
        <v>66.716018564745482</v>
      </c>
      <c r="G101" s="103">
        <f>'Products x speed'!G112</f>
        <v>62.552567664917163</v>
      </c>
      <c r="H101" s="103"/>
      <c r="I101" s="103"/>
      <c r="J101" s="103"/>
      <c r="K101" s="103"/>
      <c r="L101" s="103"/>
      <c r="M101" s="103"/>
      <c r="N101" s="103"/>
      <c r="O101" s="103"/>
      <c r="P101" s="103"/>
      <c r="Q101" s="488"/>
    </row>
    <row r="102" spans="2:17">
      <c r="B102" s="87" t="str">
        <f t="shared" si="1"/>
        <v>10G</v>
      </c>
      <c r="C102" s="88" t="str">
        <f t="shared" si="1"/>
        <v>10 km</v>
      </c>
      <c r="D102" s="88" t="str">
        <f t="shared" si="1"/>
        <v>XFP</v>
      </c>
      <c r="E102" s="103">
        <f>'Products x speed'!E113</f>
        <v>67.576972221049004</v>
      </c>
      <c r="F102" s="103">
        <f>'Products x speed'!F113</f>
        <v>51.799368807617711</v>
      </c>
      <c r="G102" s="103">
        <f>'Products x speed'!G113</f>
        <v>44.013044587017021</v>
      </c>
      <c r="H102" s="103"/>
      <c r="I102" s="103"/>
      <c r="J102" s="103"/>
      <c r="K102" s="103"/>
      <c r="L102" s="103"/>
      <c r="M102" s="103"/>
      <c r="N102" s="103"/>
      <c r="O102" s="103"/>
      <c r="P102" s="103"/>
      <c r="Q102" s="488"/>
    </row>
    <row r="103" spans="2:17">
      <c r="B103" s="87" t="str">
        <f t="shared" si="1"/>
        <v>10G</v>
      </c>
      <c r="C103" s="88" t="str">
        <f t="shared" si="1"/>
        <v>10 km</v>
      </c>
      <c r="D103" s="88" t="str">
        <f t="shared" si="1"/>
        <v>SFP+</v>
      </c>
      <c r="E103" s="104">
        <f>'Products x speed'!E114</f>
        <v>38.465958311427336</v>
      </c>
      <c r="F103" s="104">
        <f>'Products x speed'!F114</f>
        <v>30.5</v>
      </c>
      <c r="G103" s="104">
        <f>'Products x speed'!G114</f>
        <v>24.174517052756187</v>
      </c>
      <c r="H103" s="104"/>
      <c r="I103" s="104"/>
      <c r="J103" s="104"/>
      <c r="K103" s="104"/>
      <c r="L103" s="104"/>
      <c r="M103" s="104"/>
      <c r="N103" s="104"/>
      <c r="O103" s="104"/>
      <c r="P103" s="104"/>
      <c r="Q103" s="488"/>
    </row>
    <row r="104" spans="2:17">
      <c r="B104" s="87" t="str">
        <f t="shared" si="1"/>
        <v>10G</v>
      </c>
      <c r="C104" s="88" t="str">
        <f t="shared" si="1"/>
        <v>40 km</v>
      </c>
      <c r="D104" s="88" t="str">
        <f t="shared" si="1"/>
        <v>XFP</v>
      </c>
      <c r="E104" s="103">
        <f>'Products x speed'!E115</f>
        <v>202.96860771881492</v>
      </c>
      <c r="F104" s="103">
        <f>'Products x speed'!F115</f>
        <v>139.47449702400385</v>
      </c>
      <c r="G104" s="103">
        <f>'Products x speed'!G115</f>
        <v>119.6669017796072</v>
      </c>
      <c r="H104" s="103"/>
      <c r="I104" s="103"/>
      <c r="J104" s="103"/>
      <c r="K104" s="103"/>
      <c r="L104" s="103"/>
      <c r="M104" s="103"/>
      <c r="N104" s="103"/>
      <c r="O104" s="103"/>
      <c r="P104" s="103"/>
      <c r="Q104" s="488"/>
    </row>
    <row r="105" spans="2:17">
      <c r="B105" s="87" t="str">
        <f t="shared" si="1"/>
        <v>10G</v>
      </c>
      <c r="C105" s="88" t="str">
        <f t="shared" si="1"/>
        <v>40 km</v>
      </c>
      <c r="D105" s="88" t="str">
        <f t="shared" si="1"/>
        <v>SFP+</v>
      </c>
      <c r="E105" s="103">
        <f>'Products x speed'!E116</f>
        <v>191.20778168956542</v>
      </c>
      <c r="F105" s="103">
        <f>'Products x speed'!F116</f>
        <v>155.78241680453388</v>
      </c>
      <c r="G105" s="103">
        <f>'Products x speed'!G116</f>
        <v>99.963714368632438</v>
      </c>
      <c r="H105" s="103"/>
      <c r="I105" s="103"/>
      <c r="J105" s="103"/>
      <c r="K105" s="103"/>
      <c r="L105" s="103"/>
      <c r="M105" s="103"/>
      <c r="N105" s="103"/>
      <c r="O105" s="103"/>
      <c r="P105" s="103"/>
      <c r="Q105" s="488"/>
    </row>
    <row r="106" spans="2:17">
      <c r="B106" s="87" t="str">
        <f t="shared" si="1"/>
        <v>10G</v>
      </c>
      <c r="C106" s="88" t="str">
        <f t="shared" si="1"/>
        <v>80 km</v>
      </c>
      <c r="D106" s="88" t="str">
        <f t="shared" si="1"/>
        <v>XFP</v>
      </c>
      <c r="E106" s="103">
        <f>'Products x speed'!E117</f>
        <v>272.0748723385496</v>
      </c>
      <c r="F106" s="103">
        <f>'Products x speed'!F117</f>
        <v>279.05568350167476</v>
      </c>
      <c r="G106" s="103">
        <f>'Products x speed'!G117</f>
        <v>298.53432873031477</v>
      </c>
      <c r="H106" s="103"/>
      <c r="I106" s="103"/>
      <c r="J106" s="103"/>
      <c r="K106" s="103"/>
      <c r="L106" s="103"/>
      <c r="M106" s="103"/>
      <c r="N106" s="103"/>
      <c r="O106" s="103"/>
      <c r="P106" s="103"/>
      <c r="Q106" s="488"/>
    </row>
    <row r="107" spans="2:17">
      <c r="B107" s="87" t="str">
        <f t="shared" si="1"/>
        <v>10G</v>
      </c>
      <c r="C107" s="88" t="str">
        <f t="shared" si="1"/>
        <v>80 km</v>
      </c>
      <c r="D107" s="88" t="str">
        <f t="shared" si="1"/>
        <v>SFP+</v>
      </c>
      <c r="E107" s="103">
        <f>'Products x speed'!E118</f>
        <v>362.31733736347383</v>
      </c>
      <c r="F107" s="103">
        <f>'Products x speed'!F118</f>
        <v>296.14130230693672</v>
      </c>
      <c r="G107" s="103">
        <f>'Products x speed'!G118</f>
        <v>232.06261204152722</v>
      </c>
      <c r="H107" s="103"/>
      <c r="I107" s="103"/>
      <c r="J107" s="103"/>
      <c r="K107" s="103"/>
      <c r="L107" s="103"/>
      <c r="M107" s="103"/>
      <c r="N107" s="103"/>
      <c r="O107" s="103"/>
      <c r="P107" s="103"/>
      <c r="Q107" s="488"/>
    </row>
    <row r="108" spans="2:17">
      <c r="B108" s="87" t="str">
        <f t="shared" si="1"/>
        <v>10G</v>
      </c>
      <c r="C108" s="88" t="str">
        <f t="shared" si="1"/>
        <v>Various</v>
      </c>
      <c r="D108" s="88" t="str">
        <f t="shared" si="1"/>
        <v>Legacy/discontinued</v>
      </c>
      <c r="E108" s="103">
        <f>'Products x speed'!E119</f>
        <v>99.093186017554928</v>
      </c>
      <c r="F108" s="103">
        <f>'Products x speed'!F119</f>
        <v>94.281145957499305</v>
      </c>
      <c r="G108" s="103">
        <f>'Products x speed'!G119</f>
        <v>114.28571428571429</v>
      </c>
      <c r="H108" s="103"/>
      <c r="I108" s="103"/>
      <c r="J108" s="103"/>
      <c r="K108" s="103"/>
      <c r="L108" s="103"/>
      <c r="M108" s="103"/>
      <c r="N108" s="103"/>
      <c r="O108" s="103"/>
      <c r="P108" s="103"/>
      <c r="Q108" s="488"/>
    </row>
    <row r="109" spans="2:17">
      <c r="B109" s="79" t="str">
        <f t="shared" si="1"/>
        <v>25G SR, eSR</v>
      </c>
      <c r="C109" s="80" t="str">
        <f t="shared" si="1"/>
        <v>100 - 300 m</v>
      </c>
      <c r="D109" s="81" t="str">
        <f t="shared" si="1"/>
        <v>SFP28</v>
      </c>
      <c r="E109" s="101">
        <f>'Products x speed'!E120</f>
        <v>187.14315701091519</v>
      </c>
      <c r="F109" s="101">
        <f>'Products x speed'!F120</f>
        <v>141.11071819746516</v>
      </c>
      <c r="G109" s="101">
        <f>'Products x speed'!G120</f>
        <v>87.296721341283785</v>
      </c>
      <c r="H109" s="101"/>
      <c r="I109" s="101"/>
      <c r="J109" s="101"/>
      <c r="K109" s="101"/>
      <c r="L109" s="101"/>
      <c r="M109" s="101"/>
      <c r="N109" s="101"/>
      <c r="O109" s="101"/>
      <c r="P109" s="101"/>
      <c r="Q109" s="488"/>
    </row>
    <row r="110" spans="2:17">
      <c r="B110" s="87" t="str">
        <f t="shared" si="1"/>
        <v>25G LR</v>
      </c>
      <c r="C110" s="88" t="str">
        <f t="shared" si="1"/>
        <v>10 km</v>
      </c>
      <c r="D110" s="89" t="str">
        <f t="shared" si="1"/>
        <v>SFP28</v>
      </c>
      <c r="E110" s="103">
        <f>'Products x speed'!E121</f>
        <v>456.24032541776609</v>
      </c>
      <c r="F110" s="103">
        <f>'Products x speed'!F121</f>
        <v>324.10355668962507</v>
      </c>
      <c r="G110" s="103">
        <f>'Products x speed'!G121</f>
        <v>194.62477807755377</v>
      </c>
      <c r="H110" s="103"/>
      <c r="I110" s="103"/>
      <c r="J110" s="103"/>
      <c r="K110" s="103"/>
      <c r="L110" s="103"/>
      <c r="M110" s="103"/>
      <c r="N110" s="103"/>
      <c r="O110" s="103"/>
      <c r="P110" s="103"/>
      <c r="Q110" s="488"/>
    </row>
    <row r="111" spans="2:17">
      <c r="B111" s="83" t="str">
        <f t="shared" si="1"/>
        <v>25G ER</v>
      </c>
      <c r="C111" s="84" t="str">
        <f t="shared" si="1"/>
        <v>40 km</v>
      </c>
      <c r="D111" s="85" t="str">
        <f t="shared" si="1"/>
        <v>SFP28</v>
      </c>
      <c r="E111" s="102" t="str">
        <f>'Products x speed'!E122</f>
        <v/>
      </c>
      <c r="F111" s="102" t="str">
        <f>'Products x speed'!F122</f>
        <v/>
      </c>
      <c r="G111" s="102" t="str">
        <f>'Products x speed'!G122</f>
        <v/>
      </c>
      <c r="H111" s="102"/>
      <c r="I111" s="102"/>
      <c r="J111" s="102"/>
      <c r="K111" s="102"/>
      <c r="L111" s="102"/>
      <c r="M111" s="102"/>
      <c r="N111" s="102"/>
      <c r="O111" s="102"/>
      <c r="P111" s="102"/>
      <c r="Q111" s="488"/>
    </row>
    <row r="112" spans="2:17">
      <c r="B112" s="79" t="str">
        <f t="shared" si="1"/>
        <v>40G SR4</v>
      </c>
      <c r="C112" s="80" t="str">
        <f t="shared" si="1"/>
        <v>100 m</v>
      </c>
      <c r="D112" s="81" t="str">
        <f t="shared" si="1"/>
        <v>QSFP+</v>
      </c>
      <c r="E112" s="101">
        <f>'Products x speed'!E123</f>
        <v>96.595063887564976</v>
      </c>
      <c r="F112" s="101">
        <f>'Products x speed'!F123</f>
        <v>80.379797575925679</v>
      </c>
      <c r="G112" s="101">
        <f>'Products x speed'!G123</f>
        <v>58.660264540622045</v>
      </c>
      <c r="H112" s="101"/>
      <c r="I112" s="101"/>
      <c r="J112" s="101"/>
      <c r="K112" s="101"/>
      <c r="L112" s="101"/>
      <c r="M112" s="101"/>
      <c r="N112" s="101"/>
      <c r="O112" s="101"/>
      <c r="P112" s="101"/>
      <c r="Q112" s="488"/>
    </row>
    <row r="113" spans="2:17">
      <c r="B113" s="87" t="str">
        <f t="shared" si="1"/>
        <v>40G MM duplex</v>
      </c>
      <c r="C113" s="88" t="str">
        <f t="shared" si="1"/>
        <v>100 m</v>
      </c>
      <c r="D113" s="89" t="str">
        <f t="shared" si="1"/>
        <v>QSFP+</v>
      </c>
      <c r="E113" s="103">
        <f>'Products x speed'!E124</f>
        <v>250</v>
      </c>
      <c r="F113" s="103">
        <f>'Products x speed'!F124</f>
        <v>240</v>
      </c>
      <c r="G113" s="103">
        <f>'Products x speed'!G124</f>
        <v>227</v>
      </c>
      <c r="H113" s="103"/>
      <c r="I113" s="103"/>
      <c r="J113" s="103"/>
      <c r="K113" s="103"/>
      <c r="L113" s="103"/>
      <c r="M113" s="103"/>
      <c r="N113" s="103"/>
      <c r="O113" s="103"/>
      <c r="P113" s="103"/>
      <c r="Q113" s="488"/>
    </row>
    <row r="114" spans="2:17">
      <c r="B114" s="87" t="str">
        <f t="shared" ref="B114:D133" si="2">B29</f>
        <v>40G eSR4</v>
      </c>
      <c r="C114" s="88" t="str">
        <f t="shared" si="2"/>
        <v>300 m</v>
      </c>
      <c r="D114" s="89" t="str">
        <f t="shared" si="2"/>
        <v>QSFP+</v>
      </c>
      <c r="E114" s="103">
        <f>'Products x speed'!E125</f>
        <v>106.66614587912188</v>
      </c>
      <c r="F114" s="103">
        <f>'Products x speed'!F125</f>
        <v>80.99928194026171</v>
      </c>
      <c r="G114" s="103">
        <f>'Products x speed'!G125</f>
        <v>63.850920529241115</v>
      </c>
      <c r="H114" s="103"/>
      <c r="I114" s="103"/>
      <c r="J114" s="103"/>
      <c r="K114" s="103"/>
      <c r="L114" s="103"/>
      <c r="M114" s="103"/>
      <c r="N114" s="103"/>
      <c r="O114" s="103"/>
      <c r="P114" s="103"/>
      <c r="Q114" s="488"/>
    </row>
    <row r="115" spans="2:17">
      <c r="B115" s="87" t="str">
        <f t="shared" si="2"/>
        <v>40 G PSM4</v>
      </c>
      <c r="C115" s="88" t="str">
        <f t="shared" si="2"/>
        <v>500 m</v>
      </c>
      <c r="D115" s="89" t="str">
        <f t="shared" si="2"/>
        <v>QSFP+</v>
      </c>
      <c r="E115" s="103">
        <f>'Products x speed'!E126</f>
        <v>253.19068527507093</v>
      </c>
      <c r="F115" s="103">
        <f>'Products x speed'!F126</f>
        <v>262.79055146339874</v>
      </c>
      <c r="G115" s="103">
        <f>'Products x speed'!G126</f>
        <v>251.75081757202989</v>
      </c>
      <c r="H115" s="103"/>
      <c r="I115" s="103"/>
      <c r="J115" s="103"/>
      <c r="K115" s="103"/>
      <c r="L115" s="103"/>
      <c r="M115" s="103"/>
      <c r="N115" s="103"/>
      <c r="O115" s="103"/>
      <c r="P115" s="103"/>
      <c r="Q115" s="488"/>
    </row>
    <row r="116" spans="2:17">
      <c r="B116" s="87" t="str">
        <f t="shared" si="2"/>
        <v>40G (FR)</v>
      </c>
      <c r="C116" s="88" t="str">
        <f t="shared" si="2"/>
        <v>2 km</v>
      </c>
      <c r="D116" s="89" t="str">
        <f t="shared" si="2"/>
        <v>CFP</v>
      </c>
      <c r="E116" s="103">
        <f>'Products x speed'!E127</f>
        <v>4569.894941368153</v>
      </c>
      <c r="F116" s="103">
        <f>'Products x speed'!F127</f>
        <v>5251.681208639473</v>
      </c>
      <c r="G116" s="103" t="str">
        <f>'Products x speed'!G127</f>
        <v/>
      </c>
      <c r="H116" s="103"/>
      <c r="I116" s="103"/>
      <c r="J116" s="103"/>
      <c r="K116" s="103"/>
      <c r="L116" s="103"/>
      <c r="M116" s="103"/>
      <c r="N116" s="103"/>
      <c r="O116" s="103"/>
      <c r="P116" s="103"/>
      <c r="Q116" s="488"/>
    </row>
    <row r="117" spans="2:17">
      <c r="B117" s="87" t="str">
        <f t="shared" si="2"/>
        <v>40G (LR4 subspec)</v>
      </c>
      <c r="C117" s="88" t="str">
        <f t="shared" si="2"/>
        <v>2 km</v>
      </c>
      <c r="D117" s="89" t="str">
        <f t="shared" si="2"/>
        <v>QSFP+</v>
      </c>
      <c r="E117" s="103">
        <f>'Products x speed'!E128</f>
        <v>377.60055209491952</v>
      </c>
      <c r="F117" s="103">
        <f>'Products x speed'!F128</f>
        <v>343.5254726908467</v>
      </c>
      <c r="G117" s="103">
        <f>'Products x speed'!G128</f>
        <v>303.68617678545809</v>
      </c>
      <c r="H117" s="103"/>
      <c r="I117" s="103"/>
      <c r="J117" s="103"/>
      <c r="K117" s="103"/>
      <c r="L117" s="103"/>
      <c r="M117" s="103"/>
      <c r="N117" s="103"/>
      <c r="O117" s="103"/>
      <c r="P117" s="103"/>
      <c r="Q117" s="488"/>
    </row>
    <row r="118" spans="2:17">
      <c r="B118" s="87" t="str">
        <f t="shared" si="2"/>
        <v>40G</v>
      </c>
      <c r="C118" s="88" t="str">
        <f t="shared" si="2"/>
        <v>10 km</v>
      </c>
      <c r="D118" s="89" t="str">
        <f t="shared" si="2"/>
        <v>CFP</v>
      </c>
      <c r="E118" s="103">
        <f>'Products x speed'!E129</f>
        <v>1174.9655306999969</v>
      </c>
      <c r="F118" s="103">
        <f>'Products x speed'!F129</f>
        <v>1350.8997571323105</v>
      </c>
      <c r="G118" s="103" t="str">
        <f>'Products x speed'!G129</f>
        <v/>
      </c>
      <c r="H118" s="103"/>
      <c r="I118" s="103"/>
      <c r="J118" s="103"/>
      <c r="K118" s="103"/>
      <c r="L118" s="103"/>
      <c r="M118" s="103"/>
      <c r="N118" s="103"/>
      <c r="O118" s="103"/>
      <c r="P118" s="103"/>
      <c r="Q118" s="488"/>
    </row>
    <row r="119" spans="2:17">
      <c r="B119" s="87" t="str">
        <f t="shared" si="2"/>
        <v>40G</v>
      </c>
      <c r="C119" s="88" t="str">
        <f t="shared" si="2"/>
        <v>10 km</v>
      </c>
      <c r="D119" s="89" t="str">
        <f t="shared" si="2"/>
        <v>QSFP+</v>
      </c>
      <c r="E119" s="103">
        <f>'Products x speed'!E130</f>
        <v>427.72742888770347</v>
      </c>
      <c r="F119" s="103">
        <f>'Products x speed'!F130</f>
        <v>401.36672508917627</v>
      </c>
      <c r="G119" s="103">
        <f>'Products x speed'!G130</f>
        <v>361.77095787062291</v>
      </c>
      <c r="H119" s="103"/>
      <c r="I119" s="103"/>
      <c r="J119" s="103"/>
      <c r="K119" s="103"/>
      <c r="L119" s="103"/>
      <c r="M119" s="103"/>
      <c r="N119" s="103"/>
      <c r="O119" s="103"/>
      <c r="P119" s="103"/>
      <c r="Q119" s="488"/>
    </row>
    <row r="120" spans="2:17">
      <c r="B120" s="83" t="str">
        <f t="shared" si="2"/>
        <v>40G</v>
      </c>
      <c r="C120" s="84" t="str">
        <f t="shared" si="2"/>
        <v>40 km</v>
      </c>
      <c r="D120" s="85" t="str">
        <f t="shared" si="2"/>
        <v>QSFP+</v>
      </c>
      <c r="E120" s="103">
        <f>'Products x speed'!E131</f>
        <v>1673.0572324239708</v>
      </c>
      <c r="F120" s="103">
        <f>'Products x speed'!F131</f>
        <v>1459.2330281290015</v>
      </c>
      <c r="G120" s="103">
        <f>'Products x speed'!G131</f>
        <v>1255.0508268482483</v>
      </c>
      <c r="H120" s="103"/>
      <c r="I120" s="103"/>
      <c r="J120" s="103"/>
      <c r="K120" s="103"/>
      <c r="L120" s="103"/>
      <c r="M120" s="103"/>
      <c r="N120" s="103"/>
      <c r="O120" s="103"/>
      <c r="P120" s="103"/>
      <c r="Q120" s="488"/>
    </row>
    <row r="121" spans="2:17">
      <c r="B121" s="79" t="str">
        <f t="shared" si="2"/>
        <v xml:space="preserve">50G </v>
      </c>
      <c r="C121" s="80" t="str">
        <f t="shared" si="2"/>
        <v>100 m</v>
      </c>
      <c r="D121" s="81" t="str">
        <f t="shared" si="2"/>
        <v>all</v>
      </c>
      <c r="E121" s="101" t="str">
        <f>'Products x speed'!E132</f>
        <v/>
      </c>
      <c r="F121" s="101" t="str">
        <f>'Products x speed'!F132</f>
        <v/>
      </c>
      <c r="G121" s="101" t="str">
        <f>'Products x speed'!G132</f>
        <v/>
      </c>
      <c r="H121" s="101"/>
      <c r="I121" s="101"/>
      <c r="J121" s="101"/>
      <c r="K121" s="101"/>
      <c r="L121" s="101"/>
      <c r="M121" s="101"/>
      <c r="N121" s="101"/>
      <c r="O121" s="101"/>
      <c r="P121" s="101"/>
      <c r="Q121" s="488"/>
    </row>
    <row r="122" spans="2:17">
      <c r="B122" s="87" t="str">
        <f t="shared" si="2"/>
        <v xml:space="preserve">50G </v>
      </c>
      <c r="C122" s="88" t="str">
        <f t="shared" si="2"/>
        <v>2 km</v>
      </c>
      <c r="D122" s="89" t="str">
        <f t="shared" si="2"/>
        <v>all</v>
      </c>
      <c r="E122" s="103" t="str">
        <f>'Products x speed'!E133</f>
        <v/>
      </c>
      <c r="F122" s="103" t="str">
        <f>'Products x speed'!F133</f>
        <v/>
      </c>
      <c r="G122" s="103" t="str">
        <f>'Products x speed'!G133</f>
        <v/>
      </c>
      <c r="H122" s="103"/>
      <c r="I122" s="103"/>
      <c r="J122" s="103"/>
      <c r="K122" s="103"/>
      <c r="L122" s="103"/>
      <c r="M122" s="103"/>
      <c r="N122" s="103"/>
      <c r="O122" s="103"/>
      <c r="P122" s="103"/>
      <c r="Q122" s="488"/>
    </row>
    <row r="123" spans="2:17">
      <c r="B123" s="87" t="str">
        <f t="shared" si="2"/>
        <v xml:space="preserve">50G </v>
      </c>
      <c r="C123" s="88" t="str">
        <f t="shared" si="2"/>
        <v>10 km</v>
      </c>
      <c r="D123" s="89" t="str">
        <f t="shared" si="2"/>
        <v>all</v>
      </c>
      <c r="E123" s="103" t="str">
        <f>'Products x speed'!E134</f>
        <v/>
      </c>
      <c r="F123" s="103" t="str">
        <f>'Products x speed'!F134</f>
        <v/>
      </c>
      <c r="G123" s="103" t="str">
        <f>'Products x speed'!G134</f>
        <v/>
      </c>
      <c r="H123" s="103"/>
      <c r="I123" s="103"/>
      <c r="J123" s="103"/>
      <c r="K123" s="103"/>
      <c r="L123" s="103"/>
      <c r="M123" s="103"/>
      <c r="N123" s="103"/>
      <c r="O123" s="103"/>
      <c r="P123" s="103"/>
      <c r="Q123" s="488"/>
    </row>
    <row r="124" spans="2:17">
      <c r="B124" s="87" t="str">
        <f t="shared" si="2"/>
        <v xml:space="preserve">50G </v>
      </c>
      <c r="C124" s="88" t="str">
        <f t="shared" si="2"/>
        <v>40 km</v>
      </c>
      <c r="D124" s="89" t="str">
        <f t="shared" si="2"/>
        <v>all</v>
      </c>
      <c r="E124" s="103">
        <f>'Products x speed'!E135</f>
        <v>0</v>
      </c>
      <c r="F124" s="103">
        <f>'Products x speed'!F135</f>
        <v>0</v>
      </c>
      <c r="G124" s="103">
        <f>'Products x speed'!G135</f>
        <v>0</v>
      </c>
      <c r="H124" s="103"/>
      <c r="I124" s="103"/>
      <c r="J124" s="103"/>
      <c r="K124" s="103"/>
      <c r="L124" s="103"/>
      <c r="M124" s="103"/>
      <c r="N124" s="103"/>
      <c r="O124" s="103"/>
      <c r="P124" s="103"/>
      <c r="Q124" s="488"/>
    </row>
    <row r="125" spans="2:17">
      <c r="B125" s="87" t="str">
        <f t="shared" si="2"/>
        <v xml:space="preserve">50G </v>
      </c>
      <c r="C125" s="88" t="str">
        <f t="shared" si="2"/>
        <v>80 km</v>
      </c>
      <c r="D125" s="89" t="str">
        <f t="shared" si="2"/>
        <v>all</v>
      </c>
      <c r="E125" s="102">
        <f>'Products x speed'!E136</f>
        <v>0</v>
      </c>
      <c r="F125" s="102">
        <f>'Products x speed'!F136</f>
        <v>0</v>
      </c>
      <c r="G125" s="103">
        <f>'Products x speed'!G136</f>
        <v>0</v>
      </c>
      <c r="H125" s="103"/>
      <c r="I125" s="103"/>
      <c r="J125" s="103"/>
      <c r="K125" s="103"/>
      <c r="L125" s="103"/>
      <c r="M125" s="103"/>
      <c r="N125" s="103"/>
      <c r="O125" s="103"/>
      <c r="P125" s="103"/>
      <c r="Q125" s="488"/>
    </row>
    <row r="126" spans="2:17">
      <c r="B126" s="79" t="str">
        <f t="shared" si="2"/>
        <v>100G SR4</v>
      </c>
      <c r="C126" s="80" t="str">
        <f t="shared" si="2"/>
        <v>100 m</v>
      </c>
      <c r="D126" s="81" t="str">
        <f t="shared" si="2"/>
        <v>CFP</v>
      </c>
      <c r="E126" s="101">
        <f>'Products x speed'!E137</f>
        <v>1422.7039686825053</v>
      </c>
      <c r="F126" s="101">
        <f>'Products x speed'!F137</f>
        <v>1273.3986691740201</v>
      </c>
      <c r="G126" s="101">
        <f>'Products x speed'!G137</f>
        <v>1018.9069493521796</v>
      </c>
      <c r="H126" s="101"/>
      <c r="I126" s="101"/>
      <c r="J126" s="101"/>
      <c r="K126" s="101"/>
      <c r="L126" s="101"/>
      <c r="M126" s="101"/>
      <c r="N126" s="101"/>
      <c r="O126" s="101"/>
      <c r="P126" s="101"/>
      <c r="Q126" s="488"/>
    </row>
    <row r="127" spans="2:17">
      <c r="B127" s="87" t="str">
        <f t="shared" si="2"/>
        <v>100G SR4</v>
      </c>
      <c r="C127" s="88" t="str">
        <f t="shared" si="2"/>
        <v>100 m</v>
      </c>
      <c r="D127" s="89" t="str">
        <f t="shared" si="2"/>
        <v>CFP2/4</v>
      </c>
      <c r="E127" s="103">
        <f>'Products x speed'!E138</f>
        <v>1204.7629951912068</v>
      </c>
      <c r="F127" s="103">
        <f>'Products x speed'!F138</f>
        <v>1092.608197443808</v>
      </c>
      <c r="G127" s="103">
        <f>'Products x speed'!G138</f>
        <v>1004.0468400000002</v>
      </c>
      <c r="H127" s="103"/>
      <c r="I127" s="103"/>
      <c r="J127" s="103"/>
      <c r="K127" s="103"/>
      <c r="L127" s="103"/>
      <c r="M127" s="103"/>
      <c r="N127" s="103"/>
      <c r="O127" s="103"/>
      <c r="P127" s="103"/>
      <c r="Q127" s="488"/>
    </row>
    <row r="128" spans="2:17">
      <c r="B128" s="87" t="str">
        <f t="shared" si="2"/>
        <v>100G SR4</v>
      </c>
      <c r="C128" s="88" t="str">
        <f t="shared" si="2"/>
        <v>100 m</v>
      </c>
      <c r="D128" s="89" t="str">
        <f t="shared" si="2"/>
        <v>QSFP28</v>
      </c>
      <c r="E128" s="103">
        <f>'Products x speed'!E139</f>
        <v>258.09426618771823</v>
      </c>
      <c r="F128" s="103">
        <f>'Products x speed'!F139</f>
        <v>182.02277386466108</v>
      </c>
      <c r="G128" s="103">
        <f>'Products x speed'!G139</f>
        <v>113.54682982085136</v>
      </c>
      <c r="H128" s="103"/>
      <c r="I128" s="103"/>
      <c r="J128" s="103"/>
      <c r="K128" s="103"/>
      <c r="L128" s="103"/>
      <c r="M128" s="103"/>
      <c r="N128" s="103"/>
      <c r="O128" s="103"/>
      <c r="P128" s="103"/>
      <c r="Q128" s="488"/>
    </row>
    <row r="129" spans="2:17">
      <c r="B129" s="87" t="str">
        <f t="shared" si="2"/>
        <v>100G SR2</v>
      </c>
      <c r="C129" s="88" t="str">
        <f t="shared" si="2"/>
        <v>100 m</v>
      </c>
      <c r="D129" s="89" t="str">
        <f t="shared" si="2"/>
        <v>All</v>
      </c>
      <c r="E129" s="103" t="str">
        <f>'Products x speed'!E140</f>
        <v/>
      </c>
      <c r="F129" s="103" t="str">
        <f>'Products x speed'!F140</f>
        <v/>
      </c>
      <c r="G129" s="103" t="str">
        <f>'Products x speed'!G140</f>
        <v/>
      </c>
      <c r="H129" s="103"/>
      <c r="I129" s="103"/>
      <c r="J129" s="103"/>
      <c r="K129" s="103"/>
      <c r="L129" s="103"/>
      <c r="M129" s="103"/>
      <c r="N129" s="103"/>
      <c r="O129" s="103"/>
      <c r="P129" s="103"/>
      <c r="Q129" s="488"/>
    </row>
    <row r="130" spans="2:17">
      <c r="B130" s="87" t="str">
        <f t="shared" si="2"/>
        <v>100G MM Duplex</v>
      </c>
      <c r="C130" s="88" t="str">
        <f t="shared" si="2"/>
        <v>100 - 300 m</v>
      </c>
      <c r="D130" s="89" t="str">
        <f t="shared" si="2"/>
        <v>QSFP28</v>
      </c>
      <c r="E130" s="103" t="str">
        <f>'Products x speed'!E141</f>
        <v/>
      </c>
      <c r="F130" s="103" t="str">
        <f>'Products x speed'!F141</f>
        <v/>
      </c>
      <c r="G130" s="103">
        <f>'Products x speed'!G141</f>
        <v>170</v>
      </c>
      <c r="H130" s="103"/>
      <c r="I130" s="103"/>
      <c r="J130" s="103"/>
      <c r="K130" s="103"/>
      <c r="L130" s="103"/>
      <c r="M130" s="103"/>
      <c r="N130" s="103"/>
      <c r="O130" s="103"/>
      <c r="P130" s="103"/>
      <c r="Q130" s="488"/>
    </row>
    <row r="131" spans="2:17">
      <c r="B131" s="87" t="str">
        <f t="shared" si="2"/>
        <v>100G eSR4</v>
      </c>
      <c r="C131" s="88" t="str">
        <f t="shared" si="2"/>
        <v>300 m</v>
      </c>
      <c r="D131" s="89" t="str">
        <f t="shared" si="2"/>
        <v>QSFP28</v>
      </c>
      <c r="E131" s="103" t="str">
        <f>'Products x speed'!E142</f>
        <v/>
      </c>
      <c r="F131" s="103" t="str">
        <f>'Products x speed'!F142</f>
        <v/>
      </c>
      <c r="G131" s="103">
        <f>'Products x speed'!G142</f>
        <v>170</v>
      </c>
      <c r="H131" s="103"/>
      <c r="I131" s="103"/>
      <c r="J131" s="103"/>
      <c r="K131" s="103"/>
      <c r="L131" s="103"/>
      <c r="M131" s="103"/>
      <c r="N131" s="103"/>
      <c r="O131" s="103"/>
      <c r="P131" s="103"/>
      <c r="Q131" s="488"/>
    </row>
    <row r="132" spans="2:17">
      <c r="B132" s="87" t="str">
        <f t="shared" si="2"/>
        <v>100G PSM4</v>
      </c>
      <c r="C132" s="88" t="str">
        <f t="shared" si="2"/>
        <v>500 m</v>
      </c>
      <c r="D132" s="89" t="str">
        <f t="shared" si="2"/>
        <v>QSFP28</v>
      </c>
      <c r="E132" s="103">
        <f>'Products x speed'!E143</f>
        <v>337.41687156790022</v>
      </c>
      <c r="F132" s="103">
        <f>'Products x speed'!F143</f>
        <v>222.65569307558187</v>
      </c>
      <c r="G132" s="103">
        <f>'Products x speed'!G143</f>
        <v>188.02033788894266</v>
      </c>
      <c r="H132" s="103"/>
      <c r="I132" s="103"/>
      <c r="J132" s="103"/>
      <c r="K132" s="103"/>
      <c r="L132" s="103"/>
      <c r="M132" s="103"/>
      <c r="N132" s="103"/>
      <c r="O132" s="103"/>
      <c r="P132" s="103"/>
      <c r="Q132" s="488"/>
    </row>
    <row r="133" spans="2:17">
      <c r="B133" s="87" t="str">
        <f t="shared" si="2"/>
        <v>100G DR</v>
      </c>
      <c r="C133" s="88" t="str">
        <f t="shared" si="2"/>
        <v>500m</v>
      </c>
      <c r="D133" s="89" t="str">
        <f t="shared" si="2"/>
        <v>QSFP28</v>
      </c>
      <c r="E133" s="103" t="str">
        <f>'Products x speed'!E144</f>
        <v/>
      </c>
      <c r="F133" s="103" t="str">
        <f>'Products x speed'!F144</f>
        <v/>
      </c>
      <c r="G133" s="103" t="str">
        <f>'Products x speed'!G144</f>
        <v/>
      </c>
      <c r="H133" s="103"/>
      <c r="I133" s="103"/>
      <c r="J133" s="103"/>
      <c r="K133" s="103"/>
      <c r="L133" s="103"/>
      <c r="M133" s="103"/>
      <c r="N133" s="103"/>
      <c r="O133" s="103"/>
      <c r="P133" s="103"/>
      <c r="Q133" s="488"/>
    </row>
    <row r="134" spans="2:17">
      <c r="B134" s="87" t="str">
        <f t="shared" ref="B134:D147" si="3">B49</f>
        <v>100G CWDM4-subspec</v>
      </c>
      <c r="C134" s="88" t="str">
        <f t="shared" si="3"/>
        <v>500 m</v>
      </c>
      <c r="D134" s="89" t="str">
        <f t="shared" si="3"/>
        <v>QSFP28</v>
      </c>
      <c r="E134" s="103">
        <f>'Products x speed'!E145</f>
        <v>625</v>
      </c>
      <c r="F134" s="103">
        <f>'Products x speed'!F145</f>
        <v>450</v>
      </c>
      <c r="G134" s="103">
        <f>'Products x speed'!G145</f>
        <v>280</v>
      </c>
      <c r="H134" s="103"/>
      <c r="I134" s="103"/>
      <c r="J134" s="103"/>
      <c r="K134" s="103"/>
      <c r="L134" s="103"/>
      <c r="M134" s="103"/>
      <c r="N134" s="103"/>
      <c r="O134" s="103"/>
      <c r="P134" s="103"/>
      <c r="Q134" s="488"/>
    </row>
    <row r="135" spans="2:17">
      <c r="B135" s="87" t="str">
        <f t="shared" si="3"/>
        <v>100G CWDM4</v>
      </c>
      <c r="C135" s="88" t="str">
        <f t="shared" si="3"/>
        <v>2 km</v>
      </c>
      <c r="D135" s="89" t="str">
        <f t="shared" si="3"/>
        <v>QSFP28</v>
      </c>
      <c r="E135" s="103">
        <f>'Products x speed'!E146</f>
        <v>825</v>
      </c>
      <c r="F135" s="103">
        <f>'Products x speed'!F146</f>
        <v>650</v>
      </c>
      <c r="G135" s="103">
        <f>'Products x speed'!G146</f>
        <v>490</v>
      </c>
      <c r="H135" s="103"/>
      <c r="I135" s="103"/>
      <c r="J135" s="103"/>
      <c r="K135" s="103"/>
      <c r="L135" s="103"/>
      <c r="M135" s="103"/>
      <c r="N135" s="103"/>
      <c r="O135" s="103"/>
      <c r="P135" s="103"/>
      <c r="Q135" s="488"/>
    </row>
    <row r="136" spans="2:17">
      <c r="B136" s="87" t="str">
        <f t="shared" si="3"/>
        <v>100G FR, DR+</v>
      </c>
      <c r="C136" s="88" t="str">
        <f t="shared" si="3"/>
        <v>2 km</v>
      </c>
      <c r="D136" s="89" t="str">
        <f t="shared" si="3"/>
        <v>QSFP28</v>
      </c>
      <c r="E136" s="103" t="str">
        <f>'Products x speed'!E147</f>
        <v/>
      </c>
      <c r="F136" s="103" t="str">
        <f>'Products x speed'!F147</f>
        <v/>
      </c>
      <c r="G136" s="103">
        <f>'Products x speed'!G147</f>
        <v>400</v>
      </c>
      <c r="H136" s="103"/>
      <c r="I136" s="103"/>
      <c r="J136" s="103"/>
      <c r="K136" s="103"/>
      <c r="L136" s="103"/>
      <c r="M136" s="103"/>
      <c r="N136" s="103"/>
      <c r="O136" s="103"/>
      <c r="P136" s="103"/>
      <c r="Q136" s="488"/>
    </row>
    <row r="137" spans="2:17">
      <c r="B137" s="87" t="str">
        <f t="shared" si="3"/>
        <v>100G LR4</v>
      </c>
      <c r="C137" s="88" t="str">
        <f t="shared" si="3"/>
        <v>10 km</v>
      </c>
      <c r="D137" s="89" t="str">
        <f t="shared" si="3"/>
        <v>CFP</v>
      </c>
      <c r="E137" s="103">
        <f>'Products x speed'!E148</f>
        <v>3527.8709620331333</v>
      </c>
      <c r="F137" s="103">
        <f>'Products x speed'!F148</f>
        <v>2768.0701132780364</v>
      </c>
      <c r="G137" s="103">
        <f>'Products x speed'!G148</f>
        <v>2103.9330552211131</v>
      </c>
      <c r="H137" s="103"/>
      <c r="I137" s="103"/>
      <c r="J137" s="103"/>
      <c r="K137" s="103"/>
      <c r="L137" s="103"/>
      <c r="M137" s="103"/>
      <c r="N137" s="103"/>
      <c r="O137" s="103"/>
      <c r="P137" s="103"/>
      <c r="Q137" s="488"/>
    </row>
    <row r="138" spans="2:17">
      <c r="B138" s="87" t="str">
        <f t="shared" si="3"/>
        <v>100G LR4</v>
      </c>
      <c r="C138" s="88" t="str">
        <f t="shared" si="3"/>
        <v>10 km</v>
      </c>
      <c r="D138" s="89" t="str">
        <f t="shared" si="3"/>
        <v>CFP2/4</v>
      </c>
      <c r="E138" s="103">
        <f>'Products x speed'!E149</f>
        <v>2882.5268681316725</v>
      </c>
      <c r="F138" s="103">
        <f>'Products x speed'!F149</f>
        <v>2140.3307221126156</v>
      </c>
      <c r="G138" s="103">
        <f>'Products x speed'!G149</f>
        <v>1371.5324877705048</v>
      </c>
      <c r="H138" s="103"/>
      <c r="I138" s="103"/>
      <c r="J138" s="103"/>
      <c r="K138" s="103"/>
      <c r="L138" s="103"/>
      <c r="M138" s="103"/>
      <c r="N138" s="103"/>
      <c r="O138" s="103"/>
      <c r="P138" s="103"/>
      <c r="Q138" s="488"/>
    </row>
    <row r="139" spans="2:17">
      <c r="B139" s="87" t="str">
        <f t="shared" si="3"/>
        <v>100G LR4 and LR1</v>
      </c>
      <c r="C139" s="88" t="str">
        <f t="shared" si="3"/>
        <v>10 km</v>
      </c>
      <c r="D139" s="89" t="str">
        <f t="shared" si="3"/>
        <v>QSFP28</v>
      </c>
      <c r="E139" s="103">
        <f>'Products x speed'!E150</f>
        <v>1938.1501024552811</v>
      </c>
      <c r="F139" s="103">
        <f>'Products x speed'!F150</f>
        <v>1200</v>
      </c>
      <c r="G139" s="103">
        <f>'Products x speed'!G150</f>
        <v>833.83281288172873</v>
      </c>
      <c r="H139" s="103"/>
      <c r="I139" s="103"/>
      <c r="J139" s="103"/>
      <c r="K139" s="103"/>
      <c r="L139" s="103"/>
      <c r="M139" s="103"/>
      <c r="N139" s="103"/>
      <c r="O139" s="103"/>
      <c r="P139" s="103"/>
      <c r="Q139" s="488"/>
    </row>
    <row r="140" spans="2:17">
      <c r="B140" s="87" t="str">
        <f t="shared" si="3"/>
        <v>100G 4WDM10</v>
      </c>
      <c r="C140" s="88" t="str">
        <f t="shared" si="3"/>
        <v>10 km</v>
      </c>
      <c r="D140" s="89" t="str">
        <f t="shared" si="3"/>
        <v>QSFP28</v>
      </c>
      <c r="E140" s="103" t="str">
        <f>'Products x speed'!E151</f>
        <v/>
      </c>
      <c r="F140" s="103">
        <f>'Products x speed'!F151</f>
        <v>500</v>
      </c>
      <c r="G140" s="103">
        <f>'Products x speed'!G151</f>
        <v>300</v>
      </c>
      <c r="H140" s="103"/>
      <c r="I140" s="103"/>
      <c r="J140" s="103"/>
      <c r="K140" s="103"/>
      <c r="L140" s="103"/>
      <c r="M140" s="103"/>
      <c r="N140" s="103"/>
      <c r="O140" s="103"/>
      <c r="P140" s="103"/>
      <c r="Q140" s="488"/>
    </row>
    <row r="141" spans="2:17">
      <c r="B141" s="87" t="str">
        <f t="shared" si="3"/>
        <v>100G 4WDM20</v>
      </c>
      <c r="C141" s="88" t="str">
        <f t="shared" si="3"/>
        <v>20 km</v>
      </c>
      <c r="D141" s="89" t="str">
        <f t="shared" si="3"/>
        <v>QSFP28</v>
      </c>
      <c r="E141" s="103" t="str">
        <f>'Products x speed'!E152</f>
        <v/>
      </c>
      <c r="F141" s="103" t="str">
        <f>'Products x speed'!F152</f>
        <v/>
      </c>
      <c r="G141" s="103" t="str">
        <f>'Products x speed'!G152</f>
        <v/>
      </c>
      <c r="H141" s="103"/>
      <c r="I141" s="103"/>
      <c r="J141" s="103"/>
      <c r="K141" s="103"/>
      <c r="L141" s="103"/>
      <c r="M141" s="103"/>
      <c r="N141" s="103"/>
      <c r="O141" s="103"/>
      <c r="P141" s="103"/>
      <c r="Q141" s="488"/>
    </row>
    <row r="142" spans="2:17">
      <c r="B142" s="87" t="str">
        <f t="shared" si="3"/>
        <v>100G ER4-Lite</v>
      </c>
      <c r="C142" s="88" t="str">
        <f t="shared" si="3"/>
        <v>30 km</v>
      </c>
      <c r="D142" s="89" t="str">
        <f t="shared" si="3"/>
        <v>QSFP28</v>
      </c>
      <c r="E142" s="103" t="str">
        <f>'Products x speed'!E153</f>
        <v/>
      </c>
      <c r="F142" s="103">
        <f>'Products x speed'!F153</f>
        <v>3487.2423945044161</v>
      </c>
      <c r="G142" s="103">
        <f>'Products x speed'!G153</f>
        <v>3113.2837037037034</v>
      </c>
      <c r="H142" s="103"/>
      <c r="I142" s="103"/>
      <c r="J142" s="103"/>
      <c r="K142" s="103"/>
      <c r="L142" s="103"/>
      <c r="M142" s="103"/>
      <c r="N142" s="103"/>
      <c r="O142" s="103"/>
      <c r="P142" s="103"/>
      <c r="Q142" s="488"/>
    </row>
    <row r="143" spans="2:17">
      <c r="B143" s="87" t="str">
        <f t="shared" si="3"/>
        <v>100G ER4</v>
      </c>
      <c r="C143" s="88" t="str">
        <f t="shared" si="3"/>
        <v>40 km</v>
      </c>
      <c r="D143" s="89" t="str">
        <f t="shared" si="3"/>
        <v>QSFP28</v>
      </c>
      <c r="E143" s="103">
        <f>'Products x speed'!E154</f>
        <v>8992.3604525403425</v>
      </c>
      <c r="F143" s="103">
        <f>'Products x speed'!F154</f>
        <v>6675.4855675304152</v>
      </c>
      <c r="G143" s="103">
        <f>'Products x speed'!G154</f>
        <v>4939.9288403201153</v>
      </c>
      <c r="H143" s="103"/>
      <c r="I143" s="103"/>
      <c r="J143" s="103"/>
      <c r="K143" s="103"/>
      <c r="L143" s="103"/>
      <c r="M143" s="103"/>
      <c r="N143" s="103"/>
      <c r="O143" s="103"/>
      <c r="P143" s="103"/>
      <c r="Q143" s="488"/>
    </row>
    <row r="144" spans="2:17">
      <c r="B144" s="83" t="str">
        <f t="shared" si="3"/>
        <v>100G ZR4</v>
      </c>
      <c r="C144" s="84" t="str">
        <f t="shared" si="3"/>
        <v>80 km</v>
      </c>
      <c r="D144" s="85" t="str">
        <f t="shared" si="3"/>
        <v>QSFP28</v>
      </c>
      <c r="E144" s="102" t="str">
        <f>'Products x speed'!E155</f>
        <v/>
      </c>
      <c r="F144" s="102" t="str">
        <f>'Products x speed'!F155</f>
        <v/>
      </c>
      <c r="G144" s="102" t="str">
        <f>'Products x speed'!G155</f>
        <v/>
      </c>
      <c r="H144" s="102"/>
      <c r="I144" s="102"/>
      <c r="J144" s="102"/>
      <c r="K144" s="102"/>
      <c r="L144" s="102"/>
      <c r="M144" s="102"/>
      <c r="N144" s="102"/>
      <c r="O144" s="102"/>
      <c r="P144" s="102"/>
      <c r="Q144" s="488"/>
    </row>
    <row r="145" spans="2:17">
      <c r="B145" s="79" t="str">
        <f t="shared" si="3"/>
        <v>200G SR4</v>
      </c>
      <c r="C145" s="80" t="str">
        <f t="shared" si="3"/>
        <v>100 m</v>
      </c>
      <c r="D145" s="81" t="str">
        <f t="shared" si="3"/>
        <v>QSFP56</v>
      </c>
      <c r="E145" s="101">
        <f>'Products x speed'!E156</f>
        <v>0</v>
      </c>
      <c r="F145" s="101">
        <f>'Products x speed'!F156</f>
        <v>0</v>
      </c>
      <c r="G145" s="101">
        <f>'Products x speed'!G156</f>
        <v>700</v>
      </c>
      <c r="H145" s="101"/>
      <c r="I145" s="101"/>
      <c r="J145" s="101"/>
      <c r="K145" s="101"/>
      <c r="L145" s="101"/>
      <c r="M145" s="101"/>
      <c r="N145" s="101"/>
      <c r="O145" s="101"/>
      <c r="P145" s="101"/>
      <c r="Q145" s="488"/>
    </row>
    <row r="146" spans="2:17">
      <c r="B146" s="87" t="str">
        <f t="shared" si="3"/>
        <v>200G DR</v>
      </c>
      <c r="C146" s="88" t="str">
        <f t="shared" si="3"/>
        <v>500 m</v>
      </c>
      <c r="D146" s="89" t="str">
        <f t="shared" si="3"/>
        <v>TBD</v>
      </c>
      <c r="E146" s="103">
        <f>'Products x speed'!E157</f>
        <v>0</v>
      </c>
      <c r="F146" s="103">
        <f>'Products x speed'!F157</f>
        <v>0</v>
      </c>
      <c r="G146" s="103" t="str">
        <f>'Products x speed'!G157</f>
        <v/>
      </c>
      <c r="H146" s="103"/>
      <c r="I146" s="103"/>
      <c r="J146" s="103"/>
      <c r="K146" s="103"/>
      <c r="L146" s="103"/>
      <c r="M146" s="103"/>
      <c r="N146" s="103"/>
      <c r="O146" s="103"/>
      <c r="P146" s="103"/>
      <c r="Q146" s="488"/>
    </row>
    <row r="147" spans="2:17">
      <c r="B147" s="87" t="str">
        <f t="shared" si="3"/>
        <v>200G FR4</v>
      </c>
      <c r="C147" s="88" t="str">
        <f t="shared" si="3"/>
        <v>3 km</v>
      </c>
      <c r="D147" s="89" t="str">
        <f t="shared" si="3"/>
        <v>QSFP56</v>
      </c>
      <c r="E147" s="103">
        <f>'Products x speed'!E158</f>
        <v>0</v>
      </c>
      <c r="F147" s="103">
        <f>'Products x speed'!F158</f>
        <v>0</v>
      </c>
      <c r="G147" s="103">
        <f>'Products x speed'!G158</f>
        <v>1500</v>
      </c>
      <c r="H147" s="103"/>
      <c r="I147" s="103"/>
      <c r="J147" s="103"/>
      <c r="K147" s="103"/>
      <c r="L147" s="103"/>
      <c r="M147" s="103"/>
      <c r="N147" s="103"/>
      <c r="O147" s="103"/>
      <c r="P147" s="103"/>
      <c r="Q147" s="488"/>
    </row>
    <row r="148" spans="2:17">
      <c r="B148" s="87" t="str">
        <f t="shared" ref="B148:D148" si="4">B63</f>
        <v>200G LR</v>
      </c>
      <c r="C148" s="88" t="str">
        <f t="shared" si="4"/>
        <v>10 km</v>
      </c>
      <c r="D148" s="89" t="str">
        <f t="shared" si="4"/>
        <v>TBD</v>
      </c>
      <c r="E148" s="103">
        <f>'Products x speed'!E159</f>
        <v>0</v>
      </c>
      <c r="F148" s="103">
        <f>'Products x speed'!F159</f>
        <v>0</v>
      </c>
      <c r="G148" s="103" t="str">
        <f>'Products x speed'!G159</f>
        <v/>
      </c>
      <c r="H148" s="103"/>
      <c r="I148" s="103"/>
      <c r="J148" s="103"/>
      <c r="K148" s="103"/>
      <c r="L148" s="103"/>
      <c r="M148" s="103"/>
      <c r="N148" s="103"/>
      <c r="O148" s="103"/>
      <c r="P148" s="103"/>
      <c r="Q148" s="488"/>
    </row>
    <row r="149" spans="2:17">
      <c r="B149" s="87" t="str">
        <f t="shared" ref="B149:D149" si="5">B64</f>
        <v>200G ER4</v>
      </c>
      <c r="C149" s="88" t="str">
        <f t="shared" si="5"/>
        <v>40 km</v>
      </c>
      <c r="D149" s="89" t="str">
        <f t="shared" si="5"/>
        <v>TBD</v>
      </c>
      <c r="E149" s="103">
        <f>'Products x speed'!E160</f>
        <v>0</v>
      </c>
      <c r="F149" s="103">
        <f>'Products x speed'!F160</f>
        <v>0</v>
      </c>
      <c r="G149" s="103" t="str">
        <f>'Products x speed'!G160</f>
        <v/>
      </c>
      <c r="H149" s="103"/>
      <c r="I149" s="103"/>
      <c r="J149" s="103"/>
      <c r="K149" s="103"/>
      <c r="L149" s="103"/>
      <c r="M149" s="103"/>
      <c r="N149" s="103"/>
      <c r="O149" s="103"/>
      <c r="P149" s="103"/>
      <c r="Q149" s="488"/>
    </row>
    <row r="150" spans="2:17">
      <c r="B150" s="79" t="str">
        <f t="shared" ref="B150:D159" si="6">B65</f>
        <v>2x200 (400G-SR8)</v>
      </c>
      <c r="C150" s="80" t="str">
        <f t="shared" si="6"/>
        <v>100 m</v>
      </c>
      <c r="D150" s="81" t="str">
        <f t="shared" si="6"/>
        <v>OSFP, QSFP-DD</v>
      </c>
      <c r="E150" s="101">
        <f>'Products x speed'!E161</f>
        <v>0</v>
      </c>
      <c r="F150" s="101">
        <f>'Products x speed'!F161</f>
        <v>0</v>
      </c>
      <c r="G150" s="101">
        <f>'Products x speed'!G161</f>
        <v>644</v>
      </c>
      <c r="H150" s="101"/>
      <c r="I150" s="101"/>
      <c r="J150" s="101"/>
      <c r="K150" s="101"/>
      <c r="L150" s="101"/>
      <c r="M150" s="101"/>
      <c r="N150" s="101"/>
      <c r="O150" s="101"/>
      <c r="P150" s="101"/>
      <c r="Q150" s="488"/>
    </row>
    <row r="151" spans="2:17">
      <c r="B151" s="87" t="str">
        <f t="shared" si="6"/>
        <v>400G SR4.2</v>
      </c>
      <c r="C151" s="88" t="str">
        <f t="shared" si="6"/>
        <v>100 m</v>
      </c>
      <c r="D151" s="89" t="str">
        <f t="shared" si="6"/>
        <v>OSFP, QSFP-DD</v>
      </c>
      <c r="E151" s="103">
        <f>'Products x speed'!E162</f>
        <v>0</v>
      </c>
      <c r="F151" s="103">
        <f>'Products x speed'!F162</f>
        <v>0</v>
      </c>
      <c r="G151" s="103" t="str">
        <f>'Products x speed'!G162</f>
        <v/>
      </c>
      <c r="H151" s="103"/>
      <c r="I151" s="103"/>
      <c r="J151" s="103"/>
      <c r="K151" s="103"/>
      <c r="L151" s="103"/>
      <c r="M151" s="103"/>
      <c r="N151" s="103"/>
      <c r="O151" s="103"/>
      <c r="P151" s="103"/>
      <c r="Q151" s="488"/>
    </row>
    <row r="152" spans="2:17">
      <c r="B152" s="87" t="str">
        <f t="shared" si="6"/>
        <v>400G DR4</v>
      </c>
      <c r="C152" s="88" t="str">
        <f t="shared" si="6"/>
        <v>500 m</v>
      </c>
      <c r="D152" s="89" t="str">
        <f t="shared" si="6"/>
        <v>OSFP, QSFP-DD, QSFP112</v>
      </c>
      <c r="E152" s="103">
        <f>'Products x speed'!E163</f>
        <v>0</v>
      </c>
      <c r="F152" s="103">
        <f>'Products x speed'!F163</f>
        <v>0</v>
      </c>
      <c r="G152" s="103">
        <f>'Products x speed'!G163</f>
        <v>1100</v>
      </c>
      <c r="H152" s="103"/>
      <c r="I152" s="103"/>
      <c r="J152" s="103"/>
      <c r="K152" s="103"/>
      <c r="L152" s="103"/>
      <c r="M152" s="103"/>
      <c r="N152" s="103"/>
      <c r="O152" s="103"/>
      <c r="P152" s="103"/>
      <c r="Q152" s="488"/>
    </row>
    <row r="153" spans="2:17">
      <c r="B153" s="87" t="str">
        <f t="shared" si="6"/>
        <v>2x(200G FR4)</v>
      </c>
      <c r="C153" s="88" t="str">
        <f t="shared" si="6"/>
        <v>2 km</v>
      </c>
      <c r="D153" s="89" t="str">
        <f t="shared" si="6"/>
        <v>OSFP</v>
      </c>
      <c r="E153" s="103">
        <f>'Products x speed'!E164</f>
        <v>0</v>
      </c>
      <c r="F153" s="103">
        <f>'Products x speed'!F164</f>
        <v>0</v>
      </c>
      <c r="G153" s="103">
        <f>'Products x speed'!G164</f>
        <v>1850</v>
      </c>
      <c r="H153" s="103"/>
      <c r="I153" s="103"/>
      <c r="J153" s="103"/>
      <c r="K153" s="103"/>
      <c r="L153" s="103"/>
      <c r="M153" s="103"/>
      <c r="N153" s="103"/>
      <c r="O153" s="103"/>
      <c r="P153" s="103"/>
      <c r="Q153" s="488"/>
    </row>
    <row r="154" spans="2:17">
      <c r="B154" s="87" t="str">
        <f t="shared" si="6"/>
        <v>400G FR4</v>
      </c>
      <c r="C154" s="88" t="str">
        <f t="shared" si="6"/>
        <v>2 km</v>
      </c>
      <c r="D154" s="89" t="str">
        <f t="shared" si="6"/>
        <v>OSFP, QSFP-DD, QSFP112</v>
      </c>
      <c r="E154" s="103">
        <f>'Products x speed'!E165</f>
        <v>0</v>
      </c>
      <c r="F154" s="103">
        <f>'Products x speed'!F165</f>
        <v>11614.285714285714</v>
      </c>
      <c r="G154" s="103">
        <f>'Products x speed'!G165</f>
        <v>2000</v>
      </c>
      <c r="H154" s="103"/>
      <c r="I154" s="103"/>
      <c r="J154" s="103"/>
      <c r="K154" s="103"/>
      <c r="L154" s="103"/>
      <c r="M154" s="103"/>
      <c r="N154" s="103"/>
      <c r="O154" s="103"/>
      <c r="P154" s="103"/>
      <c r="Q154" s="488"/>
    </row>
    <row r="155" spans="2:17">
      <c r="B155" s="87" t="str">
        <f t="shared" si="6"/>
        <v>400G LR8, LR4</v>
      </c>
      <c r="C155" s="88" t="str">
        <f t="shared" si="6"/>
        <v>10 km</v>
      </c>
      <c r="D155" s="89" t="str">
        <f t="shared" si="6"/>
        <v>OSFP, QSFP-DD, QSFP112</v>
      </c>
      <c r="E155" s="103">
        <f>'Products x speed'!E166</f>
        <v>0</v>
      </c>
      <c r="F155" s="103">
        <f>'Products x speed'!F166</f>
        <v>15451.219512195123</v>
      </c>
      <c r="G155" s="103">
        <f>'Products x speed'!G166</f>
        <v>8000</v>
      </c>
      <c r="H155" s="103"/>
      <c r="I155" s="103"/>
      <c r="J155" s="103"/>
      <c r="K155" s="103"/>
      <c r="L155" s="103"/>
      <c r="M155" s="103"/>
      <c r="N155" s="103"/>
      <c r="O155" s="103"/>
      <c r="P155" s="103"/>
      <c r="Q155" s="488"/>
    </row>
    <row r="156" spans="2:17">
      <c r="B156" s="83" t="str">
        <f t="shared" si="6"/>
        <v>400G ER4</v>
      </c>
      <c r="C156" s="84" t="str">
        <f t="shared" si="6"/>
        <v>40 km</v>
      </c>
      <c r="D156" s="85" t="str">
        <f t="shared" si="6"/>
        <v>TBD</v>
      </c>
      <c r="E156" s="102">
        <f>'Products x speed'!E167</f>
        <v>0</v>
      </c>
      <c r="F156" s="102" t="str">
        <f>'Products x speed'!F167</f>
        <v/>
      </c>
      <c r="G156" s="102" t="str">
        <f>'Products x speed'!G167</f>
        <v/>
      </c>
      <c r="H156" s="102"/>
      <c r="I156" s="102"/>
      <c r="J156" s="102"/>
      <c r="K156" s="102"/>
      <c r="L156" s="102"/>
      <c r="M156" s="102"/>
      <c r="N156" s="102"/>
      <c r="O156" s="102"/>
      <c r="P156" s="102"/>
      <c r="Q156" s="488"/>
    </row>
    <row r="157" spans="2:17" s="92" customFormat="1">
      <c r="B157" s="87" t="str">
        <f t="shared" si="6"/>
        <v>800G SR8</v>
      </c>
      <c r="C157" s="88" t="str">
        <f t="shared" si="6"/>
        <v>50 m</v>
      </c>
      <c r="D157" s="89" t="str">
        <f t="shared" si="6"/>
        <v>OSFP, QSFP-DD800</v>
      </c>
      <c r="E157" s="103">
        <f>'Products x speed'!E168</f>
        <v>0</v>
      </c>
      <c r="F157" s="103">
        <f>'Products x speed'!F168</f>
        <v>0</v>
      </c>
      <c r="G157" s="103" t="str">
        <f>'Products x speed'!G168</f>
        <v/>
      </c>
      <c r="H157" s="103"/>
      <c r="I157" s="103"/>
      <c r="J157" s="103"/>
      <c r="K157" s="103"/>
      <c r="L157" s="103"/>
      <c r="M157" s="103"/>
      <c r="N157" s="103"/>
      <c r="O157" s="103"/>
      <c r="P157" s="103"/>
      <c r="Q157" s="488"/>
    </row>
    <row r="158" spans="2:17" s="92" customFormat="1">
      <c r="B158" s="87" t="str">
        <f t="shared" si="6"/>
        <v>800G DR8, DR4</v>
      </c>
      <c r="C158" s="88" t="str">
        <f t="shared" si="6"/>
        <v>500 m</v>
      </c>
      <c r="D158" s="88" t="str">
        <f t="shared" si="6"/>
        <v>OSFP, QSFP-DD800</v>
      </c>
      <c r="E158" s="103">
        <f>'Products x speed'!E169</f>
        <v>0</v>
      </c>
      <c r="F158" s="103">
        <f>'Products x speed'!F169</f>
        <v>0</v>
      </c>
      <c r="G158" s="103" t="str">
        <f>'Products x speed'!G169</f>
        <v/>
      </c>
      <c r="H158" s="103"/>
      <c r="I158" s="103"/>
      <c r="J158" s="103"/>
      <c r="K158" s="103"/>
      <c r="L158" s="103"/>
      <c r="M158" s="103"/>
      <c r="N158" s="103"/>
      <c r="O158" s="103"/>
      <c r="P158" s="103"/>
      <c r="Q158" s="488"/>
    </row>
    <row r="159" spans="2:17" s="92" customFormat="1">
      <c r="B159" s="87" t="str">
        <f t="shared" si="6"/>
        <v>2x(400G FR4), 800G FR4</v>
      </c>
      <c r="C159" s="88" t="str">
        <f t="shared" si="6"/>
        <v>2 km</v>
      </c>
      <c r="D159" s="88" t="str">
        <f t="shared" si="6"/>
        <v>OSFP, QSFP-DD800</v>
      </c>
      <c r="E159" s="103">
        <f>'Products x speed'!E170</f>
        <v>0</v>
      </c>
      <c r="F159" s="103">
        <f>'Products x speed'!F170</f>
        <v>0</v>
      </c>
      <c r="G159" s="103" t="str">
        <f>'Products x speed'!G170</f>
        <v/>
      </c>
      <c r="H159" s="103"/>
      <c r="I159" s="103"/>
      <c r="J159" s="103"/>
      <c r="K159" s="103"/>
      <c r="L159" s="103"/>
      <c r="M159" s="103"/>
      <c r="N159" s="103"/>
      <c r="O159" s="103"/>
      <c r="P159" s="103"/>
      <c r="Q159" s="488"/>
    </row>
    <row r="160" spans="2:17" s="92" customFormat="1">
      <c r="B160" s="87" t="str">
        <f t="shared" ref="B160:D172" si="7">B75</f>
        <v>800G LR8, LR4</v>
      </c>
      <c r="C160" s="88" t="str">
        <f t="shared" si="7"/>
        <v>6, 10 km</v>
      </c>
      <c r="D160" s="88" t="str">
        <f t="shared" si="7"/>
        <v>TBD</v>
      </c>
      <c r="E160" s="103">
        <f>'Products x speed'!E171</f>
        <v>0</v>
      </c>
      <c r="F160" s="103">
        <f>'Products x speed'!F171</f>
        <v>0</v>
      </c>
      <c r="G160" s="103" t="str">
        <f>'Products x speed'!G171</f>
        <v/>
      </c>
      <c r="H160" s="103"/>
      <c r="I160" s="103"/>
      <c r="J160" s="103"/>
      <c r="K160" s="103"/>
      <c r="L160" s="103"/>
      <c r="M160" s="103"/>
      <c r="N160" s="103"/>
      <c r="O160" s="103"/>
      <c r="P160" s="103"/>
      <c r="Q160" s="488"/>
    </row>
    <row r="161" spans="2:17" s="92" customFormat="1">
      <c r="B161" s="87" t="str">
        <f t="shared" si="7"/>
        <v>800G ZRlite</v>
      </c>
      <c r="C161" s="88" t="str">
        <f t="shared" si="7"/>
        <v>10 km, 20 km</v>
      </c>
      <c r="D161" s="88" t="str">
        <f t="shared" si="7"/>
        <v>TBD</v>
      </c>
      <c r="E161" s="103">
        <f>'Products x speed'!E172</f>
        <v>0</v>
      </c>
      <c r="F161" s="103">
        <f>'Products x speed'!F172</f>
        <v>0</v>
      </c>
      <c r="G161" s="103" t="str">
        <f>'Products x speed'!G172</f>
        <v/>
      </c>
      <c r="H161" s="103"/>
      <c r="I161" s="103"/>
      <c r="J161" s="103"/>
      <c r="K161" s="103"/>
      <c r="L161" s="103"/>
      <c r="M161" s="103"/>
      <c r="N161" s="103"/>
      <c r="O161" s="103"/>
      <c r="P161" s="103"/>
      <c r="Q161" s="488"/>
    </row>
    <row r="162" spans="2:17" s="92" customFormat="1">
      <c r="B162" s="83" t="str">
        <f t="shared" si="7"/>
        <v>800G ER4</v>
      </c>
      <c r="C162" s="84" t="str">
        <f t="shared" si="7"/>
        <v>40 km</v>
      </c>
      <c r="D162" s="84" t="str">
        <f t="shared" si="7"/>
        <v>TBD</v>
      </c>
      <c r="E162" s="102">
        <f>'Products x speed'!E173</f>
        <v>0</v>
      </c>
      <c r="F162" s="102">
        <f>'Products x speed'!F173</f>
        <v>0</v>
      </c>
      <c r="G162" s="102" t="str">
        <f>'Products x speed'!G173</f>
        <v/>
      </c>
      <c r="H162" s="102"/>
      <c r="I162" s="102"/>
      <c r="J162" s="102"/>
      <c r="K162" s="102"/>
      <c r="L162" s="102"/>
      <c r="M162" s="102"/>
      <c r="N162" s="102"/>
      <c r="O162" s="102"/>
      <c r="P162" s="102"/>
      <c r="Q162" s="488"/>
    </row>
    <row r="163" spans="2:17" s="92" customFormat="1">
      <c r="B163" s="87" t="str">
        <f t="shared" si="7"/>
        <v>1.6T SR16</v>
      </c>
      <c r="C163" s="88" t="str">
        <f t="shared" si="7"/>
        <v>100 m</v>
      </c>
      <c r="D163" s="88" t="str">
        <f t="shared" si="7"/>
        <v>OSFP-XD and TBD</v>
      </c>
      <c r="E163" s="103">
        <f>'Products x speed'!E174</f>
        <v>0</v>
      </c>
      <c r="F163" s="103">
        <f>'Products x speed'!F174</f>
        <v>0</v>
      </c>
      <c r="G163" s="103" t="str">
        <f>'Products x speed'!G174</f>
        <v/>
      </c>
      <c r="H163" s="103"/>
      <c r="I163" s="103"/>
      <c r="J163" s="103"/>
      <c r="K163" s="103"/>
      <c r="L163" s="103"/>
      <c r="M163" s="103"/>
      <c r="N163" s="103"/>
      <c r="O163" s="103"/>
      <c r="P163" s="103"/>
      <c r="Q163" s="488"/>
    </row>
    <row r="164" spans="2:17" s="92" customFormat="1">
      <c r="B164" s="87" t="str">
        <f t="shared" si="7"/>
        <v>1.6T DR8</v>
      </c>
      <c r="C164" s="88" t="str">
        <f t="shared" si="7"/>
        <v>500 m</v>
      </c>
      <c r="D164" s="88" t="str">
        <f t="shared" si="7"/>
        <v>OSFP-XD and TBD</v>
      </c>
      <c r="E164" s="103">
        <f>'Products x speed'!E175</f>
        <v>0</v>
      </c>
      <c r="F164" s="103">
        <f>'Products x speed'!F175</f>
        <v>0</v>
      </c>
      <c r="G164" s="103" t="str">
        <f>'Products x speed'!G175</f>
        <v/>
      </c>
      <c r="H164" s="103"/>
      <c r="I164" s="103"/>
      <c r="J164" s="103"/>
      <c r="K164" s="103"/>
      <c r="L164" s="103"/>
      <c r="M164" s="103"/>
      <c r="N164" s="103"/>
      <c r="O164" s="103"/>
      <c r="P164" s="103"/>
      <c r="Q164" s="488"/>
    </row>
    <row r="165" spans="2:17" s="92" customFormat="1">
      <c r="B165" s="87" t="str">
        <f t="shared" si="7"/>
        <v>1.6T FR8</v>
      </c>
      <c r="C165" s="88" t="str">
        <f t="shared" si="7"/>
        <v>2 km</v>
      </c>
      <c r="D165" s="88" t="str">
        <f t="shared" si="7"/>
        <v>OSFP-XD and TBD</v>
      </c>
      <c r="E165" s="103">
        <f>'Products x speed'!E176</f>
        <v>0</v>
      </c>
      <c r="F165" s="103">
        <f>'Products x speed'!F176</f>
        <v>0</v>
      </c>
      <c r="G165" s="103" t="str">
        <f>'Products x speed'!G176</f>
        <v/>
      </c>
      <c r="H165" s="103"/>
      <c r="I165" s="103"/>
      <c r="J165" s="103"/>
      <c r="K165" s="103"/>
      <c r="L165" s="103"/>
      <c r="M165" s="103"/>
      <c r="N165" s="103"/>
      <c r="O165" s="103"/>
      <c r="P165" s="103"/>
      <c r="Q165" s="488"/>
    </row>
    <row r="166" spans="2:17" s="92" customFormat="1">
      <c r="B166" s="87" t="str">
        <f t="shared" si="7"/>
        <v>1.6T LR8</v>
      </c>
      <c r="C166" s="88" t="str">
        <f t="shared" si="7"/>
        <v>10 km</v>
      </c>
      <c r="D166" s="88" t="str">
        <f t="shared" si="7"/>
        <v>OSFP-XD and TBD</v>
      </c>
      <c r="E166" s="103">
        <f>'Products x speed'!E177</f>
        <v>0</v>
      </c>
      <c r="F166" s="103">
        <f>'Products x speed'!F177</f>
        <v>0</v>
      </c>
      <c r="G166" s="103" t="str">
        <f>'Products x speed'!G177</f>
        <v/>
      </c>
      <c r="H166" s="103"/>
      <c r="I166" s="103"/>
      <c r="J166" s="103"/>
      <c r="K166" s="103"/>
      <c r="L166" s="103"/>
      <c r="M166" s="103"/>
      <c r="N166" s="103"/>
      <c r="O166" s="103"/>
      <c r="P166" s="103"/>
      <c r="Q166" s="488"/>
    </row>
    <row r="167" spans="2:17" s="92" customFormat="1">
      <c r="B167" s="83" t="str">
        <f t="shared" si="7"/>
        <v>1.6T ER8</v>
      </c>
      <c r="C167" s="84" t="str">
        <f t="shared" si="7"/>
        <v>&gt;10 km</v>
      </c>
      <c r="D167" s="84" t="str">
        <f t="shared" si="7"/>
        <v>OSFP-XD and TBD</v>
      </c>
      <c r="E167" s="102">
        <f>'Products x speed'!E178</f>
        <v>0</v>
      </c>
      <c r="F167" s="102">
        <f>'Products x speed'!F178</f>
        <v>0</v>
      </c>
      <c r="G167" s="102" t="str">
        <f>'Products x speed'!G178</f>
        <v/>
      </c>
      <c r="H167" s="102"/>
      <c r="I167" s="102"/>
      <c r="J167" s="102"/>
      <c r="K167" s="102"/>
      <c r="L167" s="102"/>
      <c r="M167" s="102"/>
      <c r="N167" s="102"/>
      <c r="O167" s="102"/>
      <c r="P167" s="102"/>
      <c r="Q167" s="488"/>
    </row>
    <row r="168" spans="2:17" s="92" customFormat="1">
      <c r="B168" s="87" t="str">
        <f t="shared" si="7"/>
        <v>3.2T SR</v>
      </c>
      <c r="C168" s="88" t="str">
        <f t="shared" si="7"/>
        <v>100 m</v>
      </c>
      <c r="D168" s="88" t="str">
        <f t="shared" si="7"/>
        <v>OSFP-XD and TBD</v>
      </c>
      <c r="E168" s="103">
        <f>'Products x speed'!E179</f>
        <v>0</v>
      </c>
      <c r="F168" s="103">
        <f>'Products x speed'!F179</f>
        <v>0</v>
      </c>
      <c r="G168" s="103" t="str">
        <f>'Products x speed'!G179</f>
        <v/>
      </c>
      <c r="H168" s="103"/>
      <c r="I168" s="103"/>
      <c r="J168" s="103"/>
      <c r="K168" s="103"/>
      <c r="L168" s="103"/>
      <c r="M168" s="103"/>
      <c r="N168" s="103"/>
      <c r="O168" s="103"/>
      <c r="P168" s="103"/>
      <c r="Q168" s="488"/>
    </row>
    <row r="169" spans="2:17" s="92" customFormat="1">
      <c r="B169" s="87" t="str">
        <f t="shared" si="7"/>
        <v>3.2T DR</v>
      </c>
      <c r="C169" s="88" t="str">
        <f t="shared" si="7"/>
        <v>500 m</v>
      </c>
      <c r="D169" s="88" t="str">
        <f t="shared" si="7"/>
        <v>OSFP-XD and TBD</v>
      </c>
      <c r="E169" s="103">
        <f>'Products x speed'!E180</f>
        <v>0</v>
      </c>
      <c r="F169" s="103">
        <f>'Products x speed'!F180</f>
        <v>0</v>
      </c>
      <c r="G169" s="103" t="str">
        <f>'Products x speed'!G180</f>
        <v/>
      </c>
      <c r="H169" s="103"/>
      <c r="I169" s="103"/>
      <c r="J169" s="103"/>
      <c r="K169" s="103"/>
      <c r="L169" s="103"/>
      <c r="M169" s="103"/>
      <c r="N169" s="103"/>
      <c r="O169" s="103"/>
      <c r="P169" s="103"/>
      <c r="Q169" s="488"/>
    </row>
    <row r="170" spans="2:17" s="92" customFormat="1">
      <c r="B170" s="87" t="str">
        <f t="shared" si="7"/>
        <v>3.2T FR</v>
      </c>
      <c r="C170" s="88" t="str">
        <f t="shared" si="7"/>
        <v>2 km</v>
      </c>
      <c r="D170" s="88" t="str">
        <f t="shared" si="7"/>
        <v>OSFP-XD and TBD</v>
      </c>
      <c r="E170" s="103">
        <f>'Products x speed'!E181</f>
        <v>0</v>
      </c>
      <c r="F170" s="103">
        <f>'Products x speed'!F181</f>
        <v>0</v>
      </c>
      <c r="G170" s="103" t="str">
        <f>'Products x speed'!G181</f>
        <v/>
      </c>
      <c r="H170" s="103"/>
      <c r="I170" s="103"/>
      <c r="J170" s="103"/>
      <c r="K170" s="103"/>
      <c r="L170" s="103"/>
      <c r="M170" s="103"/>
      <c r="N170" s="103"/>
      <c r="O170" s="103"/>
      <c r="P170" s="103"/>
      <c r="Q170" s="488"/>
    </row>
    <row r="171" spans="2:17" s="92" customFormat="1">
      <c r="B171" s="87" t="str">
        <f t="shared" si="7"/>
        <v>3.2T LR</v>
      </c>
      <c r="C171" s="88" t="str">
        <f t="shared" si="7"/>
        <v>10 km</v>
      </c>
      <c r="D171" s="88" t="str">
        <f t="shared" si="7"/>
        <v>OSFP-XD and TBD</v>
      </c>
      <c r="E171" s="103">
        <f>'Products x speed'!E182</f>
        <v>0</v>
      </c>
      <c r="F171" s="103">
        <f>'Products x speed'!F182</f>
        <v>0</v>
      </c>
      <c r="G171" s="103" t="str">
        <f>'Products x speed'!G182</f>
        <v/>
      </c>
      <c r="H171" s="103"/>
      <c r="I171" s="103"/>
      <c r="J171" s="103"/>
      <c r="K171" s="103"/>
      <c r="L171" s="103"/>
      <c r="M171" s="103"/>
      <c r="N171" s="103"/>
      <c r="O171" s="103"/>
      <c r="P171" s="103"/>
      <c r="Q171" s="488"/>
    </row>
    <row r="172" spans="2:17" s="92" customFormat="1">
      <c r="B172" s="87" t="str">
        <f t="shared" si="7"/>
        <v>3.2T ER</v>
      </c>
      <c r="C172" s="88" t="str">
        <f t="shared" si="7"/>
        <v>&gt;10 km</v>
      </c>
      <c r="D172" s="88" t="str">
        <f t="shared" si="7"/>
        <v>OSFP-XD and TBD</v>
      </c>
      <c r="E172" s="103">
        <f>'Products x speed'!E183</f>
        <v>0</v>
      </c>
      <c r="F172" s="103">
        <f>'Products x speed'!F183</f>
        <v>0</v>
      </c>
      <c r="G172" s="103" t="str">
        <f>'Products x speed'!G183</f>
        <v/>
      </c>
      <c r="H172" s="103"/>
      <c r="I172" s="103"/>
      <c r="J172" s="103"/>
      <c r="K172" s="103"/>
      <c r="L172" s="103"/>
      <c r="M172" s="103"/>
      <c r="N172" s="103"/>
      <c r="O172" s="103"/>
      <c r="P172" s="103"/>
      <c r="Q172" s="488"/>
    </row>
    <row r="173" spans="2:17" s="92" customFormat="1">
      <c r="B173" s="83"/>
      <c r="C173" s="84"/>
      <c r="D173" s="84"/>
      <c r="E173" s="103">
        <f>'Products x speed'!E184</f>
        <v>0</v>
      </c>
      <c r="F173" s="103">
        <f>'Products x speed'!F184</f>
        <v>0</v>
      </c>
      <c r="G173" s="103" t="str">
        <f>'Products x speed'!G184</f>
        <v/>
      </c>
      <c r="H173" s="103"/>
      <c r="I173" s="103"/>
      <c r="J173" s="103"/>
      <c r="K173" s="103"/>
      <c r="L173" s="103"/>
      <c r="M173" s="103"/>
      <c r="N173" s="103"/>
      <c r="O173" s="103"/>
      <c r="P173" s="103"/>
      <c r="Q173" s="488"/>
    </row>
    <row r="174" spans="2:17">
      <c r="B174" s="38" t="s">
        <v>20</v>
      </c>
      <c r="C174" s="39"/>
      <c r="D174" s="39"/>
      <c r="E174" s="106">
        <f t="shared" ref="E174:G174" si="8">IF(E89=0,,E259*10^6/E89)</f>
        <v>28.127948480290783</v>
      </c>
      <c r="F174" s="106">
        <f t="shared" si="8"/>
        <v>27.960426281351427</v>
      </c>
      <c r="G174" s="106">
        <f t="shared" si="8"/>
        <v>24.193185540677987</v>
      </c>
      <c r="H174" s="106"/>
      <c r="I174" s="106"/>
      <c r="J174" s="106"/>
      <c r="K174" s="106"/>
      <c r="L174" s="106"/>
      <c r="M174" s="106"/>
      <c r="N174" s="106"/>
      <c r="O174" s="106"/>
      <c r="P174" s="106"/>
      <c r="Q174" s="488"/>
    </row>
    <row r="177" spans="2:16" ht="21">
      <c r="B177" s="15" t="s">
        <v>28</v>
      </c>
      <c r="C177" s="14"/>
      <c r="D177" s="14"/>
    </row>
    <row r="178" spans="2:16">
      <c r="B178" s="359" t="str">
        <f>B6</f>
        <v>Data Rate</v>
      </c>
      <c r="C178" s="360" t="str">
        <f>C6</f>
        <v>Reach</v>
      </c>
      <c r="D178" s="360" t="str">
        <f>D6</f>
        <v>Form Factor</v>
      </c>
      <c r="E178" s="265">
        <v>2016</v>
      </c>
      <c r="F178" s="265">
        <v>2017</v>
      </c>
      <c r="G178" s="265">
        <v>2018</v>
      </c>
      <c r="H178" s="265">
        <v>2019</v>
      </c>
      <c r="I178" s="265">
        <v>2020</v>
      </c>
      <c r="J178" s="265">
        <v>2021</v>
      </c>
      <c r="K178" s="265">
        <v>2022</v>
      </c>
      <c r="L178" s="265">
        <v>2023</v>
      </c>
      <c r="M178" s="265">
        <v>2024</v>
      </c>
      <c r="N178" s="265">
        <v>2025</v>
      </c>
      <c r="O178" s="265">
        <v>2026</v>
      </c>
      <c r="P178" s="265">
        <v>2027</v>
      </c>
    </row>
    <row r="179" spans="2:16">
      <c r="B179" s="79" t="str">
        <f t="shared" ref="B179:D198" si="9">B9</f>
        <v>1G</v>
      </c>
      <c r="C179" s="80" t="str">
        <f t="shared" si="9"/>
        <v>500 m</v>
      </c>
      <c r="D179" s="80" t="str">
        <f t="shared" si="9"/>
        <v>SFP</v>
      </c>
      <c r="E179" s="108">
        <f t="shared" ref="E179:G179" si="10">IF(E9=0,,E9*E94/10^6)</f>
        <v>45.763121065</v>
      </c>
      <c r="F179" s="108">
        <f t="shared" si="10"/>
        <v>38.398107000000003</v>
      </c>
      <c r="G179" s="108">
        <f t="shared" si="10"/>
        <v>40.672937040000001</v>
      </c>
      <c r="H179" s="108"/>
      <c r="I179" s="108"/>
      <c r="J179" s="108"/>
      <c r="K179" s="108"/>
      <c r="L179" s="108"/>
      <c r="M179" s="108"/>
      <c r="N179" s="108"/>
      <c r="O179" s="108"/>
      <c r="P179" s="108"/>
    </row>
    <row r="180" spans="2:16">
      <c r="B180" s="87" t="str">
        <f t="shared" si="9"/>
        <v>1G</v>
      </c>
      <c r="C180" s="88" t="str">
        <f t="shared" si="9"/>
        <v>10 km</v>
      </c>
      <c r="D180" s="88" t="str">
        <f t="shared" si="9"/>
        <v>SFP</v>
      </c>
      <c r="E180" s="110">
        <f t="shared" ref="E180:G180" si="11">IF(E10=0,,E10*E95/10^6)</f>
        <v>68.368952488320005</v>
      </c>
      <c r="F180" s="110">
        <f t="shared" si="11"/>
        <v>44.911555344168413</v>
      </c>
      <c r="G180" s="110">
        <f t="shared" si="11"/>
        <v>45.182543097599996</v>
      </c>
      <c r="H180" s="110"/>
      <c r="I180" s="110"/>
      <c r="J180" s="110"/>
      <c r="K180" s="110"/>
      <c r="L180" s="110"/>
      <c r="M180" s="110"/>
      <c r="N180" s="110"/>
      <c r="O180" s="110"/>
      <c r="P180" s="110"/>
    </row>
    <row r="181" spans="2:16">
      <c r="B181" s="87" t="str">
        <f t="shared" si="9"/>
        <v>1G</v>
      </c>
      <c r="C181" s="88" t="str">
        <f t="shared" si="9"/>
        <v>40 km</v>
      </c>
      <c r="D181" s="88" t="str">
        <f t="shared" si="9"/>
        <v>SFP</v>
      </c>
      <c r="E181" s="110">
        <f t="shared" ref="E181:G181" si="12">IF(E11=0,,E11*E96/10^6)</f>
        <v>4.0007415413598748</v>
      </c>
      <c r="F181" s="110">
        <f t="shared" si="12"/>
        <v>2.6908476678133564</v>
      </c>
      <c r="G181" s="110">
        <f t="shared" si="12"/>
        <v>5.7695740000000004</v>
      </c>
      <c r="H181" s="110"/>
      <c r="I181" s="110"/>
      <c r="J181" s="110"/>
      <c r="K181" s="110"/>
      <c r="L181" s="110"/>
      <c r="M181" s="110"/>
      <c r="N181" s="110"/>
      <c r="O181" s="110"/>
      <c r="P181" s="110"/>
    </row>
    <row r="182" spans="2:16">
      <c r="B182" s="87" t="str">
        <f t="shared" si="9"/>
        <v>1G</v>
      </c>
      <c r="C182" s="88" t="str">
        <f t="shared" si="9"/>
        <v>80 km</v>
      </c>
      <c r="D182" s="88" t="str">
        <f t="shared" si="9"/>
        <v>SFP</v>
      </c>
      <c r="E182" s="110">
        <f t="shared" ref="E182:G183" si="13">IF(E12=0,,E12*E97/10^6)</f>
        <v>0</v>
      </c>
      <c r="F182" s="110">
        <f t="shared" si="13"/>
        <v>0</v>
      </c>
      <c r="G182" s="110">
        <f t="shared" si="13"/>
        <v>0</v>
      </c>
      <c r="H182" s="110"/>
      <c r="I182" s="110"/>
      <c r="J182" s="110"/>
      <c r="K182" s="110"/>
      <c r="L182" s="110"/>
      <c r="M182" s="110"/>
      <c r="N182" s="110"/>
      <c r="O182" s="110"/>
      <c r="P182" s="110"/>
    </row>
    <row r="183" spans="2:16">
      <c r="B183" s="83" t="str">
        <f t="shared" si="9"/>
        <v>1G &amp; Fast Ethernet</v>
      </c>
      <c r="C183" s="84" t="str">
        <f t="shared" si="9"/>
        <v>Various</v>
      </c>
      <c r="D183" s="84" t="str">
        <f t="shared" si="9"/>
        <v>Legacy/discontinued</v>
      </c>
      <c r="E183" s="109">
        <f t="shared" si="13"/>
        <v>1.8</v>
      </c>
      <c r="F183" s="109"/>
      <c r="G183" s="109"/>
      <c r="H183" s="109"/>
      <c r="I183" s="109"/>
      <c r="J183" s="109"/>
      <c r="K183" s="109"/>
      <c r="L183" s="109"/>
      <c r="M183" s="109"/>
      <c r="N183" s="109"/>
      <c r="O183" s="109"/>
      <c r="P183" s="109"/>
    </row>
    <row r="184" spans="2:16">
      <c r="B184" s="87" t="str">
        <f t="shared" si="9"/>
        <v>10G</v>
      </c>
      <c r="C184" s="88" t="str">
        <f t="shared" si="9"/>
        <v>300 m</v>
      </c>
      <c r="D184" s="88" t="str">
        <f t="shared" si="9"/>
        <v>XFP</v>
      </c>
      <c r="E184" s="110">
        <f t="shared" ref="E184:G184" si="14">IF(E14=0,,E14*E99/10^6)</f>
        <v>7.6676450000000003</v>
      </c>
      <c r="F184" s="110">
        <f t="shared" si="14"/>
        <v>4.9103659999999998</v>
      </c>
      <c r="G184" s="110">
        <f t="shared" si="14"/>
        <v>3.0100636000000005</v>
      </c>
      <c r="H184" s="110"/>
      <c r="I184" s="110"/>
      <c r="J184" s="110"/>
      <c r="K184" s="110"/>
      <c r="L184" s="110"/>
      <c r="M184" s="110"/>
      <c r="N184" s="110"/>
      <c r="O184" s="110"/>
      <c r="P184" s="110"/>
    </row>
    <row r="185" spans="2:16">
      <c r="B185" s="87" t="str">
        <f t="shared" si="9"/>
        <v>10G</v>
      </c>
      <c r="C185" s="88" t="str">
        <f t="shared" si="9"/>
        <v>300 m</v>
      </c>
      <c r="D185" s="88" t="str">
        <f t="shared" si="9"/>
        <v>SFP+</v>
      </c>
      <c r="E185" s="110">
        <f t="shared" ref="E185:G185" si="15">IF(E15=0,,E15*E100/10^6)</f>
        <v>105.0129979257368</v>
      </c>
      <c r="F185" s="110">
        <f t="shared" si="15"/>
        <v>101.65250201262458</v>
      </c>
      <c r="G185" s="110">
        <f t="shared" si="15"/>
        <v>92.430851407540558</v>
      </c>
      <c r="H185" s="110"/>
      <c r="I185" s="110"/>
      <c r="J185" s="110"/>
      <c r="K185" s="110"/>
      <c r="L185" s="110"/>
      <c r="M185" s="110"/>
      <c r="N185" s="110"/>
      <c r="O185" s="110"/>
      <c r="P185" s="110"/>
    </row>
    <row r="186" spans="2:16">
      <c r="B186" s="87" t="str">
        <f t="shared" si="9"/>
        <v>10G LRM</v>
      </c>
      <c r="C186" s="88" t="str">
        <f t="shared" si="9"/>
        <v>220 m</v>
      </c>
      <c r="D186" s="88" t="str">
        <f t="shared" si="9"/>
        <v>SFP+</v>
      </c>
      <c r="E186" s="110">
        <f t="shared" ref="E186:G186" si="16">IF(E16=0,,E16*E101/10^6)</f>
        <v>9.5352954367439988</v>
      </c>
      <c r="F186" s="110">
        <f t="shared" si="16"/>
        <v>7.2161380000000008</v>
      </c>
      <c r="G186" s="110">
        <f t="shared" si="16"/>
        <v>6.0782330000000009</v>
      </c>
      <c r="H186" s="110"/>
      <c r="I186" s="110"/>
      <c r="J186" s="110"/>
      <c r="K186" s="110"/>
      <c r="L186" s="110"/>
      <c r="M186" s="110"/>
      <c r="N186" s="110"/>
      <c r="O186" s="110"/>
      <c r="P186" s="110"/>
    </row>
    <row r="187" spans="2:16">
      <c r="B187" s="87" t="str">
        <f t="shared" si="9"/>
        <v>10G</v>
      </c>
      <c r="C187" s="88" t="str">
        <f t="shared" si="9"/>
        <v>10 km</v>
      </c>
      <c r="D187" s="88" t="str">
        <f t="shared" si="9"/>
        <v>XFP</v>
      </c>
      <c r="E187" s="110">
        <f t="shared" ref="E187:G187" si="17">IF(E17=0,,E17*E102/10^6)</f>
        <v>2.4788111911319652</v>
      </c>
      <c r="F187" s="110">
        <f t="shared" si="17"/>
        <v>1.0137861666814094</v>
      </c>
      <c r="G187" s="110">
        <f t="shared" si="17"/>
        <v>2.619709229472758</v>
      </c>
      <c r="H187" s="110"/>
      <c r="I187" s="110"/>
      <c r="J187" s="110"/>
      <c r="K187" s="110"/>
      <c r="L187" s="110"/>
      <c r="M187" s="110"/>
      <c r="N187" s="110"/>
      <c r="O187" s="110"/>
      <c r="P187" s="110"/>
    </row>
    <row r="188" spans="2:16">
      <c r="B188" s="87" t="str">
        <f t="shared" si="9"/>
        <v>10G</v>
      </c>
      <c r="C188" s="88" t="str">
        <f t="shared" si="9"/>
        <v>10 km</v>
      </c>
      <c r="D188" s="88" t="str">
        <f t="shared" si="9"/>
        <v>SFP+</v>
      </c>
      <c r="E188" s="110">
        <f t="shared" ref="E188:G188" si="18">IF(E18=0,,E18*E103/10^6)</f>
        <v>130.49040453370736</v>
      </c>
      <c r="F188" s="110">
        <f t="shared" si="18"/>
        <v>110.71376568456579</v>
      </c>
      <c r="G188" s="110">
        <f t="shared" si="18"/>
        <v>99.587776117535924</v>
      </c>
      <c r="H188" s="110"/>
      <c r="I188" s="110"/>
      <c r="J188" s="110"/>
      <c r="K188" s="110"/>
      <c r="L188" s="110"/>
      <c r="M188" s="110"/>
      <c r="N188" s="110"/>
      <c r="O188" s="110"/>
      <c r="P188" s="110"/>
    </row>
    <row r="189" spans="2:16">
      <c r="B189" s="87" t="str">
        <f t="shared" si="9"/>
        <v>10G</v>
      </c>
      <c r="C189" s="88" t="str">
        <f t="shared" si="9"/>
        <v>40 km</v>
      </c>
      <c r="D189" s="88" t="str">
        <f t="shared" si="9"/>
        <v>XFP</v>
      </c>
      <c r="E189" s="110">
        <f t="shared" ref="E189:G189" si="19">IF(E19=0,,E19*E104/10^6)</f>
        <v>0</v>
      </c>
      <c r="F189" s="110">
        <f t="shared" si="19"/>
        <v>0</v>
      </c>
      <c r="G189" s="110">
        <f t="shared" si="19"/>
        <v>0</v>
      </c>
      <c r="H189" s="110"/>
      <c r="I189" s="110"/>
      <c r="J189" s="110"/>
      <c r="K189" s="110"/>
      <c r="L189" s="110"/>
      <c r="M189" s="110"/>
      <c r="N189" s="110"/>
      <c r="O189" s="110"/>
      <c r="P189" s="110"/>
    </row>
    <row r="190" spans="2:16">
      <c r="B190" s="87" t="str">
        <f t="shared" si="9"/>
        <v>10G</v>
      </c>
      <c r="C190" s="88" t="str">
        <f t="shared" si="9"/>
        <v>40 km</v>
      </c>
      <c r="D190" s="88" t="str">
        <f t="shared" si="9"/>
        <v>SFP+</v>
      </c>
      <c r="E190" s="110">
        <f t="shared" ref="E190:G190" si="20">IF(E20=0,,E20*E105/10^6)</f>
        <v>9.8628511139439148</v>
      </c>
      <c r="F190" s="110">
        <f t="shared" si="20"/>
        <v>10.060373953390915</v>
      </c>
      <c r="G190" s="110">
        <f t="shared" si="20"/>
        <v>16.249649571775944</v>
      </c>
      <c r="H190" s="110"/>
      <c r="I190" s="110"/>
      <c r="J190" s="110"/>
      <c r="K190" s="110"/>
      <c r="L190" s="110"/>
      <c r="M190" s="110"/>
      <c r="N190" s="110"/>
      <c r="O190" s="110"/>
      <c r="P190" s="110"/>
    </row>
    <row r="191" spans="2:16">
      <c r="B191" s="87" t="str">
        <f t="shared" si="9"/>
        <v>10G</v>
      </c>
      <c r="C191" s="88" t="str">
        <f t="shared" si="9"/>
        <v>80 km</v>
      </c>
      <c r="D191" s="88" t="str">
        <f t="shared" si="9"/>
        <v>XFP</v>
      </c>
      <c r="E191" s="110">
        <f t="shared" ref="E191:G191" si="21">IF(E21=0,,E21*E106/10^6)</f>
        <v>0</v>
      </c>
      <c r="F191" s="110">
        <f t="shared" si="21"/>
        <v>0</v>
      </c>
      <c r="G191" s="110">
        <f t="shared" si="21"/>
        <v>0</v>
      </c>
      <c r="H191" s="110"/>
      <c r="I191" s="110"/>
      <c r="J191" s="110"/>
      <c r="K191" s="110"/>
      <c r="L191" s="110"/>
      <c r="M191" s="110"/>
      <c r="N191" s="110"/>
      <c r="O191" s="110"/>
      <c r="P191" s="110"/>
    </row>
    <row r="192" spans="2:16">
      <c r="B192" s="87" t="str">
        <f t="shared" si="9"/>
        <v>10G</v>
      </c>
      <c r="C192" s="88" t="str">
        <f t="shared" si="9"/>
        <v>80 km</v>
      </c>
      <c r="D192" s="88" t="str">
        <f t="shared" si="9"/>
        <v>SFP+</v>
      </c>
      <c r="E192" s="110">
        <f t="shared" ref="E192:G193" si="22">IF(E22=0,,E22*E107/10^6)</f>
        <v>0</v>
      </c>
      <c r="F192" s="110">
        <f t="shared" si="22"/>
        <v>0</v>
      </c>
      <c r="G192" s="110">
        <f t="shared" si="22"/>
        <v>0</v>
      </c>
      <c r="H192" s="110"/>
      <c r="I192" s="110"/>
      <c r="J192" s="110"/>
      <c r="K192" s="110"/>
      <c r="L192" s="110"/>
      <c r="M192" s="110"/>
      <c r="N192" s="110"/>
      <c r="O192" s="110"/>
      <c r="P192" s="110"/>
    </row>
    <row r="193" spans="2:16">
      <c r="B193" s="87" t="str">
        <f t="shared" si="9"/>
        <v>10G</v>
      </c>
      <c r="C193" s="88" t="str">
        <f t="shared" si="9"/>
        <v>Various</v>
      </c>
      <c r="D193" s="88" t="str">
        <f t="shared" si="9"/>
        <v>Legacy/discontinued</v>
      </c>
      <c r="E193" s="109">
        <f t="shared" si="22"/>
        <v>3.2231545150000001</v>
      </c>
      <c r="F193" s="109">
        <f t="shared" si="22"/>
        <v>1.1468830000000003</v>
      </c>
      <c r="G193" s="109">
        <f t="shared" si="22"/>
        <v>0.2</v>
      </c>
      <c r="H193" s="109"/>
      <c r="I193" s="110"/>
      <c r="J193" s="110"/>
      <c r="K193" s="110"/>
      <c r="L193" s="110"/>
      <c r="M193" s="110"/>
      <c r="N193" s="110"/>
      <c r="O193" s="110"/>
      <c r="P193" s="110"/>
    </row>
    <row r="194" spans="2:16">
      <c r="B194" s="79" t="str">
        <f t="shared" si="9"/>
        <v>25G SR, eSR</v>
      </c>
      <c r="C194" s="80" t="str">
        <f t="shared" si="9"/>
        <v>100 - 300 m</v>
      </c>
      <c r="D194" s="81" t="str">
        <f t="shared" si="9"/>
        <v>SFP28</v>
      </c>
      <c r="E194" s="108">
        <f t="shared" ref="E194:G194" si="23">IF(E24=0,,E24*E109/10^6)</f>
        <v>1.3373250000000001</v>
      </c>
      <c r="F194" s="108">
        <f t="shared" si="23"/>
        <v>13.527578999999998</v>
      </c>
      <c r="G194" s="108">
        <f t="shared" si="23"/>
        <v>27.845733580000022</v>
      </c>
      <c r="H194" s="108"/>
      <c r="I194" s="108"/>
      <c r="J194" s="108"/>
      <c r="K194" s="108"/>
      <c r="L194" s="108"/>
      <c r="M194" s="108"/>
      <c r="N194" s="108"/>
      <c r="O194" s="108"/>
      <c r="P194" s="108"/>
    </row>
    <row r="195" spans="2:16">
      <c r="B195" s="87" t="str">
        <f t="shared" si="9"/>
        <v>25G LR</v>
      </c>
      <c r="C195" s="88" t="str">
        <f t="shared" si="9"/>
        <v>10 km</v>
      </c>
      <c r="D195" s="89" t="str">
        <f t="shared" si="9"/>
        <v>SFP28</v>
      </c>
      <c r="E195" s="110">
        <f t="shared" ref="E195:G195" si="24">IF(E25=0,,E25*E110/10^6)</f>
        <v>1.4524867000000001</v>
      </c>
      <c r="F195" s="110">
        <f t="shared" si="24"/>
        <v>3.961647414839963</v>
      </c>
      <c r="G195" s="110">
        <f t="shared" si="24"/>
        <v>7.7258835779999968</v>
      </c>
      <c r="H195" s="110"/>
      <c r="I195" s="110"/>
      <c r="J195" s="110"/>
      <c r="K195" s="110"/>
      <c r="L195" s="110"/>
      <c r="M195" s="110"/>
      <c r="N195" s="110"/>
      <c r="O195" s="110"/>
      <c r="P195" s="110"/>
    </row>
    <row r="196" spans="2:16">
      <c r="B196" s="83" t="str">
        <f t="shared" si="9"/>
        <v>25G ER</v>
      </c>
      <c r="C196" s="84" t="str">
        <f t="shared" si="9"/>
        <v>40 km</v>
      </c>
      <c r="D196" s="85" t="str">
        <f t="shared" si="9"/>
        <v>SFP28</v>
      </c>
      <c r="E196" s="109">
        <f t="shared" ref="E196:G196" si="25">IF(E26=0,,E26*E111/10^6)</f>
        <v>0</v>
      </c>
      <c r="F196" s="109">
        <f t="shared" si="25"/>
        <v>0</v>
      </c>
      <c r="G196" s="109">
        <f t="shared" si="25"/>
        <v>0</v>
      </c>
      <c r="H196" s="109"/>
      <c r="I196" s="109"/>
      <c r="J196" s="109"/>
      <c r="K196" s="109"/>
      <c r="L196" s="109"/>
      <c r="M196" s="109"/>
      <c r="N196" s="109"/>
      <c r="O196" s="109"/>
      <c r="P196" s="109"/>
    </row>
    <row r="197" spans="2:16">
      <c r="B197" s="87" t="str">
        <f t="shared" si="9"/>
        <v>40G SR4</v>
      </c>
      <c r="C197" s="88" t="str">
        <f t="shared" si="9"/>
        <v>100 m</v>
      </c>
      <c r="D197" s="89" t="str">
        <f t="shared" si="9"/>
        <v>QSFP+</v>
      </c>
      <c r="E197" s="108">
        <f t="shared" ref="E197:G197" si="26">IF(E27=0,,E27*E112/10^6)</f>
        <v>6.1814562208888901</v>
      </c>
      <c r="F197" s="108">
        <f t="shared" si="26"/>
        <v>6.3806447873340728</v>
      </c>
      <c r="G197" s="108">
        <f t="shared" si="26"/>
        <v>5.6351367198170896</v>
      </c>
      <c r="H197" s="108"/>
      <c r="I197" s="108"/>
      <c r="J197" s="108"/>
      <c r="K197" s="108"/>
      <c r="L197" s="108"/>
      <c r="M197" s="108"/>
      <c r="N197" s="108"/>
      <c r="O197" s="108"/>
      <c r="P197" s="108"/>
    </row>
    <row r="198" spans="2:16">
      <c r="B198" s="87" t="str">
        <f t="shared" si="9"/>
        <v>40G MM duplex</v>
      </c>
      <c r="C198" s="88" t="str">
        <f t="shared" si="9"/>
        <v>100 m</v>
      </c>
      <c r="D198" s="89" t="str">
        <f t="shared" si="9"/>
        <v>QSFP+</v>
      </c>
      <c r="E198" s="110">
        <f t="shared" ref="E198:G198" si="27">IF(E28=0,,E28*E113/10^6)</f>
        <v>153.5735</v>
      </c>
      <c r="F198" s="110">
        <f t="shared" si="27"/>
        <v>180.12456</v>
      </c>
      <c r="G198" s="110">
        <f t="shared" si="27"/>
        <v>134.912229</v>
      </c>
      <c r="H198" s="110"/>
      <c r="I198" s="110"/>
      <c r="J198" s="110"/>
      <c r="K198" s="110"/>
      <c r="L198" s="110"/>
      <c r="M198" s="110"/>
      <c r="N198" s="110"/>
      <c r="O198" s="110"/>
      <c r="P198" s="110"/>
    </row>
    <row r="199" spans="2:16">
      <c r="B199" s="87" t="str">
        <f t="shared" ref="B199:D218" si="28">B29</f>
        <v>40G eSR4</v>
      </c>
      <c r="C199" s="88" t="str">
        <f t="shared" si="28"/>
        <v>300 m</v>
      </c>
      <c r="D199" s="89" t="str">
        <f t="shared" si="28"/>
        <v>QSFP+</v>
      </c>
      <c r="E199" s="110">
        <f t="shared" ref="E199:G199" si="29">IF(E29=0,,E29*E114/10^6)</f>
        <v>2.9361883310000008</v>
      </c>
      <c r="F199" s="110">
        <f t="shared" si="29"/>
        <v>3.7789000000000006</v>
      </c>
      <c r="G199" s="110">
        <f t="shared" si="29"/>
        <v>3.1355079991532855</v>
      </c>
      <c r="H199" s="110"/>
      <c r="I199" s="110"/>
      <c r="J199" s="110"/>
      <c r="K199" s="110"/>
      <c r="L199" s="110"/>
      <c r="M199" s="110"/>
      <c r="N199" s="110"/>
      <c r="O199" s="110"/>
      <c r="P199" s="110"/>
    </row>
    <row r="200" spans="2:16">
      <c r="B200" s="87" t="str">
        <f t="shared" si="28"/>
        <v>40 G PSM4</v>
      </c>
      <c r="C200" s="88" t="str">
        <f t="shared" si="28"/>
        <v>500 m</v>
      </c>
      <c r="D200" s="89" t="str">
        <f t="shared" si="28"/>
        <v>QSFP+</v>
      </c>
      <c r="E200" s="110">
        <f t="shared" ref="E200:G200" si="30">IF(E30=0,,E30*E115/10^6)</f>
        <v>0</v>
      </c>
      <c r="F200" s="110">
        <f t="shared" si="30"/>
        <v>0</v>
      </c>
      <c r="G200" s="110">
        <f t="shared" si="30"/>
        <v>0</v>
      </c>
      <c r="H200" s="110"/>
      <c r="I200" s="110"/>
      <c r="J200" s="110"/>
      <c r="K200" s="110"/>
      <c r="L200" s="110"/>
      <c r="M200" s="110"/>
      <c r="N200" s="110"/>
      <c r="O200" s="110"/>
      <c r="P200" s="110"/>
    </row>
    <row r="201" spans="2:16">
      <c r="B201" s="87" t="str">
        <f t="shared" si="28"/>
        <v>40G (FR)</v>
      </c>
      <c r="C201" s="88" t="str">
        <f t="shared" si="28"/>
        <v>2 km</v>
      </c>
      <c r="D201" s="89" t="str">
        <f t="shared" si="28"/>
        <v>CFP</v>
      </c>
      <c r="E201" s="110">
        <f t="shared" ref="E201:G201" si="31">IF(E31=0,,E31*E116/10^6)</f>
        <v>0</v>
      </c>
      <c r="F201" s="110">
        <f t="shared" si="31"/>
        <v>0</v>
      </c>
      <c r="G201" s="110">
        <f t="shared" si="31"/>
        <v>0</v>
      </c>
      <c r="H201" s="110"/>
      <c r="I201" s="110"/>
      <c r="J201" s="110"/>
      <c r="K201" s="110"/>
      <c r="L201" s="110"/>
      <c r="M201" s="110"/>
      <c r="N201" s="110"/>
      <c r="O201" s="110"/>
      <c r="P201" s="110"/>
    </row>
    <row r="202" spans="2:16">
      <c r="B202" s="87" t="str">
        <f t="shared" si="28"/>
        <v>40G (LR4 subspec)</v>
      </c>
      <c r="C202" s="88" t="str">
        <f t="shared" si="28"/>
        <v>2 km</v>
      </c>
      <c r="D202" s="89" t="str">
        <f t="shared" si="28"/>
        <v>QSFP+</v>
      </c>
      <c r="E202" s="110">
        <f t="shared" ref="E202:G202" si="32">IF(E32=0,,E32*E117/10^6)</f>
        <v>0</v>
      </c>
      <c r="F202" s="110">
        <f t="shared" si="32"/>
        <v>0</v>
      </c>
      <c r="G202" s="110">
        <f t="shared" si="32"/>
        <v>0</v>
      </c>
      <c r="H202" s="110"/>
      <c r="I202" s="110"/>
      <c r="J202" s="110"/>
      <c r="K202" s="110"/>
      <c r="L202" s="110"/>
      <c r="M202" s="110"/>
      <c r="N202" s="110"/>
      <c r="O202" s="110"/>
      <c r="P202" s="110"/>
    </row>
    <row r="203" spans="2:16">
      <c r="B203" s="87" t="str">
        <f t="shared" si="28"/>
        <v>40G</v>
      </c>
      <c r="C203" s="88" t="str">
        <f t="shared" si="28"/>
        <v>10 km</v>
      </c>
      <c r="D203" s="89" t="str">
        <f t="shared" si="28"/>
        <v>CFP</v>
      </c>
      <c r="E203" s="110">
        <f t="shared" ref="E203:G203" si="33">IF(E33=0,,E33*E118/10^6)</f>
        <v>0</v>
      </c>
      <c r="F203" s="110">
        <f t="shared" si="33"/>
        <v>0</v>
      </c>
      <c r="G203" s="110">
        <f t="shared" si="33"/>
        <v>0</v>
      </c>
      <c r="H203" s="110"/>
      <c r="I203" s="110"/>
      <c r="J203" s="110"/>
      <c r="K203" s="110"/>
      <c r="L203" s="110"/>
      <c r="M203" s="110"/>
      <c r="N203" s="110"/>
      <c r="O203" s="110"/>
      <c r="P203" s="110"/>
    </row>
    <row r="204" spans="2:16">
      <c r="B204" s="87" t="str">
        <f t="shared" si="28"/>
        <v>40G</v>
      </c>
      <c r="C204" s="88" t="str">
        <f t="shared" si="28"/>
        <v>10 km</v>
      </c>
      <c r="D204" s="89" t="str">
        <f t="shared" si="28"/>
        <v>QSFP+</v>
      </c>
      <c r="E204" s="110">
        <f t="shared" ref="E204:G204" si="34">IF(E34=0,,E34*E119/10^6)</f>
        <v>27.993134856470409</v>
      </c>
      <c r="F204" s="110">
        <f t="shared" si="34"/>
        <v>34.064636145078524</v>
      </c>
      <c r="G204" s="110">
        <f t="shared" si="34"/>
        <v>19.487660895999987</v>
      </c>
      <c r="H204" s="110"/>
      <c r="I204" s="110"/>
      <c r="J204" s="110"/>
      <c r="K204" s="110"/>
      <c r="L204" s="110"/>
      <c r="M204" s="110"/>
      <c r="N204" s="110"/>
      <c r="O204" s="110"/>
      <c r="P204" s="110"/>
    </row>
    <row r="205" spans="2:16">
      <c r="B205" s="87" t="str">
        <f t="shared" si="28"/>
        <v>40G</v>
      </c>
      <c r="C205" s="88" t="str">
        <f t="shared" si="28"/>
        <v>40 km</v>
      </c>
      <c r="D205" s="89" t="str">
        <f t="shared" si="28"/>
        <v>QSFP+</v>
      </c>
      <c r="E205" s="110">
        <f t="shared" ref="E205:G205" si="35">IF(E35=0,,E35*E120/10^6)</f>
        <v>3.6845739429673117</v>
      </c>
      <c r="F205" s="110">
        <f t="shared" si="35"/>
        <v>4.1218079805743022</v>
      </c>
      <c r="G205" s="110">
        <f t="shared" si="35"/>
        <v>6.0897074199999981</v>
      </c>
      <c r="H205" s="110"/>
      <c r="I205" s="110"/>
      <c r="J205" s="110"/>
      <c r="K205" s="110"/>
      <c r="L205" s="110"/>
      <c r="M205" s="110"/>
      <c r="N205" s="110"/>
      <c r="O205" s="110"/>
      <c r="P205" s="110"/>
    </row>
    <row r="206" spans="2:16" s="92" customFormat="1">
      <c r="B206" s="79" t="str">
        <f t="shared" si="28"/>
        <v xml:space="preserve">50G </v>
      </c>
      <c r="C206" s="80" t="str">
        <f t="shared" si="28"/>
        <v>100 m</v>
      </c>
      <c r="D206" s="81" t="str">
        <f t="shared" si="28"/>
        <v>all</v>
      </c>
      <c r="E206" s="108">
        <f t="shared" ref="E206:G206" si="36">IF(E36=0,,E36*E121/10^6)</f>
        <v>0</v>
      </c>
      <c r="F206" s="108">
        <f t="shared" si="36"/>
        <v>0</v>
      </c>
      <c r="G206" s="108">
        <f t="shared" si="36"/>
        <v>0</v>
      </c>
      <c r="H206" s="108"/>
      <c r="I206" s="108"/>
      <c r="J206" s="108"/>
      <c r="K206" s="108"/>
      <c r="L206" s="108"/>
      <c r="M206" s="108"/>
      <c r="N206" s="108"/>
      <c r="O206" s="108"/>
      <c r="P206" s="108"/>
    </row>
    <row r="207" spans="2:16" s="92" customFormat="1">
      <c r="B207" s="87" t="str">
        <f t="shared" si="28"/>
        <v xml:space="preserve">50G </v>
      </c>
      <c r="C207" s="88" t="str">
        <f t="shared" si="28"/>
        <v>2 km</v>
      </c>
      <c r="D207" s="89" t="str">
        <f t="shared" si="28"/>
        <v>all</v>
      </c>
      <c r="E207" s="110">
        <f t="shared" ref="E207:G207" si="37">IF(E37=0,,E37*E122/10^6)</f>
        <v>0</v>
      </c>
      <c r="F207" s="110">
        <f t="shared" si="37"/>
        <v>0</v>
      </c>
      <c r="G207" s="110">
        <f t="shared" si="37"/>
        <v>0</v>
      </c>
      <c r="H207" s="110"/>
      <c r="I207" s="110"/>
      <c r="J207" s="110"/>
      <c r="K207" s="110"/>
      <c r="L207" s="110"/>
      <c r="M207" s="110"/>
      <c r="N207" s="110"/>
      <c r="O207" s="110"/>
      <c r="P207" s="110"/>
    </row>
    <row r="208" spans="2:16" s="92" customFormat="1">
      <c r="B208" s="87" t="str">
        <f t="shared" si="28"/>
        <v xml:space="preserve">50G </v>
      </c>
      <c r="C208" s="88" t="str">
        <f t="shared" si="28"/>
        <v>10 km</v>
      </c>
      <c r="D208" s="89" t="str">
        <f t="shared" si="28"/>
        <v>all</v>
      </c>
      <c r="E208" s="110">
        <f t="shared" ref="E208:G208" si="38">IF(E38=0,,E38*E123/10^6)</f>
        <v>0</v>
      </c>
      <c r="F208" s="110">
        <f t="shared" si="38"/>
        <v>0</v>
      </c>
      <c r="G208" s="110">
        <f t="shared" si="38"/>
        <v>0</v>
      </c>
      <c r="H208" s="110"/>
      <c r="I208" s="110"/>
      <c r="J208" s="110"/>
      <c r="K208" s="110"/>
      <c r="L208" s="110"/>
      <c r="M208" s="110"/>
      <c r="N208" s="110"/>
      <c r="O208" s="110"/>
      <c r="P208" s="110"/>
    </row>
    <row r="209" spans="2:16" s="92" customFormat="1">
      <c r="B209" s="87" t="str">
        <f t="shared" si="28"/>
        <v xml:space="preserve">50G </v>
      </c>
      <c r="C209" s="88" t="str">
        <f t="shared" si="28"/>
        <v>40 km</v>
      </c>
      <c r="D209" s="89" t="str">
        <f t="shared" si="28"/>
        <v>all</v>
      </c>
      <c r="E209" s="110">
        <f t="shared" ref="E209:G209" si="39">IF(E39=0,,E39*E124/10^6)</f>
        <v>0</v>
      </c>
      <c r="F209" s="110">
        <f t="shared" si="39"/>
        <v>0</v>
      </c>
      <c r="G209" s="110">
        <f t="shared" si="39"/>
        <v>0</v>
      </c>
      <c r="H209" s="110"/>
      <c r="I209" s="110"/>
      <c r="J209" s="110"/>
      <c r="K209" s="110"/>
      <c r="L209" s="110"/>
      <c r="M209" s="110"/>
      <c r="N209" s="110"/>
      <c r="O209" s="110"/>
      <c r="P209" s="110"/>
    </row>
    <row r="210" spans="2:16" s="92" customFormat="1">
      <c r="B210" s="87" t="str">
        <f t="shared" si="28"/>
        <v xml:space="preserve">50G </v>
      </c>
      <c r="C210" s="88" t="str">
        <f t="shared" si="28"/>
        <v>80 km</v>
      </c>
      <c r="D210" s="89" t="str">
        <f t="shared" si="28"/>
        <v>all</v>
      </c>
      <c r="E210" s="109">
        <f t="shared" ref="E210:G210" si="40">IF(E40=0,,E40*E125/10^6)</f>
        <v>0</v>
      </c>
      <c r="F210" s="109">
        <f t="shared" si="40"/>
        <v>0</v>
      </c>
      <c r="G210" s="109">
        <f t="shared" si="40"/>
        <v>0</v>
      </c>
      <c r="H210" s="109"/>
      <c r="I210" s="109"/>
      <c r="J210" s="109"/>
      <c r="K210" s="109"/>
      <c r="L210" s="109"/>
      <c r="M210" s="109"/>
      <c r="N210" s="109"/>
      <c r="O210" s="109"/>
      <c r="P210" s="109"/>
    </row>
    <row r="211" spans="2:16">
      <c r="B211" s="79" t="str">
        <f t="shared" si="28"/>
        <v>100G SR4</v>
      </c>
      <c r="C211" s="80" t="str">
        <f t="shared" si="28"/>
        <v>100 m</v>
      </c>
      <c r="D211" s="81" t="str">
        <f t="shared" si="28"/>
        <v>CFP</v>
      </c>
      <c r="E211" s="108">
        <f t="shared" ref="E211:G211" si="41">IF(E41=0,,E41*E126/10^6)</f>
        <v>0</v>
      </c>
      <c r="F211" s="108">
        <f t="shared" si="41"/>
        <v>0</v>
      </c>
      <c r="G211" s="108">
        <f t="shared" si="41"/>
        <v>0</v>
      </c>
      <c r="H211" s="108"/>
      <c r="I211" s="108"/>
      <c r="J211" s="108"/>
      <c r="K211" s="108"/>
      <c r="L211" s="108"/>
      <c r="M211" s="108"/>
      <c r="N211" s="108"/>
      <c r="O211" s="108"/>
      <c r="P211" s="108"/>
    </row>
    <row r="212" spans="2:16">
      <c r="B212" s="87" t="str">
        <f t="shared" si="28"/>
        <v>100G SR4</v>
      </c>
      <c r="C212" s="88" t="str">
        <f t="shared" si="28"/>
        <v>100 m</v>
      </c>
      <c r="D212" s="89" t="str">
        <f t="shared" si="28"/>
        <v>CFP2/4</v>
      </c>
      <c r="E212" s="110">
        <f t="shared" ref="E212:G212" si="42">IF(E42=0,,E42*E127/10^6)</f>
        <v>0</v>
      </c>
      <c r="F212" s="110">
        <f t="shared" si="42"/>
        <v>0</v>
      </c>
      <c r="G212" s="110">
        <f t="shared" si="42"/>
        <v>0</v>
      </c>
      <c r="H212" s="110"/>
      <c r="I212" s="110"/>
      <c r="J212" s="110"/>
      <c r="K212" s="110"/>
      <c r="L212" s="110"/>
      <c r="M212" s="110"/>
      <c r="N212" s="110"/>
      <c r="O212" s="110"/>
      <c r="P212" s="110"/>
    </row>
    <row r="213" spans="2:16">
      <c r="B213" s="87" t="str">
        <f t="shared" si="28"/>
        <v>100G SR4</v>
      </c>
      <c r="C213" s="88" t="str">
        <f t="shared" si="28"/>
        <v>100 m</v>
      </c>
      <c r="D213" s="89" t="str">
        <f t="shared" si="28"/>
        <v>QSFP28</v>
      </c>
      <c r="E213" s="110">
        <f t="shared" ref="E213:G213" si="43">IF(E43=0,,E43*E128/10^6)</f>
        <v>0</v>
      </c>
      <c r="F213" s="110">
        <f t="shared" si="43"/>
        <v>0</v>
      </c>
      <c r="G213" s="110">
        <f t="shared" si="43"/>
        <v>17.402795749351512</v>
      </c>
      <c r="H213" s="110"/>
      <c r="I213" s="110"/>
      <c r="J213" s="110"/>
      <c r="K213" s="110"/>
      <c r="L213" s="110"/>
      <c r="M213" s="110"/>
      <c r="N213" s="110"/>
      <c r="O213" s="110"/>
      <c r="P213" s="110"/>
    </row>
    <row r="214" spans="2:16">
      <c r="B214" s="87" t="str">
        <f t="shared" si="28"/>
        <v>100G SR2</v>
      </c>
      <c r="C214" s="88" t="str">
        <f t="shared" si="28"/>
        <v>100 m</v>
      </c>
      <c r="D214" s="89" t="str">
        <f t="shared" si="28"/>
        <v>All</v>
      </c>
      <c r="E214" s="110">
        <f t="shared" ref="E214:G214" si="44">IF(E44=0,,E44*E129/10^6)</f>
        <v>0</v>
      </c>
      <c r="F214" s="110">
        <f t="shared" si="44"/>
        <v>0</v>
      </c>
      <c r="G214" s="110">
        <f t="shared" si="44"/>
        <v>0</v>
      </c>
      <c r="H214" s="110"/>
      <c r="I214" s="110"/>
      <c r="J214" s="110"/>
      <c r="K214" s="110"/>
      <c r="L214" s="110"/>
      <c r="M214" s="110"/>
      <c r="N214" s="110"/>
      <c r="O214" s="110"/>
      <c r="P214" s="110"/>
    </row>
    <row r="215" spans="2:16">
      <c r="B215" s="87" t="str">
        <f t="shared" si="28"/>
        <v>100G MM Duplex</v>
      </c>
      <c r="C215" s="88" t="str">
        <f t="shared" si="28"/>
        <v>100 - 300 m</v>
      </c>
      <c r="D215" s="89" t="str">
        <f t="shared" si="28"/>
        <v>QSFP28</v>
      </c>
      <c r="E215" s="110">
        <f t="shared" ref="E215:G215" si="45">IF(E45=0,,E45*E130/10^6)</f>
        <v>0</v>
      </c>
      <c r="F215" s="110">
        <f t="shared" si="45"/>
        <v>0</v>
      </c>
      <c r="G215" s="110">
        <f t="shared" si="45"/>
        <v>25.5</v>
      </c>
      <c r="H215" s="110"/>
      <c r="I215" s="110"/>
      <c r="J215" s="110"/>
      <c r="K215" s="110"/>
      <c r="L215" s="110"/>
      <c r="M215" s="110"/>
      <c r="N215" s="110"/>
      <c r="O215" s="110"/>
      <c r="P215" s="110"/>
    </row>
    <row r="216" spans="2:16">
      <c r="B216" s="87" t="str">
        <f t="shared" si="28"/>
        <v>100G eSR4</v>
      </c>
      <c r="C216" s="88" t="str">
        <f t="shared" si="28"/>
        <v>300 m</v>
      </c>
      <c r="D216" s="89" t="str">
        <f t="shared" si="28"/>
        <v>QSFP28</v>
      </c>
      <c r="E216" s="110">
        <f t="shared" ref="E216:G216" si="46">IF(E46=0,,E46*E131/10^6)</f>
        <v>0</v>
      </c>
      <c r="F216" s="110">
        <f t="shared" si="46"/>
        <v>0</v>
      </c>
      <c r="G216" s="110">
        <f t="shared" si="46"/>
        <v>0.16999999999999998</v>
      </c>
      <c r="H216" s="110"/>
      <c r="I216" s="110"/>
      <c r="J216" s="110"/>
      <c r="K216" s="110"/>
      <c r="L216" s="110"/>
      <c r="M216" s="110"/>
      <c r="N216" s="110"/>
      <c r="O216" s="110"/>
      <c r="P216" s="110"/>
    </row>
    <row r="217" spans="2:16">
      <c r="B217" s="87" t="str">
        <f t="shared" si="28"/>
        <v>100G PSM4</v>
      </c>
      <c r="C217" s="88" t="str">
        <f t="shared" si="28"/>
        <v>500 m</v>
      </c>
      <c r="D217" s="89" t="str">
        <f t="shared" si="28"/>
        <v>QSFP28</v>
      </c>
      <c r="E217" s="110">
        <f t="shared" ref="E217:G217" si="47">IF(E47=0,,E47*E132/10^6)</f>
        <v>0</v>
      </c>
      <c r="F217" s="110">
        <f t="shared" si="47"/>
        <v>0</v>
      </c>
      <c r="G217" s="110">
        <f t="shared" si="47"/>
        <v>0</v>
      </c>
      <c r="H217" s="110"/>
      <c r="I217" s="110"/>
      <c r="J217" s="110"/>
      <c r="K217" s="110"/>
      <c r="L217" s="110"/>
      <c r="M217" s="110"/>
      <c r="N217" s="110"/>
      <c r="O217" s="110"/>
      <c r="P217" s="110"/>
    </row>
    <row r="218" spans="2:16">
      <c r="B218" s="87" t="str">
        <f t="shared" si="28"/>
        <v>100G DR</v>
      </c>
      <c r="C218" s="88" t="str">
        <f t="shared" si="28"/>
        <v>500m</v>
      </c>
      <c r="D218" s="89" t="str">
        <f t="shared" si="28"/>
        <v>QSFP28</v>
      </c>
      <c r="E218" s="110">
        <f t="shared" ref="E218:G218" si="48">IF(E48=0,,E48*E133/10^6)</f>
        <v>0</v>
      </c>
      <c r="F218" s="110">
        <f t="shared" si="48"/>
        <v>0</v>
      </c>
      <c r="G218" s="110">
        <f t="shared" si="48"/>
        <v>0</v>
      </c>
      <c r="H218" s="110"/>
      <c r="I218" s="110"/>
      <c r="J218" s="110"/>
      <c r="K218" s="110"/>
      <c r="L218" s="110"/>
      <c r="M218" s="110"/>
      <c r="N218" s="110"/>
      <c r="O218" s="110"/>
      <c r="P218" s="110"/>
    </row>
    <row r="219" spans="2:16">
      <c r="B219" s="87" t="str">
        <f t="shared" ref="B219:D232" si="49">B49</f>
        <v>100G CWDM4-subspec</v>
      </c>
      <c r="C219" s="88" t="str">
        <f t="shared" si="49"/>
        <v>500 m</v>
      </c>
      <c r="D219" s="89" t="str">
        <f t="shared" si="49"/>
        <v>QSFP28</v>
      </c>
      <c r="E219" s="110">
        <f t="shared" ref="E219:G219" si="50">IF(E49=0,,E49*E134/10^6)</f>
        <v>0</v>
      </c>
      <c r="F219" s="110">
        <f t="shared" si="50"/>
        <v>0</v>
      </c>
      <c r="G219" s="110">
        <f t="shared" si="50"/>
        <v>0</v>
      </c>
      <c r="H219" s="110"/>
      <c r="I219" s="110"/>
      <c r="J219" s="110"/>
      <c r="K219" s="110"/>
      <c r="L219" s="110"/>
      <c r="M219" s="110"/>
      <c r="N219" s="110"/>
      <c r="O219" s="110"/>
      <c r="P219" s="110"/>
    </row>
    <row r="220" spans="2:16">
      <c r="B220" s="87" t="str">
        <f t="shared" si="49"/>
        <v>100G CWDM4</v>
      </c>
      <c r="C220" s="88" t="str">
        <f t="shared" si="49"/>
        <v>2 km</v>
      </c>
      <c r="D220" s="89" t="str">
        <f t="shared" si="49"/>
        <v>QSFP28</v>
      </c>
      <c r="E220" s="110">
        <f t="shared" ref="E220:G220" si="51">IF(E50=0,,E50*E135/10^6)</f>
        <v>0</v>
      </c>
      <c r="F220" s="110">
        <f t="shared" si="51"/>
        <v>0</v>
      </c>
      <c r="G220" s="110">
        <f t="shared" si="51"/>
        <v>0</v>
      </c>
      <c r="H220" s="110"/>
      <c r="I220" s="110"/>
      <c r="J220" s="110"/>
      <c r="K220" s="110"/>
      <c r="L220" s="110"/>
      <c r="M220" s="110"/>
      <c r="N220" s="110"/>
      <c r="O220" s="110"/>
      <c r="P220" s="110"/>
    </row>
    <row r="221" spans="2:16">
      <c r="B221" s="87" t="str">
        <f t="shared" si="49"/>
        <v>100G FR, DR+</v>
      </c>
      <c r="C221" s="88" t="str">
        <f t="shared" si="49"/>
        <v>2 km</v>
      </c>
      <c r="D221" s="89" t="str">
        <f t="shared" si="49"/>
        <v>QSFP28</v>
      </c>
      <c r="E221" s="110">
        <f t="shared" ref="E221:G221" si="52">IF(E51=0,,E51*E136/10^6)</f>
        <v>0</v>
      </c>
      <c r="F221" s="110">
        <f t="shared" si="52"/>
        <v>0</v>
      </c>
      <c r="G221" s="110">
        <f t="shared" si="52"/>
        <v>0</v>
      </c>
      <c r="H221" s="110"/>
      <c r="I221" s="110"/>
      <c r="J221" s="110"/>
      <c r="K221" s="110"/>
      <c r="L221" s="110"/>
      <c r="M221" s="110"/>
      <c r="N221" s="110"/>
      <c r="O221" s="110"/>
      <c r="P221" s="110"/>
    </row>
    <row r="222" spans="2:16">
      <c r="B222" s="87" t="str">
        <f t="shared" si="49"/>
        <v>100G LR4</v>
      </c>
      <c r="C222" s="88" t="str">
        <f t="shared" si="49"/>
        <v>10 km</v>
      </c>
      <c r="D222" s="89" t="str">
        <f t="shared" si="49"/>
        <v>CFP</v>
      </c>
      <c r="E222" s="110">
        <f t="shared" ref="E222:G222" si="53">IF(E52=0,,E52*E137/10^6)</f>
        <v>0</v>
      </c>
      <c r="F222" s="110">
        <f t="shared" si="53"/>
        <v>0</v>
      </c>
      <c r="G222" s="110">
        <f t="shared" si="53"/>
        <v>0</v>
      </c>
      <c r="H222" s="110"/>
      <c r="I222" s="110"/>
      <c r="J222" s="110"/>
      <c r="K222" s="110"/>
      <c r="L222" s="110"/>
      <c r="M222" s="110"/>
      <c r="N222" s="110"/>
      <c r="O222" s="110"/>
      <c r="P222" s="110"/>
    </row>
    <row r="223" spans="2:16">
      <c r="B223" s="87" t="str">
        <f t="shared" si="49"/>
        <v>100G LR4</v>
      </c>
      <c r="C223" s="88" t="str">
        <f t="shared" si="49"/>
        <v>10 km</v>
      </c>
      <c r="D223" s="89" t="str">
        <f t="shared" si="49"/>
        <v>CFP2/4</v>
      </c>
      <c r="E223" s="110">
        <f t="shared" ref="E223:G223" si="54">IF(E53=0,,E53*E138/10^6)</f>
        <v>0</v>
      </c>
      <c r="F223" s="110">
        <f t="shared" si="54"/>
        <v>0</v>
      </c>
      <c r="G223" s="110">
        <f t="shared" si="54"/>
        <v>0</v>
      </c>
      <c r="H223" s="110"/>
      <c r="I223" s="110"/>
      <c r="J223" s="110"/>
      <c r="K223" s="110"/>
      <c r="L223" s="110"/>
      <c r="M223" s="110"/>
      <c r="N223" s="110"/>
      <c r="O223" s="110"/>
      <c r="P223" s="110"/>
    </row>
    <row r="224" spans="2:16">
      <c r="B224" s="87" t="str">
        <f t="shared" si="49"/>
        <v>100G LR4 and LR1</v>
      </c>
      <c r="C224" s="88" t="str">
        <f t="shared" si="49"/>
        <v>10 km</v>
      </c>
      <c r="D224" s="89" t="str">
        <f t="shared" si="49"/>
        <v>QSFP28</v>
      </c>
      <c r="E224" s="110">
        <f t="shared" ref="E224:G224" si="55">IF(E54=0,,E54*E139/10^6)</f>
        <v>0</v>
      </c>
      <c r="F224" s="110">
        <f t="shared" si="55"/>
        <v>0</v>
      </c>
      <c r="G224" s="110">
        <f t="shared" si="55"/>
        <v>16.588733492415091</v>
      </c>
      <c r="H224" s="110"/>
      <c r="I224" s="110"/>
      <c r="J224" s="110"/>
      <c r="K224" s="110"/>
      <c r="L224" s="110"/>
      <c r="M224" s="110"/>
      <c r="N224" s="110"/>
      <c r="O224" s="110"/>
      <c r="P224" s="110"/>
    </row>
    <row r="225" spans="2:16">
      <c r="B225" s="87" t="str">
        <f t="shared" si="49"/>
        <v>100G 4WDM10</v>
      </c>
      <c r="C225" s="88" t="str">
        <f t="shared" si="49"/>
        <v>10 km</v>
      </c>
      <c r="D225" s="89" t="str">
        <f t="shared" si="49"/>
        <v>QSFP28</v>
      </c>
      <c r="E225" s="110">
        <f t="shared" ref="E225:G225" si="56">IF(E55=0,,E55*E140/10^6)</f>
        <v>0</v>
      </c>
      <c r="F225" s="110">
        <f t="shared" si="56"/>
        <v>2.2499999999999996</v>
      </c>
      <c r="G225" s="110">
        <f t="shared" si="56"/>
        <v>3.6</v>
      </c>
      <c r="H225" s="110"/>
      <c r="I225" s="110"/>
      <c r="J225" s="110"/>
      <c r="K225" s="110"/>
      <c r="L225" s="110"/>
      <c r="M225" s="110"/>
      <c r="N225" s="110"/>
      <c r="O225" s="110"/>
      <c r="P225" s="110"/>
    </row>
    <row r="226" spans="2:16" ht="12.75" customHeight="1">
      <c r="B226" s="87" t="str">
        <f t="shared" si="49"/>
        <v>100G 4WDM20</v>
      </c>
      <c r="C226" s="88" t="str">
        <f t="shared" si="49"/>
        <v>20 km</v>
      </c>
      <c r="D226" s="89" t="str">
        <f t="shared" si="49"/>
        <v>QSFP28</v>
      </c>
      <c r="E226" s="110">
        <f t="shared" ref="E226:G226" si="57">IF(E56=0,,E56*E141/10^6)</f>
        <v>0</v>
      </c>
      <c r="F226" s="110">
        <f t="shared" si="57"/>
        <v>0</v>
      </c>
      <c r="G226" s="110">
        <f t="shared" si="57"/>
        <v>0</v>
      </c>
      <c r="H226" s="110"/>
      <c r="I226" s="110"/>
      <c r="J226" s="110"/>
      <c r="K226" s="110"/>
      <c r="L226" s="110"/>
      <c r="M226" s="110"/>
      <c r="N226" s="110"/>
      <c r="O226" s="110"/>
      <c r="P226" s="110"/>
    </row>
    <row r="227" spans="2:16" ht="12.75" customHeight="1">
      <c r="B227" s="87" t="str">
        <f t="shared" si="49"/>
        <v>100G ER4-Lite</v>
      </c>
      <c r="C227" s="88" t="str">
        <f t="shared" si="49"/>
        <v>30 km</v>
      </c>
      <c r="D227" s="89" t="str">
        <f t="shared" si="49"/>
        <v>QSFP28</v>
      </c>
      <c r="E227" s="110">
        <f t="shared" ref="E227:G227" si="58">IF(E57=0,,E57*E142/10^6)</f>
        <v>0</v>
      </c>
      <c r="F227" s="110">
        <f t="shared" si="58"/>
        <v>1.394896957801766</v>
      </c>
      <c r="G227" s="110">
        <f t="shared" si="58"/>
        <v>3.7670732814814802</v>
      </c>
      <c r="H227" s="110"/>
      <c r="I227" s="110"/>
      <c r="J227" s="110"/>
      <c r="K227" s="110"/>
      <c r="L227" s="110"/>
      <c r="M227" s="110"/>
      <c r="N227" s="110"/>
      <c r="O227" s="110"/>
      <c r="P227" s="110"/>
    </row>
    <row r="228" spans="2:16" ht="12.75" customHeight="1">
      <c r="B228" s="87" t="str">
        <f t="shared" si="49"/>
        <v>100G ER4</v>
      </c>
      <c r="C228" s="88" t="str">
        <f t="shared" si="49"/>
        <v>40 km</v>
      </c>
      <c r="D228" s="89" t="str">
        <f t="shared" si="49"/>
        <v>QSFP28</v>
      </c>
      <c r="E228" s="110">
        <f t="shared" ref="E228:G228" si="59">IF(E58=0,,E58*E143/10^6)</f>
        <v>13.409407906828156</v>
      </c>
      <c r="F228" s="110">
        <f t="shared" si="59"/>
        <v>11.043923322922318</v>
      </c>
      <c r="G228" s="110">
        <f t="shared" si="59"/>
        <v>4.0013423606592928</v>
      </c>
      <c r="H228" s="110"/>
      <c r="I228" s="110"/>
      <c r="J228" s="110"/>
      <c r="K228" s="110"/>
      <c r="L228" s="110"/>
      <c r="M228" s="110"/>
      <c r="N228" s="110"/>
      <c r="O228" s="110"/>
      <c r="P228" s="110"/>
    </row>
    <row r="229" spans="2:16">
      <c r="B229" s="83" t="str">
        <f t="shared" si="49"/>
        <v>100G ZR4</v>
      </c>
      <c r="C229" s="84" t="str">
        <f t="shared" si="49"/>
        <v>80 km</v>
      </c>
      <c r="D229" s="85" t="str">
        <f t="shared" si="49"/>
        <v>QSFP28</v>
      </c>
      <c r="E229" s="109">
        <f t="shared" ref="E229:G229" si="60">IF(E59=0,,E59*E144/10^6)</f>
        <v>0</v>
      </c>
      <c r="F229" s="109">
        <f t="shared" si="60"/>
        <v>0</v>
      </c>
      <c r="G229" s="109">
        <f t="shared" si="60"/>
        <v>0</v>
      </c>
      <c r="H229" s="109"/>
      <c r="I229" s="109"/>
      <c r="J229" s="109"/>
      <c r="K229" s="109"/>
      <c r="L229" s="109"/>
      <c r="M229" s="109"/>
      <c r="N229" s="109"/>
      <c r="O229" s="109"/>
      <c r="P229" s="109"/>
    </row>
    <row r="230" spans="2:16">
      <c r="B230" s="79" t="str">
        <f t="shared" si="49"/>
        <v>200G SR4</v>
      </c>
      <c r="C230" s="80" t="str">
        <f t="shared" si="49"/>
        <v>100 m</v>
      </c>
      <c r="D230" s="81" t="str">
        <f t="shared" si="49"/>
        <v>QSFP56</v>
      </c>
      <c r="E230" s="108">
        <f t="shared" ref="E230:G230" si="61">IF(E60=0,,E60*E145/10^6)</f>
        <v>0</v>
      </c>
      <c r="F230" s="108">
        <f t="shared" si="61"/>
        <v>0</v>
      </c>
      <c r="G230" s="108">
        <f t="shared" si="61"/>
        <v>0</v>
      </c>
      <c r="H230" s="108"/>
      <c r="I230" s="108"/>
      <c r="J230" s="108"/>
      <c r="K230" s="108"/>
      <c r="L230" s="108"/>
      <c r="M230" s="108"/>
      <c r="N230" s="108"/>
      <c r="O230" s="108"/>
      <c r="P230" s="108"/>
    </row>
    <row r="231" spans="2:16">
      <c r="B231" s="87" t="str">
        <f t="shared" si="49"/>
        <v>200G DR</v>
      </c>
      <c r="C231" s="88" t="str">
        <f t="shared" si="49"/>
        <v>500 m</v>
      </c>
      <c r="D231" s="89" t="str">
        <f t="shared" si="49"/>
        <v>TBD</v>
      </c>
      <c r="E231" s="110">
        <f t="shared" ref="E231:G232" si="62">IF(E61=0,,E61*E146/10^6)</f>
        <v>0</v>
      </c>
      <c r="F231" s="110">
        <f t="shared" si="62"/>
        <v>0</v>
      </c>
      <c r="G231" s="110">
        <f t="shared" si="62"/>
        <v>0</v>
      </c>
      <c r="H231" s="110"/>
      <c r="I231" s="110"/>
      <c r="J231" s="110"/>
      <c r="K231" s="110"/>
      <c r="L231" s="110"/>
      <c r="M231" s="110"/>
      <c r="N231" s="110"/>
      <c r="O231" s="110"/>
      <c r="P231" s="110"/>
    </row>
    <row r="232" spans="2:16">
      <c r="B232" s="87" t="str">
        <f t="shared" si="49"/>
        <v>200G FR4</v>
      </c>
      <c r="C232" s="88" t="str">
        <f t="shared" si="49"/>
        <v>3 km</v>
      </c>
      <c r="D232" s="89" t="str">
        <f t="shared" si="49"/>
        <v>QSFP56</v>
      </c>
      <c r="E232" s="110">
        <f t="shared" si="62"/>
        <v>0</v>
      </c>
      <c r="F232" s="110">
        <f t="shared" si="62"/>
        <v>0</v>
      </c>
      <c r="G232" s="110">
        <f t="shared" si="62"/>
        <v>0</v>
      </c>
      <c r="H232" s="110"/>
      <c r="I232" s="110"/>
      <c r="J232" s="110"/>
      <c r="K232" s="110"/>
      <c r="L232" s="110"/>
      <c r="M232" s="110"/>
      <c r="N232" s="110"/>
      <c r="O232" s="110"/>
      <c r="P232" s="110"/>
    </row>
    <row r="233" spans="2:16">
      <c r="B233" s="87" t="str">
        <f t="shared" ref="B233:D233" si="63">B63</f>
        <v>200G LR</v>
      </c>
      <c r="C233" s="88" t="str">
        <f t="shared" si="63"/>
        <v>10 km</v>
      </c>
      <c r="D233" s="89" t="str">
        <f t="shared" si="63"/>
        <v>TBD</v>
      </c>
      <c r="E233" s="110">
        <f t="shared" ref="E233:G233" si="64">IF(E63=0,,E63*E148/10^6)</f>
        <v>0</v>
      </c>
      <c r="F233" s="110">
        <f t="shared" si="64"/>
        <v>0</v>
      </c>
      <c r="G233" s="110">
        <f t="shared" si="64"/>
        <v>0</v>
      </c>
      <c r="H233" s="110"/>
      <c r="I233" s="110"/>
      <c r="J233" s="110"/>
      <c r="K233" s="110"/>
      <c r="L233" s="110"/>
      <c r="M233" s="110"/>
      <c r="N233" s="110"/>
      <c r="O233" s="110"/>
      <c r="P233" s="110"/>
    </row>
    <row r="234" spans="2:16">
      <c r="B234" s="87" t="str">
        <f t="shared" ref="B234:D234" si="65">B64</f>
        <v>200G ER4</v>
      </c>
      <c r="C234" s="88" t="str">
        <f t="shared" si="65"/>
        <v>40 km</v>
      </c>
      <c r="D234" s="89" t="str">
        <f t="shared" si="65"/>
        <v>TBD</v>
      </c>
      <c r="E234" s="110">
        <f t="shared" ref="E234:G234" si="66">IF(E64=0,,E64*E149/10^6)</f>
        <v>0</v>
      </c>
      <c r="F234" s="110">
        <f t="shared" si="66"/>
        <v>0</v>
      </c>
      <c r="G234" s="110">
        <f t="shared" si="66"/>
        <v>0</v>
      </c>
      <c r="H234" s="110"/>
      <c r="I234" s="110"/>
      <c r="J234" s="110"/>
      <c r="K234" s="110"/>
      <c r="L234" s="110"/>
      <c r="M234" s="110"/>
      <c r="N234" s="110"/>
      <c r="O234" s="110"/>
      <c r="P234" s="110"/>
    </row>
    <row r="235" spans="2:16">
      <c r="B235" s="79" t="str">
        <f t="shared" ref="B235:D244" si="67">B65</f>
        <v>2x200 (400G-SR8)</v>
      </c>
      <c r="C235" s="80" t="str">
        <f t="shared" si="67"/>
        <v>100 m</v>
      </c>
      <c r="D235" s="81" t="str">
        <f t="shared" si="67"/>
        <v>OSFP, QSFP-DD</v>
      </c>
      <c r="E235" s="108">
        <f t="shared" ref="E235:G235" si="68">IF(E65=0,,E65*E150/10^6)</f>
        <v>0</v>
      </c>
      <c r="F235" s="108">
        <f t="shared" si="68"/>
        <v>0</v>
      </c>
      <c r="G235" s="108">
        <f t="shared" si="68"/>
        <v>0</v>
      </c>
      <c r="H235" s="108"/>
      <c r="I235" s="108"/>
      <c r="J235" s="108"/>
      <c r="K235" s="108"/>
      <c r="L235" s="108"/>
      <c r="M235" s="108"/>
      <c r="N235" s="108"/>
      <c r="O235" s="108"/>
      <c r="P235" s="108"/>
    </row>
    <row r="236" spans="2:16">
      <c r="B236" s="87" t="str">
        <f t="shared" si="67"/>
        <v>400G SR4.2</v>
      </c>
      <c r="C236" s="88" t="str">
        <f t="shared" si="67"/>
        <v>100 m</v>
      </c>
      <c r="D236" s="89" t="str">
        <f t="shared" si="67"/>
        <v>OSFP, QSFP-DD</v>
      </c>
      <c r="E236" s="110">
        <f t="shared" ref="E236:G236" si="69">IF(E66=0,,E66*E151/10^6)</f>
        <v>0</v>
      </c>
      <c r="F236" s="110">
        <f t="shared" si="69"/>
        <v>0</v>
      </c>
      <c r="G236" s="110">
        <f t="shared" si="69"/>
        <v>0</v>
      </c>
      <c r="H236" s="110"/>
      <c r="I236" s="110"/>
      <c r="J236" s="110"/>
      <c r="K236" s="110"/>
      <c r="L236" s="110"/>
      <c r="M236" s="110"/>
      <c r="N236" s="110"/>
      <c r="O236" s="110"/>
      <c r="P236" s="110"/>
    </row>
    <row r="237" spans="2:16">
      <c r="B237" s="87" t="str">
        <f t="shared" si="67"/>
        <v>400G DR4</v>
      </c>
      <c r="C237" s="88" t="str">
        <f t="shared" si="67"/>
        <v>500 m</v>
      </c>
      <c r="D237" s="89" t="str">
        <f t="shared" si="67"/>
        <v>OSFP, QSFP-DD, QSFP112</v>
      </c>
      <c r="E237" s="110">
        <f t="shared" ref="E237:G237" si="70">IF(E67=0,,E67*E152/10^6)</f>
        <v>0</v>
      </c>
      <c r="F237" s="110">
        <f t="shared" si="70"/>
        <v>0</v>
      </c>
      <c r="G237" s="110">
        <f t="shared" si="70"/>
        <v>0</v>
      </c>
      <c r="H237" s="110"/>
      <c r="I237" s="110"/>
      <c r="J237" s="110"/>
      <c r="K237" s="110"/>
      <c r="L237" s="110"/>
      <c r="M237" s="110"/>
      <c r="N237" s="110"/>
      <c r="O237" s="110"/>
      <c r="P237" s="110"/>
    </row>
    <row r="238" spans="2:16">
      <c r="B238" s="87" t="str">
        <f t="shared" si="67"/>
        <v>2x(200G FR4)</v>
      </c>
      <c r="C238" s="88" t="str">
        <f t="shared" si="67"/>
        <v>2 km</v>
      </c>
      <c r="D238" s="89" t="str">
        <f t="shared" si="67"/>
        <v>OSFP</v>
      </c>
      <c r="E238" s="110">
        <f t="shared" ref="E238:G238" si="71">IF(E68=0,,E68*E153/10^6)</f>
        <v>0</v>
      </c>
      <c r="F238" s="110">
        <f t="shared" si="71"/>
        <v>0</v>
      </c>
      <c r="G238" s="110">
        <f t="shared" si="71"/>
        <v>0</v>
      </c>
      <c r="H238" s="110"/>
      <c r="I238" s="110"/>
      <c r="J238" s="110"/>
      <c r="K238" s="110"/>
      <c r="L238" s="110"/>
      <c r="M238" s="110"/>
      <c r="N238" s="110"/>
      <c r="O238" s="110"/>
      <c r="P238" s="110"/>
    </row>
    <row r="239" spans="2:16">
      <c r="B239" s="87" t="str">
        <f t="shared" si="67"/>
        <v>400G FR4</v>
      </c>
      <c r="C239" s="88" t="str">
        <f t="shared" si="67"/>
        <v>2 km</v>
      </c>
      <c r="D239" s="89" t="str">
        <f t="shared" si="67"/>
        <v>OSFP, QSFP-DD, QSFP112</v>
      </c>
      <c r="E239" s="110">
        <f t="shared" ref="E239:G239" si="72">IF(E69=0,,E69*E154/10^6)</f>
        <v>0</v>
      </c>
      <c r="F239" s="110">
        <f t="shared" si="72"/>
        <v>0</v>
      </c>
      <c r="G239" s="110">
        <f t="shared" si="72"/>
        <v>0</v>
      </c>
      <c r="H239" s="110"/>
      <c r="I239" s="110"/>
      <c r="J239" s="110"/>
      <c r="K239" s="110"/>
      <c r="L239" s="110"/>
      <c r="M239" s="110"/>
      <c r="N239" s="110"/>
      <c r="O239" s="110"/>
      <c r="P239" s="110"/>
    </row>
    <row r="240" spans="2:16">
      <c r="B240" s="83" t="str">
        <f t="shared" si="67"/>
        <v>400G LR8, LR4</v>
      </c>
      <c r="C240" s="84" t="str">
        <f t="shared" si="67"/>
        <v>10 km</v>
      </c>
      <c r="D240" s="85" t="str">
        <f t="shared" si="67"/>
        <v>OSFP, QSFP-DD, QSFP112</v>
      </c>
      <c r="E240" s="109">
        <f t="shared" ref="E240:G241" si="73">IF(E70=0,,E70*E155/10^6)</f>
        <v>0</v>
      </c>
      <c r="F240" s="109">
        <f t="shared" si="73"/>
        <v>0</v>
      </c>
      <c r="G240" s="109">
        <f t="shared" si="73"/>
        <v>0</v>
      </c>
      <c r="H240" s="109"/>
      <c r="I240" s="109"/>
      <c r="J240" s="109"/>
      <c r="K240" s="109"/>
      <c r="L240" s="109"/>
      <c r="M240" s="109"/>
      <c r="N240" s="109"/>
      <c r="O240" s="109"/>
      <c r="P240" s="109"/>
    </row>
    <row r="241" spans="2:16">
      <c r="B241" s="83" t="str">
        <f t="shared" si="67"/>
        <v>400G ER4</v>
      </c>
      <c r="C241" s="84" t="str">
        <f t="shared" si="67"/>
        <v>40 km</v>
      </c>
      <c r="D241" s="85" t="str">
        <f t="shared" si="67"/>
        <v>TBD</v>
      </c>
      <c r="E241" s="109">
        <f t="shared" si="73"/>
        <v>0</v>
      </c>
      <c r="F241" s="109">
        <f t="shared" si="73"/>
        <v>0</v>
      </c>
      <c r="G241" s="109">
        <f t="shared" si="73"/>
        <v>0</v>
      </c>
      <c r="H241" s="109"/>
      <c r="I241" s="109"/>
      <c r="J241" s="109"/>
      <c r="K241" s="109"/>
      <c r="L241" s="109"/>
      <c r="M241" s="109"/>
      <c r="N241" s="109"/>
      <c r="O241" s="109"/>
      <c r="P241" s="109"/>
    </row>
    <row r="242" spans="2:16" s="92" customFormat="1">
      <c r="B242" s="87" t="str">
        <f t="shared" si="67"/>
        <v>800G SR8</v>
      </c>
      <c r="C242" s="88" t="str">
        <f t="shared" si="67"/>
        <v>50 m</v>
      </c>
      <c r="D242" s="89" t="str">
        <f t="shared" si="67"/>
        <v>OSFP, QSFP-DD800</v>
      </c>
      <c r="E242" s="110">
        <f t="shared" ref="E242:G242" si="74">IF(E72=0,,E72*E157/10^6)</f>
        <v>0</v>
      </c>
      <c r="F242" s="110">
        <f t="shared" si="74"/>
        <v>0</v>
      </c>
      <c r="G242" s="110">
        <f t="shared" si="74"/>
        <v>0</v>
      </c>
      <c r="H242" s="110"/>
      <c r="I242" s="110"/>
      <c r="J242" s="110"/>
      <c r="K242" s="110"/>
      <c r="L242" s="110"/>
      <c r="M242" s="110"/>
      <c r="N242" s="110"/>
      <c r="O242" s="110"/>
      <c r="P242" s="110"/>
    </row>
    <row r="243" spans="2:16" s="92" customFormat="1">
      <c r="B243" s="87" t="str">
        <f t="shared" si="67"/>
        <v>800G DR8, DR4</v>
      </c>
      <c r="C243" s="88" t="str">
        <f t="shared" si="67"/>
        <v>500 m</v>
      </c>
      <c r="D243" s="89" t="str">
        <f t="shared" si="67"/>
        <v>OSFP, QSFP-DD800</v>
      </c>
      <c r="E243" s="110">
        <f t="shared" ref="E243:G243" si="75">IF(E73=0,,E73*E158/10^6)</f>
        <v>0</v>
      </c>
      <c r="F243" s="110">
        <f t="shared" si="75"/>
        <v>0</v>
      </c>
      <c r="G243" s="110">
        <f t="shared" si="75"/>
        <v>0</v>
      </c>
      <c r="H243" s="110"/>
      <c r="I243" s="110"/>
      <c r="J243" s="110"/>
      <c r="K243" s="110"/>
      <c r="L243" s="110"/>
      <c r="M243" s="110"/>
      <c r="N243" s="110"/>
      <c r="O243" s="110"/>
      <c r="P243" s="110"/>
    </row>
    <row r="244" spans="2:16" s="92" customFormat="1">
      <c r="B244" s="87" t="str">
        <f t="shared" si="67"/>
        <v>2x(400G FR4), 800G FR4</v>
      </c>
      <c r="C244" s="88" t="str">
        <f t="shared" si="67"/>
        <v>2 km</v>
      </c>
      <c r="D244" s="89" t="str">
        <f t="shared" si="67"/>
        <v>OSFP, QSFP-DD800</v>
      </c>
      <c r="E244" s="110">
        <f t="shared" ref="E244:G244" si="76">IF(E74=0,,E74*E159/10^6)</f>
        <v>0</v>
      </c>
      <c r="F244" s="110">
        <f t="shared" si="76"/>
        <v>0</v>
      </c>
      <c r="G244" s="110">
        <f t="shared" si="76"/>
        <v>0</v>
      </c>
      <c r="H244" s="110"/>
      <c r="I244" s="110"/>
      <c r="J244" s="110"/>
      <c r="K244" s="110"/>
      <c r="L244" s="110"/>
      <c r="M244" s="110"/>
      <c r="N244" s="110"/>
      <c r="O244" s="110"/>
      <c r="P244" s="110"/>
    </row>
    <row r="245" spans="2:16" s="92" customFormat="1">
      <c r="B245" s="87" t="str">
        <f t="shared" ref="B245:D257" si="77">B75</f>
        <v>800G LR8, LR4</v>
      </c>
      <c r="C245" s="88" t="str">
        <f t="shared" si="77"/>
        <v>6, 10 km</v>
      </c>
      <c r="D245" s="89" t="str">
        <f t="shared" si="77"/>
        <v>TBD</v>
      </c>
      <c r="E245" s="110">
        <f t="shared" ref="E245:G245" si="78">IF(E75=0,,E75*E160/10^6)</f>
        <v>0</v>
      </c>
      <c r="F245" s="110">
        <f t="shared" si="78"/>
        <v>0</v>
      </c>
      <c r="G245" s="110">
        <f t="shared" si="78"/>
        <v>0</v>
      </c>
      <c r="H245" s="110"/>
      <c r="I245" s="110"/>
      <c r="J245" s="110"/>
      <c r="K245" s="110"/>
      <c r="L245" s="110"/>
      <c r="M245" s="110"/>
      <c r="N245" s="110"/>
      <c r="O245" s="110"/>
      <c r="P245" s="110"/>
    </row>
    <row r="246" spans="2:16" s="92" customFormat="1">
      <c r="B246" s="87" t="str">
        <f t="shared" si="77"/>
        <v>800G ZRlite</v>
      </c>
      <c r="C246" s="88" t="str">
        <f t="shared" si="77"/>
        <v>10 km, 20 km</v>
      </c>
      <c r="D246" s="89" t="str">
        <f t="shared" si="77"/>
        <v>TBD</v>
      </c>
      <c r="E246" s="110">
        <f t="shared" ref="E246:G246" si="79">IF(E76=0,,E76*E161/10^6)</f>
        <v>0</v>
      </c>
      <c r="F246" s="110">
        <f t="shared" si="79"/>
        <v>0</v>
      </c>
      <c r="G246" s="110">
        <f t="shared" si="79"/>
        <v>0</v>
      </c>
      <c r="H246" s="110"/>
      <c r="I246" s="110"/>
      <c r="J246" s="110"/>
      <c r="K246" s="110"/>
      <c r="L246" s="110"/>
      <c r="M246" s="110"/>
      <c r="N246" s="110"/>
      <c r="O246" s="110"/>
      <c r="P246" s="110"/>
    </row>
    <row r="247" spans="2:16" s="92" customFormat="1">
      <c r="B247" s="83" t="str">
        <f t="shared" si="77"/>
        <v>800G ER4</v>
      </c>
      <c r="C247" s="84" t="str">
        <f t="shared" si="77"/>
        <v>40 km</v>
      </c>
      <c r="D247" s="85" t="str">
        <f t="shared" si="77"/>
        <v>TBD</v>
      </c>
      <c r="E247" s="109">
        <f t="shared" ref="E247:G247" si="80">IF(E77=0,,E77*E162/10^6)</f>
        <v>0</v>
      </c>
      <c r="F247" s="109">
        <f t="shared" si="80"/>
        <v>0</v>
      </c>
      <c r="G247" s="109">
        <f t="shared" si="80"/>
        <v>0</v>
      </c>
      <c r="H247" s="109"/>
      <c r="I247" s="109"/>
      <c r="J247" s="109"/>
      <c r="K247" s="109"/>
      <c r="L247" s="109"/>
      <c r="M247" s="109"/>
      <c r="N247" s="109"/>
      <c r="O247" s="109"/>
      <c r="P247" s="109"/>
    </row>
    <row r="248" spans="2:16" s="92" customFormat="1">
      <c r="B248" s="87" t="str">
        <f t="shared" si="77"/>
        <v>1.6T SR16</v>
      </c>
      <c r="C248" s="88" t="str">
        <f t="shared" si="77"/>
        <v>100 m</v>
      </c>
      <c r="D248" s="89" t="str">
        <f t="shared" si="77"/>
        <v>OSFP-XD and TBD</v>
      </c>
      <c r="E248" s="110">
        <f t="shared" ref="E248:G248" si="81">IF(E78=0,,E78*E163/10^6)</f>
        <v>0</v>
      </c>
      <c r="F248" s="110">
        <f t="shared" si="81"/>
        <v>0</v>
      </c>
      <c r="G248" s="110">
        <f t="shared" si="81"/>
        <v>0</v>
      </c>
      <c r="H248" s="110"/>
      <c r="I248" s="110"/>
      <c r="J248" s="110"/>
      <c r="K248" s="110"/>
      <c r="L248" s="110"/>
      <c r="M248" s="110"/>
      <c r="N248" s="110"/>
      <c r="O248" s="110"/>
      <c r="P248" s="110"/>
    </row>
    <row r="249" spans="2:16" s="92" customFormat="1">
      <c r="B249" s="87" t="str">
        <f t="shared" si="77"/>
        <v>1.6T DR8</v>
      </c>
      <c r="C249" s="88" t="str">
        <f t="shared" si="77"/>
        <v>500 m</v>
      </c>
      <c r="D249" s="89" t="str">
        <f t="shared" si="77"/>
        <v>OSFP-XD and TBD</v>
      </c>
      <c r="E249" s="110">
        <f t="shared" ref="E249:G249" si="82">IF(E79=0,,E79*E164/10^6)</f>
        <v>0</v>
      </c>
      <c r="F249" s="110">
        <f t="shared" si="82"/>
        <v>0</v>
      </c>
      <c r="G249" s="110">
        <f t="shared" si="82"/>
        <v>0</v>
      </c>
      <c r="H249" s="110"/>
      <c r="I249" s="110"/>
      <c r="J249" s="110"/>
      <c r="K249" s="110"/>
      <c r="L249" s="110"/>
      <c r="M249" s="110"/>
      <c r="N249" s="110"/>
      <c r="O249" s="110"/>
      <c r="P249" s="110"/>
    </row>
    <row r="250" spans="2:16" s="92" customFormat="1">
      <c r="B250" s="87" t="str">
        <f t="shared" si="77"/>
        <v>1.6T FR8</v>
      </c>
      <c r="C250" s="88" t="str">
        <f t="shared" si="77"/>
        <v>2 km</v>
      </c>
      <c r="D250" s="89" t="str">
        <f t="shared" si="77"/>
        <v>OSFP-XD and TBD</v>
      </c>
      <c r="E250" s="110">
        <f t="shared" ref="E250:G250" si="83">IF(E80=0,,E80*E165/10^6)</f>
        <v>0</v>
      </c>
      <c r="F250" s="110">
        <f t="shared" si="83"/>
        <v>0</v>
      </c>
      <c r="G250" s="110">
        <f t="shared" si="83"/>
        <v>0</v>
      </c>
      <c r="H250" s="110"/>
      <c r="I250" s="110"/>
      <c r="J250" s="110"/>
      <c r="K250" s="110"/>
      <c r="L250" s="110"/>
      <c r="M250" s="110"/>
      <c r="N250" s="110"/>
      <c r="O250" s="110"/>
      <c r="P250" s="110"/>
    </row>
    <row r="251" spans="2:16" s="92" customFormat="1">
      <c r="B251" s="87" t="str">
        <f t="shared" si="77"/>
        <v>1.6T LR8</v>
      </c>
      <c r="C251" s="88" t="str">
        <f t="shared" si="77"/>
        <v>10 km</v>
      </c>
      <c r="D251" s="89" t="str">
        <f t="shared" si="77"/>
        <v>OSFP-XD and TBD</v>
      </c>
      <c r="E251" s="110">
        <f t="shared" ref="E251:G251" si="84">IF(E81=0,,E81*E166/10^6)</f>
        <v>0</v>
      </c>
      <c r="F251" s="110">
        <f t="shared" si="84"/>
        <v>0</v>
      </c>
      <c r="G251" s="110">
        <f t="shared" si="84"/>
        <v>0</v>
      </c>
      <c r="H251" s="110"/>
      <c r="I251" s="110"/>
      <c r="J251" s="110"/>
      <c r="K251" s="110"/>
      <c r="L251" s="110"/>
      <c r="M251" s="110"/>
      <c r="N251" s="110"/>
      <c r="O251" s="110"/>
      <c r="P251" s="110"/>
    </row>
    <row r="252" spans="2:16" s="92" customFormat="1">
      <c r="B252" s="83" t="str">
        <f t="shared" si="77"/>
        <v>1.6T ER8</v>
      </c>
      <c r="C252" s="84" t="str">
        <f t="shared" si="77"/>
        <v>&gt;10 km</v>
      </c>
      <c r="D252" s="85" t="str">
        <f t="shared" si="77"/>
        <v>OSFP-XD and TBD</v>
      </c>
      <c r="E252" s="109">
        <f t="shared" ref="E252:G252" si="85">IF(E82=0,,E82*E167/10^6)</f>
        <v>0</v>
      </c>
      <c r="F252" s="109">
        <f t="shared" si="85"/>
        <v>0</v>
      </c>
      <c r="G252" s="109">
        <f t="shared" si="85"/>
        <v>0</v>
      </c>
      <c r="H252" s="109"/>
      <c r="I252" s="109"/>
      <c r="J252" s="109"/>
      <c r="K252" s="109"/>
      <c r="L252" s="109"/>
      <c r="M252" s="109"/>
      <c r="N252" s="109"/>
      <c r="O252" s="109"/>
      <c r="P252" s="109"/>
    </row>
    <row r="253" spans="2:16" s="92" customFormat="1">
      <c r="B253" s="87" t="str">
        <f t="shared" si="77"/>
        <v>3.2T SR</v>
      </c>
      <c r="C253" s="88" t="str">
        <f t="shared" si="77"/>
        <v>100 m</v>
      </c>
      <c r="D253" s="89" t="str">
        <f t="shared" si="77"/>
        <v>OSFP-XD and TBD</v>
      </c>
      <c r="E253" s="110">
        <f t="shared" ref="E253:G253" si="86">IF(E83=0,,E83*E168/10^6)</f>
        <v>0</v>
      </c>
      <c r="F253" s="110">
        <f t="shared" si="86"/>
        <v>0</v>
      </c>
      <c r="G253" s="110">
        <f t="shared" si="86"/>
        <v>0</v>
      </c>
      <c r="H253" s="110"/>
      <c r="I253" s="110"/>
      <c r="J253" s="110"/>
      <c r="K253" s="110"/>
      <c r="L253" s="110"/>
      <c r="M253" s="110"/>
      <c r="N253" s="110"/>
      <c r="O253" s="110"/>
      <c r="P253" s="110"/>
    </row>
    <row r="254" spans="2:16" s="92" customFormat="1">
      <c r="B254" s="87" t="str">
        <f t="shared" si="77"/>
        <v>3.2T DR</v>
      </c>
      <c r="C254" s="88" t="str">
        <f t="shared" si="77"/>
        <v>500 m</v>
      </c>
      <c r="D254" s="89" t="str">
        <f t="shared" si="77"/>
        <v>OSFP-XD and TBD</v>
      </c>
      <c r="E254" s="110">
        <f t="shared" ref="E254:G254" si="87">IF(E84=0,,E84*E169/10^6)</f>
        <v>0</v>
      </c>
      <c r="F254" s="110">
        <f t="shared" si="87"/>
        <v>0</v>
      </c>
      <c r="G254" s="110">
        <f t="shared" si="87"/>
        <v>0</v>
      </c>
      <c r="H254" s="110"/>
      <c r="I254" s="110"/>
      <c r="J254" s="110"/>
      <c r="K254" s="110"/>
      <c r="L254" s="110"/>
      <c r="M254" s="110"/>
      <c r="N254" s="110"/>
      <c r="O254" s="110"/>
      <c r="P254" s="110"/>
    </row>
    <row r="255" spans="2:16" s="92" customFormat="1">
      <c r="B255" s="87" t="str">
        <f t="shared" si="77"/>
        <v>3.2T FR</v>
      </c>
      <c r="C255" s="88" t="str">
        <f t="shared" si="77"/>
        <v>2 km</v>
      </c>
      <c r="D255" s="89" t="str">
        <f t="shared" si="77"/>
        <v>OSFP-XD and TBD</v>
      </c>
      <c r="E255" s="110">
        <f t="shared" ref="E255:G255" si="88">IF(E85=0,,E85*E170/10^6)</f>
        <v>0</v>
      </c>
      <c r="F255" s="110">
        <f t="shared" si="88"/>
        <v>0</v>
      </c>
      <c r="G255" s="110">
        <f t="shared" si="88"/>
        <v>0</v>
      </c>
      <c r="H255" s="110"/>
      <c r="I255" s="110"/>
      <c r="J255" s="110"/>
      <c r="K255" s="110"/>
      <c r="L255" s="110"/>
      <c r="M255" s="110"/>
      <c r="N255" s="110"/>
      <c r="O255" s="110"/>
      <c r="P255" s="110"/>
    </row>
    <row r="256" spans="2:16" s="92" customFormat="1">
      <c r="B256" s="87" t="str">
        <f t="shared" si="77"/>
        <v>3.2T LR</v>
      </c>
      <c r="C256" s="88" t="str">
        <f t="shared" si="77"/>
        <v>10 km</v>
      </c>
      <c r="D256" s="89" t="str">
        <f t="shared" si="77"/>
        <v>OSFP-XD and TBD</v>
      </c>
      <c r="E256" s="110">
        <f t="shared" ref="E256:G256" si="89">IF(E86=0,,E86*E171/10^6)</f>
        <v>0</v>
      </c>
      <c r="F256" s="110">
        <f t="shared" si="89"/>
        <v>0</v>
      </c>
      <c r="G256" s="110">
        <f t="shared" si="89"/>
        <v>0</v>
      </c>
      <c r="H256" s="110"/>
      <c r="I256" s="110"/>
      <c r="J256" s="110"/>
      <c r="K256" s="110"/>
      <c r="L256" s="110"/>
      <c r="M256" s="110"/>
      <c r="N256" s="110"/>
      <c r="O256" s="110"/>
      <c r="P256" s="110"/>
    </row>
    <row r="257" spans="2:16" s="92" customFormat="1">
      <c r="B257" s="87" t="str">
        <f t="shared" si="77"/>
        <v>3.2T ER</v>
      </c>
      <c r="C257" s="88" t="str">
        <f t="shared" si="77"/>
        <v>&gt;10 km</v>
      </c>
      <c r="D257" s="89" t="str">
        <f t="shared" si="77"/>
        <v>OSFP-XD and TBD</v>
      </c>
      <c r="E257" s="110">
        <f t="shared" ref="E257:G257" si="90">IF(E87=0,,E87*E172/10^6)</f>
        <v>0</v>
      </c>
      <c r="F257" s="110">
        <f t="shared" si="90"/>
        <v>0</v>
      </c>
      <c r="G257" s="110">
        <f t="shared" si="90"/>
        <v>0</v>
      </c>
      <c r="H257" s="110"/>
      <c r="I257" s="110"/>
      <c r="J257" s="110"/>
      <c r="K257" s="110"/>
      <c r="L257" s="110"/>
      <c r="M257" s="110"/>
      <c r="N257" s="110"/>
      <c r="O257" s="110"/>
      <c r="P257" s="110"/>
    </row>
    <row r="258" spans="2:16" s="92" customFormat="1">
      <c r="B258" s="87"/>
      <c r="C258" s="88"/>
      <c r="D258" s="89"/>
      <c r="E258" s="110"/>
      <c r="F258" s="110"/>
      <c r="G258" s="110"/>
      <c r="H258" s="110"/>
      <c r="I258" s="110"/>
      <c r="J258" s="110"/>
      <c r="K258" s="110"/>
      <c r="L258" s="110"/>
      <c r="M258" s="110"/>
      <c r="N258" s="110"/>
      <c r="O258" s="110"/>
      <c r="P258" s="110"/>
    </row>
    <row r="259" spans="2:16">
      <c r="B259" s="45" t="s">
        <v>20</v>
      </c>
      <c r="C259" s="46"/>
      <c r="D259" s="47"/>
      <c r="E259" s="102">
        <f t="shared" ref="E259:G259" si="91">SUM(E179:E258)</f>
        <v>598.77204776909878</v>
      </c>
      <c r="F259" s="102">
        <f t="shared" si="91"/>
        <v>583.36292043779542</v>
      </c>
      <c r="G259" s="102">
        <f t="shared" si="91"/>
        <v>587.66314114080285</v>
      </c>
      <c r="H259" s="102"/>
      <c r="I259" s="102"/>
      <c r="J259" s="102"/>
      <c r="K259" s="102"/>
      <c r="L259" s="102"/>
      <c r="M259" s="102"/>
      <c r="N259" s="102"/>
      <c r="O259" s="102"/>
      <c r="P259" s="102"/>
    </row>
    <row r="260" spans="2:16">
      <c r="D260" s="98"/>
      <c r="E260" s="99"/>
      <c r="F260" s="99"/>
      <c r="G260" s="99"/>
      <c r="H260" s="99"/>
      <c r="I260" s="99"/>
      <c r="J260" s="99"/>
      <c r="K260" s="99"/>
      <c r="L260" s="99"/>
      <c r="M260" s="99"/>
      <c r="N260" s="99"/>
      <c r="O260" s="99"/>
      <c r="P260" s="99"/>
    </row>
  </sheetData>
  <conditionalFormatting sqref="E260:M260 E90:M90">
    <cfRule type="cellIs" dxfId="3" priority="9" operator="lessThan">
      <formula>0</formula>
    </cfRule>
    <cfRule type="cellIs" dxfId="2" priority="10" operator="greaterThan">
      <formula>0</formula>
    </cfRule>
  </conditionalFormatting>
  <conditionalFormatting sqref="N260:P260 N90:P90">
    <cfRule type="cellIs" dxfId="1" priority="1" operator="lessThan">
      <formula>0</formula>
    </cfRule>
    <cfRule type="cellIs" dxfId="0" priority="2" operator="greaterThan">
      <formula>0</formula>
    </cfRule>
  </conditionalFormatting>
  <pageMargins left="0.7" right="0.7" top="0.75" bottom="0.75" header="0.3" footer="0.3"/>
  <pageSetup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T259"/>
  <sheetViews>
    <sheetView showGridLines="0" zoomScale="70" zoomScaleNormal="70" zoomScalePageLayoutView="70" workbookViewId="0">
      <pane xSplit="4" ySplit="6" topLeftCell="E7" activePane="bottomRight" state="frozen"/>
      <selection activeCell="H67" sqref="H67"/>
      <selection pane="topRight" activeCell="H67" sqref="H67"/>
      <selection pane="bottomLeft" activeCell="H67" sqref="H67"/>
      <selection pane="bottomRight"/>
    </sheetView>
  </sheetViews>
  <sheetFormatPr defaultColWidth="8.77734375" defaultRowHeight="13.8"/>
  <cols>
    <col min="1" max="1" width="4.44140625" style="74" customWidth="1"/>
    <col min="2" max="2" width="20.6640625" style="74" customWidth="1"/>
    <col min="3" max="3" width="12.44140625" style="74" customWidth="1"/>
    <col min="4" max="4" width="17.21875" style="74" customWidth="1"/>
    <col min="5" max="6" width="13.44140625" style="74" bestFit="1" customWidth="1"/>
    <col min="7" max="16" width="12" style="74" customWidth="1"/>
    <col min="17" max="17" width="10.77734375" style="74" bestFit="1" customWidth="1"/>
    <col min="18" max="22" width="8.77734375" style="74"/>
    <col min="23" max="30" width="10.44140625" style="74" customWidth="1"/>
    <col min="31" max="16384" width="8.77734375" style="74"/>
  </cols>
  <sheetData>
    <row r="2" spans="1:20" ht="23.4">
      <c r="B2" s="6" t="str">
        <f>Introduction!$B$2</f>
        <v>LightCounting Ethernet Transceivers Forecast</v>
      </c>
      <c r="C2" s="56"/>
      <c r="D2" s="56"/>
      <c r="S2" s="12"/>
      <c r="T2" s="12"/>
    </row>
    <row r="3" spans="1:20" ht="15.6">
      <c r="B3" s="37" t="str">
        <f>Introduction!$B$3</f>
        <v>March 2022 - sample spreadsheet</v>
      </c>
    </row>
    <row r="4" spans="1:20" ht="18">
      <c r="B4" s="6" t="s">
        <v>153</v>
      </c>
      <c r="C4" s="56"/>
      <c r="D4" s="56"/>
      <c r="E4" s="76"/>
      <c r="F4" s="76"/>
      <c r="G4" s="76"/>
      <c r="H4" s="76"/>
      <c r="I4" s="76"/>
      <c r="J4" s="76"/>
      <c r="K4" s="76"/>
      <c r="L4" s="76"/>
      <c r="M4" s="76"/>
      <c r="N4" s="76"/>
      <c r="O4" s="76"/>
      <c r="P4" s="76"/>
    </row>
    <row r="5" spans="1:20" ht="14.4">
      <c r="B5" s="75"/>
    </row>
    <row r="6" spans="1:20">
      <c r="B6" s="254" t="s">
        <v>32</v>
      </c>
      <c r="C6" s="255" t="s">
        <v>31</v>
      </c>
      <c r="D6" s="256" t="s">
        <v>33</v>
      </c>
      <c r="E6" s="156">
        <v>2016</v>
      </c>
      <c r="F6" s="156">
        <v>2017</v>
      </c>
      <c r="G6" s="156">
        <v>2018</v>
      </c>
      <c r="H6" s="156">
        <v>2019</v>
      </c>
      <c r="I6" s="156">
        <v>2020</v>
      </c>
      <c r="J6" s="156">
        <v>2021</v>
      </c>
      <c r="K6" s="156">
        <v>2022</v>
      </c>
      <c r="L6" s="156">
        <v>2023</v>
      </c>
      <c r="M6" s="156">
        <v>2024</v>
      </c>
      <c r="N6" s="156">
        <v>2025</v>
      </c>
      <c r="O6" s="156">
        <v>2026</v>
      </c>
      <c r="P6" s="156">
        <v>2027</v>
      </c>
    </row>
    <row r="7" spans="1:20" ht="21">
      <c r="B7" s="14" t="s">
        <v>18</v>
      </c>
      <c r="E7" s="260" t="s">
        <v>17</v>
      </c>
    </row>
    <row r="8" spans="1:20">
      <c r="B8" s="359" t="s">
        <v>32</v>
      </c>
      <c r="C8" s="360" t="s">
        <v>31</v>
      </c>
      <c r="D8" s="360" t="s">
        <v>33</v>
      </c>
      <c r="E8" s="265">
        <v>2016</v>
      </c>
      <c r="F8" s="265">
        <v>2017</v>
      </c>
      <c r="G8" s="265">
        <v>2018</v>
      </c>
      <c r="H8" s="265">
        <v>2019</v>
      </c>
      <c r="I8" s="265">
        <v>2020</v>
      </c>
      <c r="J8" s="265">
        <v>2021</v>
      </c>
      <c r="K8" s="265">
        <v>2022</v>
      </c>
      <c r="L8" s="265">
        <v>2023</v>
      </c>
      <c r="M8" s="265">
        <v>2024</v>
      </c>
      <c r="N8" s="265">
        <v>2025</v>
      </c>
      <c r="O8" s="265">
        <v>2026</v>
      </c>
      <c r="P8" s="265">
        <v>2027</v>
      </c>
    </row>
    <row r="9" spans="1:20">
      <c r="A9" s="44" t="str">
        <f t="shared" ref="A9:A40" si="0">A179</f>
        <v>MMF</v>
      </c>
      <c r="B9" s="79" t="str">
        <f>Products!B36</f>
        <v>1G</v>
      </c>
      <c r="C9" s="80" t="str">
        <f>Products!C36</f>
        <v>500 m</v>
      </c>
      <c r="D9" s="81" t="str">
        <f>Products!D36</f>
        <v>SFP</v>
      </c>
      <c r="E9" s="82">
        <v>0</v>
      </c>
      <c r="F9" s="82">
        <v>0</v>
      </c>
      <c r="G9" s="82">
        <v>0</v>
      </c>
      <c r="H9" s="82"/>
      <c r="I9" s="82"/>
      <c r="J9" s="82"/>
      <c r="K9" s="82"/>
      <c r="L9" s="82"/>
      <c r="M9" s="82"/>
      <c r="N9" s="82"/>
      <c r="O9" s="82"/>
      <c r="P9" s="82"/>
    </row>
    <row r="10" spans="1:20">
      <c r="A10" s="210" t="str">
        <f t="shared" si="0"/>
        <v>SMF</v>
      </c>
      <c r="B10" s="87" t="str">
        <f>Products!B37</f>
        <v>1G</v>
      </c>
      <c r="C10" s="88" t="str">
        <f>Products!C37</f>
        <v>10 km</v>
      </c>
      <c r="D10" s="89" t="str">
        <f>Products!D37</f>
        <v>SFP</v>
      </c>
      <c r="E10" s="90">
        <v>419674.79400000005</v>
      </c>
      <c r="F10" s="90">
        <v>256486.04</v>
      </c>
      <c r="G10" s="90">
        <v>235351.83</v>
      </c>
      <c r="H10" s="90"/>
      <c r="I10" s="90"/>
      <c r="J10" s="90"/>
      <c r="K10" s="90"/>
      <c r="L10" s="90"/>
      <c r="M10" s="90"/>
      <c r="N10" s="90"/>
      <c r="O10" s="90"/>
      <c r="P10" s="90"/>
    </row>
    <row r="11" spans="1:20">
      <c r="A11" s="210" t="str">
        <f t="shared" si="0"/>
        <v>SMF</v>
      </c>
      <c r="B11" s="87" t="str">
        <f>Products!B38</f>
        <v>1G</v>
      </c>
      <c r="C11" s="88" t="str">
        <f>Products!C38</f>
        <v>40 km</v>
      </c>
      <c r="D11" s="89" t="str">
        <f>Products!D38</f>
        <v>SFP</v>
      </c>
      <c r="E11" s="90">
        <v>0</v>
      </c>
      <c r="F11" s="90">
        <v>0</v>
      </c>
      <c r="G11" s="90">
        <v>0</v>
      </c>
      <c r="H11" s="90"/>
      <c r="I11" s="90"/>
      <c r="J11" s="90"/>
      <c r="K11" s="90"/>
      <c r="L11" s="90"/>
      <c r="M11" s="90"/>
      <c r="N11" s="90"/>
      <c r="O11" s="90"/>
      <c r="P11" s="90"/>
    </row>
    <row r="12" spans="1:20">
      <c r="A12" s="210" t="str">
        <f t="shared" si="0"/>
        <v>SMF</v>
      </c>
      <c r="B12" s="87" t="str">
        <f>Products!B39</f>
        <v>1G</v>
      </c>
      <c r="C12" s="88" t="str">
        <f>Products!C39</f>
        <v>80 km</v>
      </c>
      <c r="D12" s="89" t="str">
        <f>Products!D39</f>
        <v>SFP</v>
      </c>
      <c r="E12" s="90">
        <v>0</v>
      </c>
      <c r="F12" s="90">
        <v>0</v>
      </c>
      <c r="G12" s="90">
        <v>0</v>
      </c>
      <c r="H12" s="90"/>
      <c r="I12" s="90"/>
      <c r="J12" s="90"/>
      <c r="K12" s="90"/>
      <c r="L12" s="90"/>
      <c r="M12" s="90"/>
      <c r="N12" s="90"/>
      <c r="O12" s="90"/>
      <c r="P12" s="90"/>
    </row>
    <row r="13" spans="1:20">
      <c r="A13" s="210" t="str">
        <f t="shared" si="0"/>
        <v>Mix</v>
      </c>
      <c r="B13" s="83" t="str">
        <f>Products!B40</f>
        <v>1G &amp; Fast Ethernet</v>
      </c>
      <c r="C13" s="84" t="str">
        <f>Products!C40</f>
        <v>Various</v>
      </c>
      <c r="D13" s="85" t="str">
        <f>Products!D40</f>
        <v>Legacy/discontinued</v>
      </c>
      <c r="E13" s="691">
        <v>0</v>
      </c>
      <c r="F13" s="86">
        <v>0</v>
      </c>
      <c r="G13" s="86">
        <v>0</v>
      </c>
      <c r="H13" s="86"/>
      <c r="I13" s="86"/>
      <c r="J13" s="86"/>
      <c r="K13" s="86"/>
      <c r="L13" s="86"/>
      <c r="M13" s="86"/>
      <c r="N13" s="86"/>
      <c r="O13" s="86"/>
      <c r="P13" s="86"/>
    </row>
    <row r="14" spans="1:20">
      <c r="A14" s="44" t="str">
        <f t="shared" si="0"/>
        <v>MMF</v>
      </c>
      <c r="B14" s="87" t="str">
        <f>Products!B41</f>
        <v>10G</v>
      </c>
      <c r="C14" s="88" t="str">
        <f>Products!C41</f>
        <v>300 m</v>
      </c>
      <c r="D14" s="88" t="str">
        <f>Products!D41</f>
        <v>XFP</v>
      </c>
      <c r="E14" s="90">
        <v>0</v>
      </c>
      <c r="F14" s="90">
        <v>0</v>
      </c>
      <c r="G14" s="90">
        <v>0</v>
      </c>
      <c r="H14" s="90"/>
      <c r="I14" s="90"/>
      <c r="J14" s="90"/>
      <c r="K14" s="90"/>
      <c r="L14" s="90"/>
      <c r="M14" s="90"/>
      <c r="N14" s="90"/>
      <c r="O14" s="90"/>
      <c r="P14" s="90"/>
    </row>
    <row r="15" spans="1:20">
      <c r="A15" s="44" t="str">
        <f t="shared" si="0"/>
        <v>MMF</v>
      </c>
      <c r="B15" s="87" t="str">
        <f>Products!B42</f>
        <v>10G</v>
      </c>
      <c r="C15" s="88" t="str">
        <f>Products!C42</f>
        <v>300 m</v>
      </c>
      <c r="D15" s="88" t="str">
        <f>Products!D42</f>
        <v>SFP+</v>
      </c>
      <c r="E15" s="90">
        <v>5403152.7633599993</v>
      </c>
      <c r="F15" s="90">
        <v>5767016.8237702157</v>
      </c>
      <c r="G15" s="90">
        <v>6751063.0158183537</v>
      </c>
      <c r="H15" s="90"/>
      <c r="I15" s="90"/>
      <c r="J15" s="90"/>
      <c r="K15" s="90"/>
      <c r="L15" s="90"/>
      <c r="M15" s="90"/>
      <c r="N15" s="90"/>
      <c r="O15" s="90"/>
      <c r="P15" s="90"/>
    </row>
    <row r="16" spans="1:20">
      <c r="A16" s="44" t="str">
        <f t="shared" si="0"/>
        <v>MMF</v>
      </c>
      <c r="B16" s="87" t="str">
        <f>Products!B43</f>
        <v>10G LRM</v>
      </c>
      <c r="C16" s="88" t="str">
        <f>Products!C43</f>
        <v>220 m</v>
      </c>
      <c r="D16" s="88" t="str">
        <f>Products!D43</f>
        <v>SFP+</v>
      </c>
      <c r="E16" s="90">
        <v>0</v>
      </c>
      <c r="F16" s="90">
        <v>0</v>
      </c>
      <c r="G16" s="90">
        <v>0</v>
      </c>
      <c r="H16" s="90"/>
      <c r="I16" s="90"/>
      <c r="J16" s="90"/>
      <c r="K16" s="90"/>
      <c r="L16" s="90"/>
      <c r="M16" s="90"/>
      <c r="N16" s="90"/>
      <c r="O16" s="90"/>
      <c r="P16" s="90"/>
    </row>
    <row r="17" spans="1:16">
      <c r="A17" s="210" t="str">
        <f t="shared" si="0"/>
        <v>SMF</v>
      </c>
      <c r="B17" s="87" t="str">
        <f>Products!B44</f>
        <v>10G</v>
      </c>
      <c r="C17" s="88" t="str">
        <f>Products!C44</f>
        <v>10 km</v>
      </c>
      <c r="D17" s="88" t="str">
        <f>Products!D44</f>
        <v>XFP</v>
      </c>
      <c r="E17" s="90">
        <v>0</v>
      </c>
      <c r="F17" s="90">
        <v>0</v>
      </c>
      <c r="G17" s="90">
        <v>0</v>
      </c>
      <c r="H17" s="90"/>
      <c r="I17" s="90"/>
      <c r="J17" s="90"/>
      <c r="K17" s="90"/>
      <c r="L17" s="90"/>
      <c r="M17" s="90"/>
      <c r="N17" s="90"/>
      <c r="O17" s="90"/>
      <c r="P17" s="90"/>
    </row>
    <row r="18" spans="1:16">
      <c r="A18" s="210" t="str">
        <f t="shared" si="0"/>
        <v>SMF</v>
      </c>
      <c r="B18" s="87" t="str">
        <f>Products!B45</f>
        <v>10G</v>
      </c>
      <c r="C18" s="88" t="str">
        <f>Products!C45</f>
        <v>10 km</v>
      </c>
      <c r="D18" s="88" t="str">
        <f>Products!D45</f>
        <v>SFP+</v>
      </c>
      <c r="E18" s="90">
        <v>1772437.4053598638</v>
      </c>
      <c r="F18" s="90">
        <v>1842359.4908892442</v>
      </c>
      <c r="G18" s="90">
        <v>1047105.9599999994</v>
      </c>
      <c r="H18" s="90"/>
      <c r="I18" s="90"/>
      <c r="J18" s="90"/>
      <c r="K18" s="90"/>
      <c r="L18" s="90"/>
      <c r="M18" s="90"/>
      <c r="N18" s="90"/>
      <c r="O18" s="90"/>
      <c r="P18" s="90"/>
    </row>
    <row r="19" spans="1:16">
      <c r="A19" s="210" t="str">
        <f t="shared" si="0"/>
        <v>SMF</v>
      </c>
      <c r="B19" s="87" t="str">
        <f>Products!B46</f>
        <v>10G</v>
      </c>
      <c r="C19" s="88" t="str">
        <f>Products!C46</f>
        <v>40 km</v>
      </c>
      <c r="D19" s="88" t="str">
        <f>Products!D46</f>
        <v>XFP</v>
      </c>
      <c r="E19" s="90">
        <v>30525.800000000003</v>
      </c>
      <c r="F19" s="90">
        <v>21446.800000000003</v>
      </c>
      <c r="G19" s="90">
        <v>31253.800000000003</v>
      </c>
      <c r="H19" s="90"/>
      <c r="I19" s="90"/>
      <c r="J19" s="90"/>
      <c r="K19" s="90"/>
      <c r="L19" s="90"/>
      <c r="M19" s="90"/>
      <c r="N19" s="90"/>
      <c r="O19" s="90"/>
      <c r="P19" s="90"/>
    </row>
    <row r="20" spans="1:16">
      <c r="A20" s="210" t="str">
        <f t="shared" si="0"/>
        <v>SMF</v>
      </c>
      <c r="B20" s="87" t="str">
        <f>Products!B47</f>
        <v>10G</v>
      </c>
      <c r="C20" s="88" t="str">
        <f>Products!C47</f>
        <v>40 km</v>
      </c>
      <c r="D20" s="88" t="str">
        <f>Products!D47</f>
        <v>SFP+</v>
      </c>
      <c r="E20" s="90">
        <v>25790.925000000003</v>
      </c>
      <c r="F20" s="90">
        <v>12915.93</v>
      </c>
      <c r="G20" s="90">
        <v>0</v>
      </c>
      <c r="H20" s="90"/>
      <c r="I20" s="90"/>
      <c r="J20" s="90"/>
      <c r="K20" s="90"/>
      <c r="L20" s="90"/>
      <c r="M20" s="90"/>
      <c r="N20" s="90"/>
      <c r="O20" s="90"/>
      <c r="P20" s="90"/>
    </row>
    <row r="21" spans="1:16">
      <c r="A21" s="210" t="str">
        <f t="shared" si="0"/>
        <v>SMF</v>
      </c>
      <c r="B21" s="87" t="str">
        <f>Products!B48</f>
        <v>10G</v>
      </c>
      <c r="C21" s="88" t="str">
        <f>Products!C48</f>
        <v>80 km</v>
      </c>
      <c r="D21" s="88" t="str">
        <f>Products!D48</f>
        <v>XFP</v>
      </c>
      <c r="E21" s="90">
        <v>0</v>
      </c>
      <c r="F21" s="90">
        <v>0</v>
      </c>
      <c r="G21" s="90">
        <v>0</v>
      </c>
      <c r="H21" s="90"/>
      <c r="I21" s="90"/>
      <c r="J21" s="90"/>
      <c r="K21" s="90"/>
      <c r="L21" s="90"/>
      <c r="M21" s="90"/>
      <c r="N21" s="90"/>
      <c r="O21" s="90"/>
      <c r="P21" s="90"/>
    </row>
    <row r="22" spans="1:16">
      <c r="A22" s="210" t="str">
        <f t="shared" si="0"/>
        <v>SMF</v>
      </c>
      <c r="B22" s="87" t="str">
        <f>Products!B49</f>
        <v>10G</v>
      </c>
      <c r="C22" s="88" t="str">
        <f>Products!C49</f>
        <v>80 km</v>
      </c>
      <c r="D22" s="88" t="str">
        <f>Products!D49</f>
        <v>SFP+</v>
      </c>
      <c r="E22" s="90">
        <v>0</v>
      </c>
      <c r="F22" s="90">
        <v>0</v>
      </c>
      <c r="G22" s="90">
        <v>0</v>
      </c>
      <c r="H22" s="90"/>
      <c r="I22" s="90"/>
      <c r="J22" s="90"/>
      <c r="K22" s="90"/>
      <c r="L22" s="90"/>
      <c r="M22" s="90"/>
      <c r="N22" s="90"/>
      <c r="O22" s="90"/>
      <c r="P22" s="90"/>
    </row>
    <row r="23" spans="1:16">
      <c r="A23" s="210" t="str">
        <f t="shared" si="0"/>
        <v>Mix</v>
      </c>
      <c r="B23" s="87" t="str">
        <f>Products!B50</f>
        <v>10G</v>
      </c>
      <c r="C23" s="88" t="str">
        <f>Products!C50</f>
        <v>Various</v>
      </c>
      <c r="D23" s="88" t="str">
        <f>Products!D50</f>
        <v>Legacy/discontinued</v>
      </c>
      <c r="E23" s="90">
        <v>0</v>
      </c>
      <c r="F23" s="90"/>
      <c r="G23" s="90"/>
      <c r="H23" s="90"/>
      <c r="I23" s="90"/>
      <c r="J23" s="90"/>
      <c r="K23" s="90"/>
      <c r="L23" s="90"/>
      <c r="M23" s="90"/>
      <c r="N23" s="90"/>
      <c r="O23" s="90"/>
      <c r="P23" s="90"/>
    </row>
    <row r="24" spans="1:16">
      <c r="A24" s="234" t="str">
        <f t="shared" si="0"/>
        <v>MMF</v>
      </c>
      <c r="B24" s="79" t="str">
        <f>Products!B51</f>
        <v>25G SR, eSR</v>
      </c>
      <c r="C24" s="80" t="str">
        <f>Products!C51</f>
        <v>100 - 300 m</v>
      </c>
      <c r="D24" s="81" t="str">
        <f>Products!D51</f>
        <v>SFP28</v>
      </c>
      <c r="E24" s="288">
        <v>0</v>
      </c>
      <c r="F24" s="288">
        <v>0</v>
      </c>
      <c r="G24" s="288">
        <v>0</v>
      </c>
      <c r="H24" s="288"/>
      <c r="I24" s="288"/>
      <c r="J24" s="288"/>
      <c r="K24" s="288"/>
      <c r="L24" s="288"/>
      <c r="M24" s="288"/>
      <c r="N24" s="288"/>
      <c r="O24" s="288"/>
      <c r="P24" s="288"/>
    </row>
    <row r="25" spans="1:16">
      <c r="A25" s="235" t="str">
        <f t="shared" si="0"/>
        <v>SMF</v>
      </c>
      <c r="B25" s="87" t="str">
        <f>Products!B52</f>
        <v>25G LR</v>
      </c>
      <c r="C25" s="88" t="str">
        <f>Products!C52</f>
        <v>10 km</v>
      </c>
      <c r="D25" s="89" t="str">
        <f>Products!D52</f>
        <v>SFP28</v>
      </c>
      <c r="E25" s="187">
        <v>0</v>
      </c>
      <c r="F25" s="187">
        <v>0</v>
      </c>
      <c r="G25" s="187">
        <v>0</v>
      </c>
      <c r="H25" s="187"/>
      <c r="I25" s="187"/>
      <c r="J25" s="187"/>
      <c r="K25" s="187"/>
      <c r="L25" s="187"/>
      <c r="M25" s="187"/>
      <c r="N25" s="187"/>
      <c r="O25" s="187"/>
      <c r="P25" s="187"/>
    </row>
    <row r="26" spans="1:16">
      <c r="A26" s="235" t="str">
        <f t="shared" si="0"/>
        <v>SMF</v>
      </c>
      <c r="B26" s="83" t="str">
        <f>Products!B53</f>
        <v>25G ER</v>
      </c>
      <c r="C26" s="84" t="str">
        <f>Products!C53</f>
        <v>40 km</v>
      </c>
      <c r="D26" s="85" t="str">
        <f>Products!D53</f>
        <v>SFP28</v>
      </c>
      <c r="E26" s="287">
        <v>0</v>
      </c>
      <c r="F26" s="287">
        <v>0</v>
      </c>
      <c r="G26" s="287">
        <v>0</v>
      </c>
      <c r="H26" s="287"/>
      <c r="I26" s="287"/>
      <c r="J26" s="287"/>
      <c r="K26" s="287"/>
      <c r="L26" s="287"/>
      <c r="M26" s="287"/>
      <c r="N26" s="287"/>
      <c r="O26" s="287"/>
      <c r="P26" s="287"/>
    </row>
    <row r="27" spans="1:16">
      <c r="A27" s="44" t="str">
        <f t="shared" si="0"/>
        <v>MMF</v>
      </c>
      <c r="B27" s="87" t="str">
        <f>Products!B54</f>
        <v>40G SR4</v>
      </c>
      <c r="C27" s="88" t="str">
        <f>Products!C54</f>
        <v>100 m</v>
      </c>
      <c r="D27" s="89" t="str">
        <f>Products!D54</f>
        <v>QSFP+</v>
      </c>
      <c r="E27" s="288">
        <v>543944.75</v>
      </c>
      <c r="F27" s="288">
        <v>674740.2</v>
      </c>
      <c r="G27" s="288">
        <v>816543.57499999995</v>
      </c>
      <c r="H27" s="288"/>
      <c r="I27" s="288"/>
      <c r="J27" s="288"/>
      <c r="K27" s="288"/>
      <c r="L27" s="288"/>
      <c r="M27" s="288"/>
      <c r="N27" s="288"/>
      <c r="O27" s="288"/>
      <c r="P27" s="288"/>
    </row>
    <row r="28" spans="1:16">
      <c r="A28" s="44" t="str">
        <f t="shared" si="0"/>
        <v>MMF</v>
      </c>
      <c r="B28" s="87" t="str">
        <f>Products!B55</f>
        <v>40G MM duplex</v>
      </c>
      <c r="C28" s="88" t="str">
        <f>Products!C55</f>
        <v>100 m</v>
      </c>
      <c r="D28" s="89" t="str">
        <f>Products!D55</f>
        <v>QSFP+</v>
      </c>
      <c r="E28" s="187">
        <v>0</v>
      </c>
      <c r="F28" s="187">
        <v>0</v>
      </c>
      <c r="G28" s="187">
        <v>0</v>
      </c>
      <c r="H28" s="187"/>
      <c r="I28" s="187"/>
      <c r="J28" s="187"/>
      <c r="K28" s="187"/>
      <c r="L28" s="187"/>
      <c r="M28" s="187"/>
      <c r="N28" s="187"/>
      <c r="O28" s="187"/>
      <c r="P28" s="187"/>
    </row>
    <row r="29" spans="1:16">
      <c r="A29" s="44" t="str">
        <f t="shared" si="0"/>
        <v>MMF</v>
      </c>
      <c r="B29" s="87" t="str">
        <f>Products!B56</f>
        <v>40G eSR4</v>
      </c>
      <c r="C29" s="88" t="str">
        <f>Products!C56</f>
        <v>300 m</v>
      </c>
      <c r="D29" s="89" t="str">
        <f>Products!D56</f>
        <v>QSFP+</v>
      </c>
      <c r="E29" s="187">
        <v>233978.65</v>
      </c>
      <c r="F29" s="187">
        <v>396554.75</v>
      </c>
      <c r="G29" s="187">
        <v>417406.95</v>
      </c>
      <c r="H29" s="187"/>
      <c r="I29" s="187"/>
      <c r="J29" s="187"/>
      <c r="K29" s="187"/>
      <c r="L29" s="187"/>
      <c r="M29" s="187"/>
      <c r="N29" s="187"/>
      <c r="O29" s="187"/>
      <c r="P29" s="187"/>
    </row>
    <row r="30" spans="1:16">
      <c r="A30" s="210" t="str">
        <f t="shared" si="0"/>
        <v>SMF</v>
      </c>
      <c r="B30" s="87" t="s">
        <v>271</v>
      </c>
      <c r="C30" s="88" t="s">
        <v>44</v>
      </c>
      <c r="D30" s="89" t="s">
        <v>93</v>
      </c>
      <c r="E30" s="187">
        <v>813790</v>
      </c>
      <c r="F30" s="187">
        <v>613640</v>
      </c>
      <c r="G30" s="187">
        <v>502708</v>
      </c>
      <c r="H30" s="187"/>
      <c r="I30" s="187"/>
      <c r="J30" s="187"/>
      <c r="K30" s="187"/>
      <c r="L30" s="187"/>
      <c r="M30" s="187"/>
      <c r="N30" s="187"/>
      <c r="O30" s="187"/>
      <c r="P30" s="187"/>
    </row>
    <row r="31" spans="1:16">
      <c r="A31" s="210" t="str">
        <f t="shared" si="0"/>
        <v>SMF</v>
      </c>
      <c r="B31" s="87" t="str">
        <f>Products!B58</f>
        <v>40G (FR)</v>
      </c>
      <c r="C31" s="88" t="str">
        <f>Products!C58</f>
        <v>2 km</v>
      </c>
      <c r="D31" s="89" t="str">
        <f>Products!D58</f>
        <v>CFP</v>
      </c>
      <c r="E31" s="187">
        <v>0</v>
      </c>
      <c r="F31" s="187">
        <v>0</v>
      </c>
      <c r="G31" s="187">
        <v>0</v>
      </c>
      <c r="H31" s="187"/>
      <c r="I31" s="187"/>
      <c r="J31" s="187"/>
      <c r="K31" s="187"/>
      <c r="L31" s="187"/>
      <c r="M31" s="187"/>
      <c r="N31" s="187"/>
      <c r="O31" s="187"/>
      <c r="P31" s="187"/>
    </row>
    <row r="32" spans="1:16">
      <c r="A32" s="210" t="str">
        <f t="shared" si="0"/>
        <v>SMF</v>
      </c>
      <c r="B32" s="87" t="str">
        <f>Products!B59</f>
        <v>40G (LR4 subspec)</v>
      </c>
      <c r="C32" s="88" t="str">
        <f>Products!C59</f>
        <v>2 km</v>
      </c>
      <c r="D32" s="89" t="str">
        <f>Products!D59</f>
        <v>QSFP+</v>
      </c>
      <c r="E32" s="187">
        <v>470209</v>
      </c>
      <c r="F32" s="187">
        <v>806616</v>
      </c>
      <c r="G32" s="187">
        <v>271821</v>
      </c>
      <c r="H32" s="187"/>
      <c r="I32" s="187"/>
      <c r="J32" s="187"/>
      <c r="K32" s="187"/>
      <c r="L32" s="187"/>
      <c r="M32" s="187"/>
      <c r="N32" s="187"/>
      <c r="O32" s="187"/>
      <c r="P32" s="187"/>
    </row>
    <row r="33" spans="1:16">
      <c r="A33" s="210" t="str">
        <f t="shared" si="0"/>
        <v>SMF</v>
      </c>
      <c r="B33" s="87" t="str">
        <f>Products!B60</f>
        <v>40G</v>
      </c>
      <c r="C33" s="88" t="str">
        <f>Products!C60</f>
        <v>10 km</v>
      </c>
      <c r="D33" s="89" t="str">
        <f>Products!D60</f>
        <v>CFP</v>
      </c>
      <c r="E33" s="187">
        <v>332.75</v>
      </c>
      <c r="F33" s="187">
        <v>142.30000000000001</v>
      </c>
      <c r="G33" s="187">
        <v>0</v>
      </c>
      <c r="H33" s="187"/>
      <c r="I33" s="187"/>
      <c r="J33" s="187"/>
      <c r="K33" s="187"/>
      <c r="L33" s="187"/>
      <c r="M33" s="187"/>
      <c r="N33" s="187"/>
      <c r="O33" s="187"/>
      <c r="P33" s="187"/>
    </row>
    <row r="34" spans="1:16">
      <c r="A34" s="210" t="str">
        <f t="shared" si="0"/>
        <v>SMF</v>
      </c>
      <c r="B34" s="87" t="str">
        <f>Products!B61</f>
        <v>40G</v>
      </c>
      <c r="C34" s="88" t="str">
        <f>Products!C61</f>
        <v>10 km</v>
      </c>
      <c r="D34" s="89" t="str">
        <f>Products!D61</f>
        <v>QSFP+</v>
      </c>
      <c r="E34" s="187">
        <v>261784.80000000002</v>
      </c>
      <c r="F34" s="187">
        <v>339486.4</v>
      </c>
      <c r="G34" s="187">
        <v>215469.6</v>
      </c>
      <c r="H34" s="187"/>
      <c r="I34" s="187"/>
      <c r="J34" s="187"/>
      <c r="K34" s="187"/>
      <c r="L34" s="187"/>
      <c r="M34" s="187"/>
      <c r="N34" s="187"/>
      <c r="O34" s="187"/>
      <c r="P34" s="187"/>
    </row>
    <row r="35" spans="1:16">
      <c r="A35" s="210" t="str">
        <f t="shared" si="0"/>
        <v>SMF</v>
      </c>
      <c r="B35" s="83" t="str">
        <f>Products!B62</f>
        <v>40G</v>
      </c>
      <c r="C35" s="84" t="str">
        <f>Products!C62</f>
        <v>40 km</v>
      </c>
      <c r="D35" s="85" t="str">
        <f>Products!D62</f>
        <v>QSFP+</v>
      </c>
      <c r="E35" s="287">
        <v>1223.5</v>
      </c>
      <c r="F35" s="287">
        <v>1358</v>
      </c>
      <c r="G35" s="287">
        <v>2056</v>
      </c>
      <c r="H35" s="287"/>
      <c r="I35" s="287"/>
      <c r="J35" s="287"/>
      <c r="K35" s="287"/>
      <c r="L35" s="287"/>
      <c r="M35" s="287"/>
      <c r="N35" s="287"/>
      <c r="O35" s="287"/>
      <c r="P35" s="287"/>
    </row>
    <row r="36" spans="1:16">
      <c r="A36" s="44" t="str">
        <f t="shared" si="0"/>
        <v>MMF</v>
      </c>
      <c r="B36" s="79" t="str">
        <f>Products!B63</f>
        <v xml:space="preserve">50G </v>
      </c>
      <c r="C36" s="80" t="str">
        <f>Products!C63</f>
        <v>100 m</v>
      </c>
      <c r="D36" s="81" t="str">
        <f>Products!D63</f>
        <v>all</v>
      </c>
      <c r="E36" s="187">
        <v>0</v>
      </c>
      <c r="F36" s="187">
        <v>0</v>
      </c>
      <c r="G36" s="187">
        <v>0</v>
      </c>
      <c r="H36" s="187"/>
      <c r="I36" s="187"/>
      <c r="J36" s="187"/>
      <c r="K36" s="187"/>
      <c r="L36" s="187"/>
      <c r="M36" s="187"/>
      <c r="N36" s="187"/>
      <c r="O36" s="187"/>
      <c r="P36" s="187"/>
    </row>
    <row r="37" spans="1:16">
      <c r="A37" s="210" t="str">
        <f t="shared" si="0"/>
        <v>SMF</v>
      </c>
      <c r="B37" s="87" t="str">
        <f>Products!B64</f>
        <v xml:space="preserve">50G </v>
      </c>
      <c r="C37" s="88" t="str">
        <f>Products!C64</f>
        <v>2 km</v>
      </c>
      <c r="D37" s="89" t="str">
        <f>Products!D64</f>
        <v>all</v>
      </c>
      <c r="E37" s="187">
        <v>0</v>
      </c>
      <c r="F37" s="187">
        <v>0</v>
      </c>
      <c r="G37" s="187">
        <v>0</v>
      </c>
      <c r="H37" s="187"/>
      <c r="I37" s="187"/>
      <c r="J37" s="187"/>
      <c r="K37" s="187"/>
      <c r="L37" s="187"/>
      <c r="M37" s="187"/>
      <c r="N37" s="187"/>
      <c r="O37" s="187"/>
      <c r="P37" s="187"/>
    </row>
    <row r="38" spans="1:16">
      <c r="A38" s="210" t="str">
        <f t="shared" si="0"/>
        <v>SMF</v>
      </c>
      <c r="B38" s="87" t="str">
        <f>Products!B65</f>
        <v xml:space="preserve">50G </v>
      </c>
      <c r="C38" s="88" t="str">
        <f>Products!C65</f>
        <v>10 km</v>
      </c>
      <c r="D38" s="89" t="str">
        <f>Products!D65</f>
        <v>all</v>
      </c>
      <c r="E38" s="187">
        <v>0</v>
      </c>
      <c r="F38" s="187">
        <v>0</v>
      </c>
      <c r="G38" s="187">
        <v>0</v>
      </c>
      <c r="H38" s="187"/>
      <c r="I38" s="187"/>
      <c r="J38" s="187"/>
      <c r="K38" s="187"/>
      <c r="L38" s="187"/>
      <c r="M38" s="187"/>
      <c r="N38" s="187"/>
      <c r="O38" s="187"/>
      <c r="P38" s="187"/>
    </row>
    <row r="39" spans="1:16">
      <c r="A39" s="210" t="str">
        <f t="shared" si="0"/>
        <v>SMF</v>
      </c>
      <c r="B39" s="87" t="str">
        <f>Products!B66</f>
        <v xml:space="preserve">50G </v>
      </c>
      <c r="C39" s="88" t="str">
        <f>Products!C66</f>
        <v>40 km</v>
      </c>
      <c r="D39" s="89" t="str">
        <f>Products!D66</f>
        <v>all</v>
      </c>
      <c r="E39" s="187">
        <v>0</v>
      </c>
      <c r="F39" s="187">
        <v>0</v>
      </c>
      <c r="G39" s="187">
        <v>0</v>
      </c>
      <c r="H39" s="187"/>
      <c r="I39" s="187"/>
      <c r="J39" s="187"/>
      <c r="K39" s="187"/>
      <c r="L39" s="187"/>
      <c r="M39" s="187"/>
      <c r="N39" s="187"/>
      <c r="O39" s="187"/>
      <c r="P39" s="187"/>
    </row>
    <row r="40" spans="1:16">
      <c r="A40" s="210" t="str">
        <f t="shared" si="0"/>
        <v>SMF</v>
      </c>
      <c r="B40" s="87" t="str">
        <f>Products!B67</f>
        <v xml:space="preserve">50G </v>
      </c>
      <c r="C40" s="88" t="str">
        <f>Products!C67</f>
        <v>80 km</v>
      </c>
      <c r="D40" s="89" t="str">
        <f>Products!D67</f>
        <v>all</v>
      </c>
      <c r="E40" s="187">
        <v>0</v>
      </c>
      <c r="F40" s="187">
        <v>0</v>
      </c>
      <c r="G40" s="187">
        <v>0</v>
      </c>
      <c r="H40" s="187"/>
      <c r="I40" s="187"/>
      <c r="J40" s="187"/>
      <c r="K40" s="187"/>
      <c r="L40" s="187"/>
      <c r="M40" s="187"/>
      <c r="N40" s="187"/>
      <c r="O40" s="187"/>
      <c r="P40" s="187"/>
    </row>
    <row r="41" spans="1:16">
      <c r="A41" s="44" t="str">
        <f t="shared" ref="A41:A60" si="1">A211</f>
        <v>MMF</v>
      </c>
      <c r="B41" s="79" t="str">
        <f>Products!B68</f>
        <v>100G SR4</v>
      </c>
      <c r="C41" s="80" t="str">
        <f>Products!C68</f>
        <v>100 m</v>
      </c>
      <c r="D41" s="81" t="str">
        <f>Products!D68</f>
        <v>CFP</v>
      </c>
      <c r="E41" s="288">
        <v>0</v>
      </c>
      <c r="F41" s="288">
        <v>0</v>
      </c>
      <c r="G41" s="288">
        <v>0</v>
      </c>
      <c r="H41" s="288"/>
      <c r="I41" s="288"/>
      <c r="J41" s="288"/>
      <c r="K41" s="288"/>
      <c r="L41" s="288"/>
      <c r="M41" s="288"/>
      <c r="N41" s="288"/>
      <c r="O41" s="288"/>
      <c r="P41" s="288"/>
    </row>
    <row r="42" spans="1:16">
      <c r="A42" s="44" t="str">
        <f t="shared" si="1"/>
        <v>MMF</v>
      </c>
      <c r="B42" s="87" t="str">
        <f>Products!B69</f>
        <v>100G SR4</v>
      </c>
      <c r="C42" s="88" t="str">
        <f>Products!C69</f>
        <v>100 m</v>
      </c>
      <c r="D42" s="89" t="str">
        <f>Products!D69</f>
        <v>CFP2/4</v>
      </c>
      <c r="E42" s="187">
        <v>0</v>
      </c>
      <c r="F42" s="187">
        <v>0</v>
      </c>
      <c r="G42" s="187">
        <v>0</v>
      </c>
      <c r="H42" s="187"/>
      <c r="I42" s="187"/>
      <c r="J42" s="187"/>
      <c r="K42" s="187"/>
      <c r="L42" s="187"/>
      <c r="M42" s="187"/>
      <c r="N42" s="187"/>
      <c r="O42" s="187"/>
      <c r="P42" s="187"/>
    </row>
    <row r="43" spans="1:16">
      <c r="A43" s="44" t="str">
        <f t="shared" si="1"/>
        <v>MMF</v>
      </c>
      <c r="B43" s="87" t="str">
        <f>Products!B70</f>
        <v>100G SR4</v>
      </c>
      <c r="C43" s="88" t="str">
        <f>Products!C70</f>
        <v>100 m</v>
      </c>
      <c r="D43" s="89" t="str">
        <f>Products!D70</f>
        <v>QSFP28</v>
      </c>
      <c r="E43" s="187">
        <v>280058</v>
      </c>
      <c r="F43" s="187">
        <v>622792</v>
      </c>
      <c r="G43" s="187">
        <v>1724235.3</v>
      </c>
      <c r="H43" s="187"/>
      <c r="I43" s="187"/>
      <c r="J43" s="187"/>
      <c r="K43" s="187"/>
      <c r="L43" s="187"/>
      <c r="M43" s="187"/>
      <c r="N43" s="187"/>
      <c r="O43" s="187"/>
      <c r="P43" s="187"/>
    </row>
    <row r="44" spans="1:16">
      <c r="A44" s="44" t="str">
        <f t="shared" si="1"/>
        <v>MMF</v>
      </c>
      <c r="B44" s="87" t="str">
        <f>Products!B71</f>
        <v>100G SR2</v>
      </c>
      <c r="C44" s="88" t="str">
        <f>Products!C71</f>
        <v>100 m</v>
      </c>
      <c r="D44" s="89" t="str">
        <f>Products!D71</f>
        <v>All</v>
      </c>
      <c r="E44" s="187">
        <v>0</v>
      </c>
      <c r="F44" s="187">
        <v>0</v>
      </c>
      <c r="G44" s="187">
        <v>0</v>
      </c>
      <c r="H44" s="187"/>
      <c r="I44" s="187"/>
      <c r="J44" s="187"/>
      <c r="K44" s="187"/>
      <c r="L44" s="187"/>
      <c r="M44" s="187"/>
      <c r="N44" s="187"/>
      <c r="O44" s="187"/>
      <c r="P44" s="187"/>
    </row>
    <row r="45" spans="1:16">
      <c r="A45" s="44" t="str">
        <f t="shared" si="1"/>
        <v>MMF</v>
      </c>
      <c r="B45" s="87" t="str">
        <f>Products!B72</f>
        <v>100G MM Duplex</v>
      </c>
      <c r="C45" s="88" t="str">
        <f>Products!C72</f>
        <v>100 - 300 m</v>
      </c>
      <c r="D45" s="89" t="str">
        <f>Products!D72</f>
        <v>QSFP28</v>
      </c>
      <c r="E45" s="187">
        <v>0</v>
      </c>
      <c r="F45" s="187">
        <v>0</v>
      </c>
      <c r="G45" s="187">
        <v>0</v>
      </c>
      <c r="H45" s="187"/>
      <c r="I45" s="187"/>
      <c r="J45" s="187"/>
      <c r="K45" s="187"/>
      <c r="L45" s="187"/>
      <c r="M45" s="187"/>
      <c r="N45" s="187"/>
      <c r="O45" s="187"/>
      <c r="P45" s="187"/>
    </row>
    <row r="46" spans="1:16">
      <c r="A46" s="44" t="str">
        <f t="shared" si="1"/>
        <v>MMF</v>
      </c>
      <c r="B46" s="87" t="str">
        <f>Products!B73</f>
        <v>100G eSR4</v>
      </c>
      <c r="C46" s="88" t="str">
        <f>Products!C73</f>
        <v>300 m</v>
      </c>
      <c r="D46" s="89" t="str">
        <f>Products!D73</f>
        <v>QSFP28</v>
      </c>
      <c r="E46" s="187">
        <v>0</v>
      </c>
      <c r="F46" s="187">
        <v>0</v>
      </c>
      <c r="G46" s="187">
        <v>9000</v>
      </c>
      <c r="H46" s="187"/>
      <c r="I46" s="187"/>
      <c r="J46" s="187"/>
      <c r="K46" s="187"/>
      <c r="L46" s="187"/>
      <c r="M46" s="187"/>
      <c r="N46" s="187"/>
      <c r="O46" s="187"/>
      <c r="P46" s="187"/>
    </row>
    <row r="47" spans="1:16">
      <c r="A47" s="210" t="str">
        <f t="shared" si="1"/>
        <v>SMF</v>
      </c>
      <c r="B47" s="87" t="str">
        <f>Products!B74</f>
        <v>100G PSM4</v>
      </c>
      <c r="C47" s="88" t="str">
        <f>Products!C74</f>
        <v>500 m</v>
      </c>
      <c r="D47" s="89" t="str">
        <f>Products!D74</f>
        <v>QSFP28</v>
      </c>
      <c r="E47" s="187">
        <v>200861</v>
      </c>
      <c r="F47" s="187">
        <v>710038</v>
      </c>
      <c r="G47" s="187">
        <v>514311</v>
      </c>
      <c r="H47" s="187"/>
      <c r="I47" s="187"/>
      <c r="J47" s="187"/>
      <c r="K47" s="187"/>
      <c r="L47" s="187"/>
      <c r="M47" s="187"/>
      <c r="N47" s="187"/>
      <c r="O47" s="187"/>
      <c r="P47" s="187"/>
    </row>
    <row r="48" spans="1:16">
      <c r="A48" s="210" t="str">
        <f t="shared" si="1"/>
        <v>SMF</v>
      </c>
      <c r="B48" s="87" t="str">
        <f>Products!B75</f>
        <v>100G DR</v>
      </c>
      <c r="C48" s="88" t="str">
        <f>Products!C75</f>
        <v>500m</v>
      </c>
      <c r="D48" s="89" t="str">
        <f>Products!D75</f>
        <v>QSFP28</v>
      </c>
      <c r="E48" s="187">
        <v>0</v>
      </c>
      <c r="F48" s="187">
        <v>0</v>
      </c>
      <c r="G48" s="187">
        <v>0</v>
      </c>
      <c r="H48" s="187"/>
      <c r="I48" s="187"/>
      <c r="J48" s="187"/>
      <c r="K48" s="187"/>
      <c r="L48" s="187"/>
      <c r="M48" s="187"/>
      <c r="N48" s="187"/>
      <c r="O48" s="187"/>
      <c r="P48" s="187"/>
    </row>
    <row r="49" spans="1:16">
      <c r="A49" s="210" t="str">
        <f t="shared" si="1"/>
        <v>SMF</v>
      </c>
      <c r="B49" s="87" t="str">
        <f>Products!B76</f>
        <v>100G CWDM4-subspec</v>
      </c>
      <c r="C49" s="88" t="str">
        <f>Products!C76</f>
        <v>500 m</v>
      </c>
      <c r="D49" s="89" t="str">
        <f>Products!D76</f>
        <v>QSFP28</v>
      </c>
      <c r="E49" s="187">
        <v>88200.6</v>
      </c>
      <c r="F49" s="187">
        <v>683412.1</v>
      </c>
      <c r="G49" s="187">
        <v>1100000</v>
      </c>
      <c r="H49" s="187"/>
      <c r="I49" s="187"/>
      <c r="J49" s="187"/>
      <c r="K49" s="187"/>
      <c r="L49" s="187"/>
      <c r="M49" s="187"/>
      <c r="N49" s="187"/>
      <c r="O49" s="187"/>
      <c r="P49" s="187"/>
    </row>
    <row r="50" spans="1:16">
      <c r="A50" s="210" t="str">
        <f t="shared" si="1"/>
        <v>SMF</v>
      </c>
      <c r="B50" s="87" t="str">
        <f>Products!B77</f>
        <v>100G CWDM4</v>
      </c>
      <c r="C50" s="88" t="str">
        <f>Products!C77</f>
        <v>2 km</v>
      </c>
      <c r="D50" s="89" t="str">
        <f>Products!D77</f>
        <v>QSFP28</v>
      </c>
      <c r="E50" s="187">
        <v>30989.399999999994</v>
      </c>
      <c r="F50" s="187">
        <v>292890.90000000002</v>
      </c>
      <c r="G50" s="187">
        <v>1866292.6190476189</v>
      </c>
      <c r="H50" s="187"/>
      <c r="I50" s="187"/>
      <c r="J50" s="187"/>
      <c r="K50" s="187"/>
      <c r="L50" s="187"/>
      <c r="M50" s="187"/>
      <c r="N50" s="187"/>
      <c r="O50" s="187"/>
      <c r="P50" s="187"/>
    </row>
    <row r="51" spans="1:16">
      <c r="A51" s="210" t="str">
        <f t="shared" si="1"/>
        <v>SMF</v>
      </c>
      <c r="B51" s="87" t="str">
        <f>Products!B78</f>
        <v>100G FR, DR+</v>
      </c>
      <c r="C51" s="88" t="str">
        <f>Products!C78</f>
        <v>2 km</v>
      </c>
      <c r="D51" s="89" t="str">
        <f>Products!D78</f>
        <v>QSFP28</v>
      </c>
      <c r="E51" s="187">
        <v>0</v>
      </c>
      <c r="F51" s="187">
        <v>0</v>
      </c>
      <c r="G51" s="187">
        <v>3000</v>
      </c>
      <c r="H51" s="187"/>
      <c r="I51" s="187"/>
      <c r="J51" s="187"/>
      <c r="K51" s="187"/>
      <c r="L51" s="187"/>
      <c r="M51" s="187"/>
      <c r="N51" s="187"/>
      <c r="O51" s="187"/>
      <c r="P51" s="187"/>
    </row>
    <row r="52" spans="1:16">
      <c r="A52" s="210" t="str">
        <f t="shared" si="1"/>
        <v>SMF</v>
      </c>
      <c r="B52" s="87" t="str">
        <f>Products!B79</f>
        <v>100G LR4</v>
      </c>
      <c r="C52" s="88" t="str">
        <f>Products!C79</f>
        <v>10 km</v>
      </c>
      <c r="D52" s="89" t="str">
        <f>Products!D79</f>
        <v>CFP</v>
      </c>
      <c r="E52" s="187">
        <v>0</v>
      </c>
      <c r="F52" s="187">
        <v>0</v>
      </c>
      <c r="G52" s="187">
        <v>0</v>
      </c>
      <c r="H52" s="187"/>
      <c r="I52" s="187"/>
      <c r="J52" s="187"/>
      <c r="K52" s="187"/>
      <c r="L52" s="187"/>
      <c r="M52" s="187"/>
      <c r="N52" s="187"/>
      <c r="O52" s="187"/>
      <c r="P52" s="187"/>
    </row>
    <row r="53" spans="1:16">
      <c r="A53" s="210" t="str">
        <f t="shared" si="1"/>
        <v>SMF</v>
      </c>
      <c r="B53" s="87" t="str">
        <f>Products!B80</f>
        <v>100G LR4</v>
      </c>
      <c r="C53" s="88" t="str">
        <f>Products!C80</f>
        <v>10 km</v>
      </c>
      <c r="D53" s="89" t="str">
        <f>Products!D80</f>
        <v>CFP2/4</v>
      </c>
      <c r="E53" s="187">
        <v>0</v>
      </c>
      <c r="F53" s="187">
        <v>0</v>
      </c>
      <c r="G53" s="187">
        <v>0</v>
      </c>
      <c r="H53" s="187"/>
      <c r="I53" s="187"/>
      <c r="J53" s="187"/>
      <c r="K53" s="187"/>
      <c r="L53" s="187"/>
      <c r="M53" s="187"/>
      <c r="N53" s="187"/>
      <c r="O53" s="187"/>
      <c r="P53" s="187"/>
    </row>
    <row r="54" spans="1:16">
      <c r="A54" s="210" t="str">
        <f t="shared" si="1"/>
        <v>SMF</v>
      </c>
      <c r="B54" s="87" t="str">
        <f>Products!B81</f>
        <v>100G LR4 and LR1</v>
      </c>
      <c r="C54" s="88" t="str">
        <f>Products!C81</f>
        <v>10 km</v>
      </c>
      <c r="D54" s="89" t="str">
        <f>Products!D81</f>
        <v>QSFP28</v>
      </c>
      <c r="E54" s="187">
        <v>72354.400000000009</v>
      </c>
      <c r="F54" s="187">
        <v>253646.4</v>
      </c>
      <c r="G54" s="187">
        <v>258629.22647058824</v>
      </c>
      <c r="H54" s="187"/>
      <c r="I54" s="187"/>
      <c r="J54" s="187"/>
      <c r="K54" s="187"/>
      <c r="L54" s="187"/>
      <c r="M54" s="187"/>
      <c r="N54" s="187"/>
      <c r="O54" s="187"/>
      <c r="P54" s="187"/>
    </row>
    <row r="55" spans="1:16">
      <c r="A55" s="210" t="str">
        <f t="shared" si="1"/>
        <v>SMF</v>
      </c>
      <c r="B55" s="87" t="str">
        <f>Products!B82</f>
        <v>100G 4WDM10</v>
      </c>
      <c r="C55" s="88" t="str">
        <f>Products!C82</f>
        <v>10 km</v>
      </c>
      <c r="D55" s="89" t="str">
        <f>Products!D82</f>
        <v>QSFP28</v>
      </c>
      <c r="E55" s="187">
        <v>0</v>
      </c>
      <c r="F55" s="187">
        <v>40500</v>
      </c>
      <c r="G55" s="187">
        <v>88000</v>
      </c>
      <c r="H55" s="187"/>
      <c r="I55" s="187"/>
      <c r="J55" s="187"/>
      <c r="K55" s="187"/>
      <c r="L55" s="187"/>
      <c r="M55" s="187"/>
      <c r="N55" s="187"/>
      <c r="O55" s="187"/>
      <c r="P55" s="187"/>
    </row>
    <row r="56" spans="1:16">
      <c r="A56" s="210" t="str">
        <f t="shared" si="1"/>
        <v>SMF</v>
      </c>
      <c r="B56" s="87" t="str">
        <f>Products!B83</f>
        <v>100G 4WDM20</v>
      </c>
      <c r="C56" s="88" t="str">
        <f>Products!C83</f>
        <v>20 km</v>
      </c>
      <c r="D56" s="89" t="str">
        <f>Products!D83</f>
        <v>QSFP28</v>
      </c>
      <c r="E56" s="187">
        <v>0</v>
      </c>
      <c r="F56" s="187">
        <v>0</v>
      </c>
      <c r="G56" s="187">
        <v>0</v>
      </c>
      <c r="H56" s="187"/>
      <c r="I56" s="187"/>
      <c r="J56" s="187"/>
      <c r="K56" s="187"/>
      <c r="L56" s="187"/>
      <c r="M56" s="187"/>
      <c r="N56" s="187"/>
      <c r="O56" s="187"/>
      <c r="P56" s="187"/>
    </row>
    <row r="57" spans="1:16">
      <c r="A57" s="210" t="str">
        <f t="shared" si="1"/>
        <v>SMF</v>
      </c>
      <c r="B57" s="87" t="str">
        <f>Products!B84</f>
        <v>100G ER4-Lite</v>
      </c>
      <c r="C57" s="88" t="str">
        <f>Products!C84</f>
        <v>30 km</v>
      </c>
      <c r="D57" s="89" t="str">
        <f>Products!D84</f>
        <v>QSFP28</v>
      </c>
      <c r="E57" s="187">
        <v>0</v>
      </c>
      <c r="F57" s="187">
        <v>0</v>
      </c>
      <c r="G57" s="187">
        <v>0</v>
      </c>
      <c r="H57" s="187"/>
      <c r="I57" s="187"/>
      <c r="J57" s="187"/>
      <c r="K57" s="187"/>
      <c r="L57" s="187"/>
      <c r="M57" s="187"/>
      <c r="N57" s="187"/>
      <c r="O57" s="187"/>
      <c r="P57" s="187"/>
    </row>
    <row r="58" spans="1:16">
      <c r="A58" s="210" t="str">
        <f t="shared" si="1"/>
        <v>SMF</v>
      </c>
      <c r="B58" s="87" t="str">
        <f>Products!B85</f>
        <v>100G ER4</v>
      </c>
      <c r="C58" s="88" t="str">
        <f>Products!C85</f>
        <v>40 km</v>
      </c>
      <c r="D58" s="89" t="str">
        <f>Products!D85</f>
        <v>QSFP28</v>
      </c>
      <c r="E58" s="187">
        <v>0</v>
      </c>
      <c r="F58" s="187">
        <v>0</v>
      </c>
      <c r="G58" s="187">
        <v>0</v>
      </c>
      <c r="H58" s="187"/>
      <c r="I58" s="187"/>
      <c r="J58" s="187"/>
      <c r="K58" s="187"/>
      <c r="L58" s="187"/>
      <c r="M58" s="187"/>
      <c r="N58" s="187"/>
      <c r="O58" s="187"/>
      <c r="P58" s="187"/>
    </row>
    <row r="59" spans="1:16">
      <c r="A59" s="210" t="str">
        <f t="shared" si="1"/>
        <v>SMF</v>
      </c>
      <c r="B59" s="87" t="str">
        <f>Products!B86</f>
        <v>100G ZR4</v>
      </c>
      <c r="C59" s="88" t="str">
        <f>Products!C86</f>
        <v>80 km</v>
      </c>
      <c r="D59" s="89" t="str">
        <f>Products!D86</f>
        <v>QSFP28</v>
      </c>
      <c r="E59" s="86">
        <v>0</v>
      </c>
      <c r="F59" s="86">
        <v>0</v>
      </c>
      <c r="G59" s="86">
        <v>0</v>
      </c>
      <c r="H59" s="86"/>
      <c r="I59" s="86"/>
      <c r="J59" s="86"/>
      <c r="K59" s="86"/>
      <c r="L59" s="86"/>
      <c r="M59" s="86"/>
      <c r="N59" s="86"/>
      <c r="O59" s="86"/>
      <c r="P59" s="86"/>
    </row>
    <row r="60" spans="1:16">
      <c r="A60" s="234" t="str">
        <f t="shared" si="1"/>
        <v>MMF</v>
      </c>
      <c r="B60" s="236" t="str">
        <f>Products!B87</f>
        <v>200G SR4</v>
      </c>
      <c r="C60" s="237" t="str">
        <f>Products!C87</f>
        <v>100 m</v>
      </c>
      <c r="D60" s="238" t="str">
        <f>Products!D87</f>
        <v>QSFP56</v>
      </c>
      <c r="E60" s="82">
        <v>0</v>
      </c>
      <c r="F60" s="82">
        <v>0</v>
      </c>
      <c r="G60" s="82">
        <v>500</v>
      </c>
      <c r="H60" s="82"/>
      <c r="I60" s="82"/>
      <c r="J60" s="82"/>
      <c r="K60" s="82"/>
      <c r="L60" s="82"/>
      <c r="M60" s="82"/>
      <c r="N60" s="82"/>
      <c r="O60" s="82"/>
      <c r="P60" s="82"/>
    </row>
    <row r="61" spans="1:16">
      <c r="A61" s="234"/>
      <c r="B61" s="239" t="str">
        <f>Products!B88</f>
        <v>200G DR</v>
      </c>
      <c r="C61" s="240" t="str">
        <f>Products!C88</f>
        <v>500 m</v>
      </c>
      <c r="D61" s="241" t="str">
        <f>Products!D88</f>
        <v>TBD</v>
      </c>
      <c r="E61" s="90">
        <v>0</v>
      </c>
      <c r="F61" s="90">
        <v>0</v>
      </c>
      <c r="G61" s="90">
        <v>0</v>
      </c>
      <c r="H61" s="90"/>
      <c r="I61" s="90"/>
      <c r="J61" s="90"/>
      <c r="K61" s="90"/>
      <c r="L61" s="90"/>
      <c r="M61" s="90"/>
      <c r="N61" s="90"/>
      <c r="O61" s="90"/>
      <c r="P61" s="90"/>
    </row>
    <row r="62" spans="1:16">
      <c r="A62" s="235" t="str">
        <f>A232</f>
        <v>SMF</v>
      </c>
      <c r="B62" s="239" t="str">
        <f>Products!B89</f>
        <v>200G FR4</v>
      </c>
      <c r="C62" s="240" t="str">
        <f>Products!C89</f>
        <v>3 km</v>
      </c>
      <c r="D62" s="241" t="str">
        <f>Products!D89</f>
        <v>QSFP56</v>
      </c>
      <c r="E62" s="90">
        <v>0</v>
      </c>
      <c r="F62" s="90">
        <v>0</v>
      </c>
      <c r="G62" s="90">
        <v>500</v>
      </c>
      <c r="H62" s="90"/>
      <c r="I62" s="90"/>
      <c r="J62" s="90"/>
      <c r="K62" s="90"/>
      <c r="L62" s="90"/>
      <c r="M62" s="90"/>
      <c r="N62" s="90"/>
      <c r="O62" s="90"/>
      <c r="P62" s="90"/>
    </row>
    <row r="63" spans="1:16">
      <c r="A63" s="235"/>
      <c r="B63" s="239" t="str">
        <f>Products!B90</f>
        <v>200G LR</v>
      </c>
      <c r="C63" s="240" t="str">
        <f>Products!C90</f>
        <v>10 km</v>
      </c>
      <c r="D63" s="241" t="str">
        <f>Products!D90</f>
        <v>TBD</v>
      </c>
      <c r="E63" s="90">
        <v>0</v>
      </c>
      <c r="F63" s="90">
        <v>0</v>
      </c>
      <c r="G63" s="90">
        <v>0</v>
      </c>
      <c r="H63" s="90"/>
      <c r="I63" s="90"/>
      <c r="J63" s="90"/>
      <c r="K63" s="90"/>
      <c r="L63" s="90"/>
      <c r="M63" s="90"/>
      <c r="N63" s="90"/>
      <c r="O63" s="90"/>
      <c r="P63" s="90"/>
    </row>
    <row r="64" spans="1:16">
      <c r="A64" s="235"/>
      <c r="B64" s="239" t="str">
        <f>Products!B91</f>
        <v>200G ER4</v>
      </c>
      <c r="C64" s="240" t="str">
        <f>Products!C91</f>
        <v>40 km</v>
      </c>
      <c r="D64" s="241" t="str">
        <f>Products!D91</f>
        <v>TBD</v>
      </c>
      <c r="E64" s="90">
        <v>0</v>
      </c>
      <c r="F64" s="90">
        <v>0</v>
      </c>
      <c r="G64" s="90">
        <v>0</v>
      </c>
      <c r="H64" s="90"/>
      <c r="I64" s="90"/>
      <c r="J64" s="90"/>
      <c r="K64" s="90"/>
      <c r="L64" s="90"/>
      <c r="M64" s="90"/>
      <c r="N64" s="90"/>
      <c r="O64" s="90"/>
      <c r="P64" s="90"/>
    </row>
    <row r="65" spans="1:16">
      <c r="A65" s="234" t="str">
        <f t="shared" ref="A65:A71" si="2">A235</f>
        <v>MMF</v>
      </c>
      <c r="B65" s="236" t="str">
        <f>Products!B92</f>
        <v>2x200 (400G-SR8)</v>
      </c>
      <c r="C65" s="237" t="str">
        <f>Products!C92</f>
        <v>100 m</v>
      </c>
      <c r="D65" s="238" t="str">
        <f>Products!D92</f>
        <v>OSFP, QSFP-DD</v>
      </c>
      <c r="E65" s="82">
        <v>0</v>
      </c>
      <c r="F65" s="82">
        <v>0</v>
      </c>
      <c r="G65" s="82">
        <v>23000</v>
      </c>
      <c r="H65" s="82"/>
      <c r="I65" s="82"/>
      <c r="J65" s="82"/>
      <c r="K65" s="82"/>
      <c r="L65" s="82"/>
      <c r="M65" s="82"/>
      <c r="N65" s="82"/>
      <c r="O65" s="82"/>
      <c r="P65" s="82"/>
    </row>
    <row r="66" spans="1:16">
      <c r="A66" s="234" t="str">
        <f t="shared" si="2"/>
        <v>MMF</v>
      </c>
      <c r="B66" s="239" t="str">
        <f>Products!B93</f>
        <v>400G SR4.2</v>
      </c>
      <c r="C66" s="240" t="str">
        <f>Products!C93</f>
        <v>100 m</v>
      </c>
      <c r="D66" s="241" t="str">
        <f>Products!D93</f>
        <v>OSFP, QSFP-DD</v>
      </c>
      <c r="E66" s="90">
        <v>0</v>
      </c>
      <c r="F66" s="90">
        <v>0</v>
      </c>
      <c r="G66" s="90">
        <v>0</v>
      </c>
      <c r="H66" s="90"/>
      <c r="I66" s="90"/>
      <c r="J66" s="90"/>
      <c r="K66" s="90"/>
      <c r="L66" s="90"/>
      <c r="M66" s="90"/>
      <c r="N66" s="90"/>
      <c r="O66" s="90"/>
      <c r="P66" s="90"/>
    </row>
    <row r="67" spans="1:16">
      <c r="A67" s="235" t="str">
        <f t="shared" si="2"/>
        <v>SMF</v>
      </c>
      <c r="B67" s="239" t="str">
        <f>Products!B94</f>
        <v>400G DR4</v>
      </c>
      <c r="C67" s="240" t="str">
        <f>Products!C94</f>
        <v>500 m</v>
      </c>
      <c r="D67" s="241" t="str">
        <f>Products!D94</f>
        <v>OSFP, QSFP-DD, QSFP112</v>
      </c>
      <c r="E67" s="90">
        <v>0</v>
      </c>
      <c r="F67" s="90">
        <v>0</v>
      </c>
      <c r="G67" s="90">
        <v>2000</v>
      </c>
      <c r="H67" s="90"/>
      <c r="I67" s="90"/>
      <c r="J67" s="90"/>
      <c r="K67" s="90"/>
      <c r="L67" s="90"/>
      <c r="M67" s="90"/>
      <c r="N67" s="90"/>
      <c r="O67" s="90"/>
      <c r="P67" s="90"/>
    </row>
    <row r="68" spans="1:16">
      <c r="A68" s="235" t="str">
        <f t="shared" si="2"/>
        <v>SMF</v>
      </c>
      <c r="B68" s="239" t="str">
        <f>Products!B95</f>
        <v>2x(200G FR4)</v>
      </c>
      <c r="C68" s="240" t="str">
        <f>Products!C95</f>
        <v>2 km</v>
      </c>
      <c r="D68" s="241" t="str">
        <f>Products!D95</f>
        <v>OSFP</v>
      </c>
      <c r="E68" s="90">
        <v>0</v>
      </c>
      <c r="F68" s="90">
        <v>0</v>
      </c>
      <c r="G68" s="90">
        <v>12000</v>
      </c>
      <c r="H68" s="90"/>
      <c r="I68" s="90"/>
      <c r="J68" s="90"/>
      <c r="K68" s="90"/>
      <c r="L68" s="90"/>
      <c r="M68" s="90"/>
      <c r="N68" s="90"/>
      <c r="O68" s="90"/>
      <c r="P68" s="90"/>
    </row>
    <row r="69" spans="1:16">
      <c r="A69" s="235" t="str">
        <f t="shared" si="2"/>
        <v>SMF</v>
      </c>
      <c r="B69" s="239" t="str">
        <f>Products!B96</f>
        <v>400G FR4</v>
      </c>
      <c r="C69" s="240" t="str">
        <f>Products!C96</f>
        <v>2 km</v>
      </c>
      <c r="D69" s="241" t="str">
        <f>Products!D96</f>
        <v>OSFP, QSFP-DD, QSFP112</v>
      </c>
      <c r="E69" s="90">
        <v>0</v>
      </c>
      <c r="F69" s="90">
        <v>7</v>
      </c>
      <c r="G69" s="90">
        <v>1000</v>
      </c>
      <c r="H69" s="90"/>
      <c r="I69" s="90"/>
      <c r="J69" s="90"/>
      <c r="K69" s="90"/>
      <c r="L69" s="90"/>
      <c r="M69" s="90"/>
      <c r="N69" s="90"/>
      <c r="O69" s="90"/>
      <c r="P69" s="90"/>
    </row>
    <row r="70" spans="1:16">
      <c r="A70" s="235" t="str">
        <f t="shared" si="2"/>
        <v>SMF</v>
      </c>
      <c r="B70" s="239" t="str">
        <f>Products!B97</f>
        <v>400G LR8, LR4</v>
      </c>
      <c r="C70" s="240" t="str">
        <f>Products!C97</f>
        <v>10 km</v>
      </c>
      <c r="D70" s="241" t="str">
        <f>Products!D97</f>
        <v>OSFP, QSFP-DD, QSFP112</v>
      </c>
      <c r="E70" s="90">
        <v>0</v>
      </c>
      <c r="F70" s="90">
        <v>0</v>
      </c>
      <c r="G70" s="90">
        <v>99.999999999999972</v>
      </c>
      <c r="H70" s="90"/>
      <c r="I70" s="90"/>
      <c r="J70" s="90"/>
      <c r="K70" s="90"/>
      <c r="L70" s="90"/>
      <c r="M70" s="90"/>
      <c r="N70" s="90"/>
      <c r="O70" s="90"/>
      <c r="P70" s="90"/>
    </row>
    <row r="71" spans="1:16">
      <c r="A71" s="235" t="str">
        <f t="shared" si="2"/>
        <v>SMF</v>
      </c>
      <c r="B71" s="242" t="str">
        <f>Products!B98</f>
        <v>400G ER4</v>
      </c>
      <c r="C71" s="243" t="str">
        <f>Products!C98</f>
        <v>40 km</v>
      </c>
      <c r="D71" s="244" t="str">
        <f>Products!D98</f>
        <v>TBD</v>
      </c>
      <c r="E71" s="86">
        <v>0</v>
      </c>
      <c r="F71" s="86">
        <v>0</v>
      </c>
      <c r="G71" s="86">
        <v>0</v>
      </c>
      <c r="H71" s="86"/>
      <c r="I71" s="86"/>
      <c r="J71" s="86"/>
      <c r="K71" s="86"/>
      <c r="L71" s="86"/>
      <c r="M71" s="86"/>
      <c r="N71" s="86"/>
      <c r="O71" s="86"/>
      <c r="P71" s="86"/>
    </row>
    <row r="72" spans="1:16" s="92" customFormat="1">
      <c r="A72" s="619" t="str">
        <f t="shared" ref="A72:A76" si="3">A242</f>
        <v>MMF</v>
      </c>
      <c r="B72" s="239" t="str">
        <f>Products!B99</f>
        <v>800G SR8</v>
      </c>
      <c r="C72" s="240" t="str">
        <f>Products!C99</f>
        <v>50 m</v>
      </c>
      <c r="D72" s="241" t="str">
        <f>Products!D99</f>
        <v>OSFP, QSFP-DD800</v>
      </c>
      <c r="E72" s="90">
        <v>0</v>
      </c>
      <c r="F72" s="90">
        <v>0</v>
      </c>
      <c r="G72" s="90">
        <v>0</v>
      </c>
      <c r="H72" s="90"/>
      <c r="I72" s="90"/>
      <c r="J72" s="90"/>
      <c r="K72" s="90"/>
      <c r="L72" s="90"/>
      <c r="M72" s="90"/>
      <c r="N72" s="90"/>
      <c r="O72" s="90"/>
      <c r="P72" s="90"/>
    </row>
    <row r="73" spans="1:16" s="92" customFormat="1">
      <c r="A73" s="493" t="str">
        <f t="shared" si="3"/>
        <v>SMF</v>
      </c>
      <c r="B73" s="239" t="str">
        <f>Products!B100</f>
        <v>800G DR8, DR4</v>
      </c>
      <c r="C73" s="240" t="str">
        <f>Products!C100</f>
        <v>500 m</v>
      </c>
      <c r="D73" s="241" t="str">
        <f>Products!D100</f>
        <v>OSFP, QSFP-DD800</v>
      </c>
      <c r="E73" s="90">
        <v>0</v>
      </c>
      <c r="F73" s="90">
        <v>0</v>
      </c>
      <c r="G73" s="90">
        <v>0</v>
      </c>
      <c r="H73" s="90"/>
      <c r="I73" s="90"/>
      <c r="J73" s="90"/>
      <c r="K73" s="90"/>
      <c r="L73" s="90"/>
      <c r="M73" s="90"/>
      <c r="N73" s="90"/>
      <c r="O73" s="90"/>
      <c r="P73" s="90"/>
    </row>
    <row r="74" spans="1:16" s="92" customFormat="1">
      <c r="A74" s="493" t="str">
        <f t="shared" si="3"/>
        <v>SMF</v>
      </c>
      <c r="B74" s="239" t="str">
        <f>Products!B101</f>
        <v>2x(400G FR4), 800G FR4</v>
      </c>
      <c r="C74" s="240" t="str">
        <f>Products!C101</f>
        <v>2 km</v>
      </c>
      <c r="D74" s="241" t="str">
        <f>Products!D101</f>
        <v>OSFP, QSFP-DD800</v>
      </c>
      <c r="E74" s="90">
        <v>0</v>
      </c>
      <c r="F74" s="90">
        <v>0</v>
      </c>
      <c r="G74" s="90">
        <v>0</v>
      </c>
      <c r="H74" s="90"/>
      <c r="I74" s="90"/>
      <c r="J74" s="90"/>
      <c r="K74" s="90"/>
      <c r="L74" s="90"/>
      <c r="M74" s="90"/>
      <c r="N74" s="90"/>
      <c r="O74" s="90"/>
      <c r="P74" s="90"/>
    </row>
    <row r="75" spans="1:16" s="92" customFormat="1">
      <c r="A75" s="493" t="str">
        <f t="shared" si="3"/>
        <v>SMF</v>
      </c>
      <c r="B75" s="239" t="str">
        <f>Products!B102</f>
        <v>800G LR8, LR4</v>
      </c>
      <c r="C75" s="240" t="str">
        <f>Products!C102</f>
        <v>6, 10 km</v>
      </c>
      <c r="D75" s="241" t="str">
        <f>Products!D102</f>
        <v>TBD</v>
      </c>
      <c r="E75" s="90">
        <v>0</v>
      </c>
      <c r="F75" s="90">
        <v>0</v>
      </c>
      <c r="G75" s="90">
        <v>0</v>
      </c>
      <c r="H75" s="90"/>
      <c r="I75" s="90"/>
      <c r="J75" s="90"/>
      <c r="K75" s="90"/>
      <c r="L75" s="90"/>
      <c r="M75" s="90"/>
      <c r="N75" s="90"/>
      <c r="O75" s="90"/>
      <c r="P75" s="90"/>
    </row>
    <row r="76" spans="1:16" s="92" customFormat="1">
      <c r="A76" s="493" t="str">
        <f t="shared" si="3"/>
        <v>SMF</v>
      </c>
      <c r="B76" s="239" t="str">
        <f>Products!B103</f>
        <v>800G ZRlite</v>
      </c>
      <c r="C76" s="240" t="str">
        <f>Products!C103</f>
        <v>10 km, 20 km</v>
      </c>
      <c r="D76" s="241" t="str">
        <f>Products!D103</f>
        <v>TBD</v>
      </c>
      <c r="E76" s="90">
        <v>0</v>
      </c>
      <c r="F76" s="90">
        <v>0</v>
      </c>
      <c r="G76" s="90">
        <v>0</v>
      </c>
      <c r="H76" s="90"/>
      <c r="I76" s="90"/>
      <c r="J76" s="90"/>
      <c r="K76" s="90"/>
      <c r="L76" s="90"/>
      <c r="M76" s="90"/>
      <c r="N76" s="90"/>
      <c r="O76" s="90"/>
      <c r="P76" s="90"/>
    </row>
    <row r="77" spans="1:16" s="92" customFormat="1">
      <c r="A77" s="493" t="str">
        <f t="shared" ref="A77" si="4">A247</f>
        <v>SMF</v>
      </c>
      <c r="B77" s="242" t="str">
        <f>Products!B104</f>
        <v>800G ER4</v>
      </c>
      <c r="C77" s="243" t="str">
        <f>Products!C104</f>
        <v>40 km</v>
      </c>
      <c r="D77" s="244" t="str">
        <f>Products!D104</f>
        <v>TBD</v>
      </c>
      <c r="E77" s="86">
        <v>0</v>
      </c>
      <c r="F77" s="86">
        <v>0</v>
      </c>
      <c r="G77" s="86">
        <v>0</v>
      </c>
      <c r="H77" s="86"/>
      <c r="I77" s="86"/>
      <c r="J77" s="86"/>
      <c r="K77" s="86"/>
      <c r="L77" s="86"/>
      <c r="M77" s="86"/>
      <c r="N77" s="86"/>
      <c r="O77" s="86"/>
      <c r="P77" s="86"/>
    </row>
    <row r="78" spans="1:16" s="92" customFormat="1">
      <c r="A78" s="619" t="s">
        <v>102</v>
      </c>
      <c r="B78" s="239" t="str">
        <f>Products!B105</f>
        <v>1.6T SR16</v>
      </c>
      <c r="C78" s="240" t="str">
        <f>Products!C105</f>
        <v>100 m</v>
      </c>
      <c r="D78" s="241" t="str">
        <f>Products!D105</f>
        <v>OSFP-XD and TBD</v>
      </c>
      <c r="E78" s="90">
        <v>0</v>
      </c>
      <c r="F78" s="90">
        <v>0</v>
      </c>
      <c r="G78" s="90">
        <v>0</v>
      </c>
      <c r="H78" s="90"/>
      <c r="I78" s="90"/>
      <c r="J78" s="90"/>
      <c r="K78" s="90"/>
      <c r="L78" s="90"/>
      <c r="M78" s="90"/>
      <c r="N78" s="90"/>
      <c r="O78" s="90"/>
      <c r="P78" s="90"/>
    </row>
    <row r="79" spans="1:16" s="92" customFormat="1">
      <c r="A79" s="493" t="s">
        <v>103</v>
      </c>
      <c r="B79" s="239" t="str">
        <f>Products!B106</f>
        <v>1.6T DR8</v>
      </c>
      <c r="C79" s="240" t="str">
        <f>Products!C106</f>
        <v>500 m</v>
      </c>
      <c r="D79" s="241" t="str">
        <f>Products!D106</f>
        <v>OSFP-XD and TBD</v>
      </c>
      <c r="E79" s="90">
        <v>0</v>
      </c>
      <c r="F79" s="90">
        <v>0</v>
      </c>
      <c r="G79" s="90">
        <v>0</v>
      </c>
      <c r="H79" s="90"/>
      <c r="I79" s="90"/>
      <c r="J79" s="90"/>
      <c r="K79" s="90"/>
      <c r="L79" s="90"/>
      <c r="M79" s="90"/>
      <c r="N79" s="90"/>
      <c r="O79" s="90"/>
      <c r="P79" s="90"/>
    </row>
    <row r="80" spans="1:16" s="92" customFormat="1">
      <c r="A80" s="493" t="s">
        <v>103</v>
      </c>
      <c r="B80" s="239" t="str">
        <f>Products!B107</f>
        <v>1.6T FR8</v>
      </c>
      <c r="C80" s="240" t="str">
        <f>Products!C107</f>
        <v>2 km</v>
      </c>
      <c r="D80" s="241" t="str">
        <f>Products!D107</f>
        <v>OSFP-XD and TBD</v>
      </c>
      <c r="E80" s="90">
        <v>0</v>
      </c>
      <c r="F80" s="90">
        <v>0</v>
      </c>
      <c r="G80" s="90">
        <v>0</v>
      </c>
      <c r="H80" s="90"/>
      <c r="I80" s="90"/>
      <c r="J80" s="90"/>
      <c r="K80" s="90"/>
      <c r="L80" s="90"/>
      <c r="M80" s="90"/>
      <c r="N80" s="90"/>
      <c r="O80" s="90"/>
      <c r="P80" s="90"/>
    </row>
    <row r="81" spans="1:16" s="92" customFormat="1">
      <c r="A81" s="493" t="s">
        <v>103</v>
      </c>
      <c r="B81" s="239" t="str">
        <f>Products!B108</f>
        <v>1.6T LR8</v>
      </c>
      <c r="C81" s="240" t="str">
        <f>Products!C108</f>
        <v>10 km</v>
      </c>
      <c r="D81" s="241" t="str">
        <f>Products!D108</f>
        <v>OSFP-XD and TBD</v>
      </c>
      <c r="E81" s="90">
        <v>0</v>
      </c>
      <c r="F81" s="90">
        <v>0</v>
      </c>
      <c r="G81" s="90">
        <v>0</v>
      </c>
      <c r="H81" s="90"/>
      <c r="I81" s="90"/>
      <c r="J81" s="90"/>
      <c r="K81" s="90"/>
      <c r="L81" s="90"/>
      <c r="M81" s="90"/>
      <c r="N81" s="90"/>
      <c r="O81" s="90"/>
      <c r="P81" s="90"/>
    </row>
    <row r="82" spans="1:16" s="92" customFormat="1">
      <c r="A82" s="493" t="s">
        <v>103</v>
      </c>
      <c r="B82" s="242" t="str">
        <f>Products!B109</f>
        <v>1.6T ER8</v>
      </c>
      <c r="C82" s="243" t="str">
        <f>Products!C109</f>
        <v>&gt;10 km</v>
      </c>
      <c r="D82" s="244" t="str">
        <f>Products!D109</f>
        <v>OSFP-XD and TBD</v>
      </c>
      <c r="E82" s="86">
        <v>0</v>
      </c>
      <c r="F82" s="86">
        <v>0</v>
      </c>
      <c r="G82" s="86">
        <v>0</v>
      </c>
      <c r="H82" s="86"/>
      <c r="I82" s="86"/>
      <c r="J82" s="86"/>
      <c r="K82" s="86"/>
      <c r="L82" s="86"/>
      <c r="M82" s="86"/>
      <c r="N82" s="86"/>
      <c r="O82" s="86"/>
      <c r="P82" s="86"/>
    </row>
    <row r="83" spans="1:16" s="92" customFormat="1">
      <c r="A83" s="619" t="s">
        <v>102</v>
      </c>
      <c r="B83" s="239" t="str">
        <f>Products!B110</f>
        <v>3.2T SR</v>
      </c>
      <c r="C83" s="240" t="str">
        <f>Products!C110</f>
        <v>100 m</v>
      </c>
      <c r="D83" s="241" t="str">
        <f>Products!D110</f>
        <v>OSFP-XD and TBD</v>
      </c>
      <c r="E83" s="90">
        <v>0</v>
      </c>
      <c r="F83" s="90">
        <v>0</v>
      </c>
      <c r="G83" s="90">
        <v>0</v>
      </c>
      <c r="H83" s="90"/>
      <c r="I83" s="90"/>
      <c r="J83" s="90"/>
      <c r="K83" s="90"/>
      <c r="L83" s="90"/>
      <c r="M83" s="90"/>
      <c r="N83" s="90"/>
      <c r="O83" s="90"/>
      <c r="P83" s="90"/>
    </row>
    <row r="84" spans="1:16" s="92" customFormat="1">
      <c r="A84" s="493" t="s">
        <v>103</v>
      </c>
      <c r="B84" s="239" t="str">
        <f>Products!B111</f>
        <v>3.2T DR</v>
      </c>
      <c r="C84" s="240" t="str">
        <f>Products!C111</f>
        <v>500 m</v>
      </c>
      <c r="D84" s="241" t="str">
        <f>Products!D111</f>
        <v>OSFP-XD and TBD</v>
      </c>
      <c r="E84" s="90">
        <v>0</v>
      </c>
      <c r="F84" s="90">
        <v>0</v>
      </c>
      <c r="G84" s="90">
        <v>0</v>
      </c>
      <c r="H84" s="90"/>
      <c r="I84" s="90"/>
      <c r="J84" s="90"/>
      <c r="K84" s="90"/>
      <c r="L84" s="90"/>
      <c r="M84" s="90"/>
      <c r="N84" s="90"/>
      <c r="O84" s="90"/>
      <c r="P84" s="90"/>
    </row>
    <row r="85" spans="1:16" s="92" customFormat="1">
      <c r="A85" s="493" t="s">
        <v>103</v>
      </c>
      <c r="B85" s="239" t="str">
        <f>Products!B112</f>
        <v>3.2T FR</v>
      </c>
      <c r="C85" s="240" t="str">
        <f>Products!C112</f>
        <v>2 km</v>
      </c>
      <c r="D85" s="241" t="str">
        <f>Products!D112</f>
        <v>OSFP-XD and TBD</v>
      </c>
      <c r="E85" s="90">
        <v>0</v>
      </c>
      <c r="F85" s="90">
        <v>0</v>
      </c>
      <c r="G85" s="90">
        <v>0</v>
      </c>
      <c r="H85" s="90"/>
      <c r="I85" s="90"/>
      <c r="J85" s="90"/>
      <c r="K85" s="90"/>
      <c r="L85" s="90"/>
      <c r="M85" s="90"/>
      <c r="N85" s="90"/>
      <c r="O85" s="90"/>
      <c r="P85" s="90"/>
    </row>
    <row r="86" spans="1:16" s="92" customFormat="1">
      <c r="A86" s="493" t="s">
        <v>103</v>
      </c>
      <c r="B86" s="239" t="str">
        <f>Products!B113</f>
        <v>3.2T LR</v>
      </c>
      <c r="C86" s="240" t="str">
        <f>Products!C113</f>
        <v>10 km</v>
      </c>
      <c r="D86" s="241" t="str">
        <f>Products!D113</f>
        <v>OSFP-XD and TBD</v>
      </c>
      <c r="E86" s="90">
        <v>0</v>
      </c>
      <c r="F86" s="90">
        <v>0</v>
      </c>
      <c r="G86" s="90">
        <v>0</v>
      </c>
      <c r="H86" s="90"/>
      <c r="I86" s="90"/>
      <c r="J86" s="90"/>
      <c r="K86" s="90"/>
      <c r="L86" s="90"/>
      <c r="M86" s="90"/>
      <c r="N86" s="90"/>
      <c r="O86" s="90"/>
      <c r="P86" s="90"/>
    </row>
    <row r="87" spans="1:16" s="92" customFormat="1">
      <c r="A87" s="493" t="s">
        <v>103</v>
      </c>
      <c r="B87" s="239" t="str">
        <f>Products!B114</f>
        <v>3.2T ER</v>
      </c>
      <c r="C87" s="240" t="str">
        <f>Products!C114</f>
        <v>&gt;10 km</v>
      </c>
      <c r="D87" s="241" t="str">
        <f>Products!D114</f>
        <v>OSFP-XD and TBD</v>
      </c>
      <c r="E87" s="90">
        <v>0</v>
      </c>
      <c r="F87" s="90">
        <v>0</v>
      </c>
      <c r="G87" s="90">
        <v>0</v>
      </c>
      <c r="H87" s="90"/>
      <c r="I87" s="90"/>
      <c r="J87" s="90"/>
      <c r="K87" s="90"/>
      <c r="L87" s="90"/>
      <c r="M87" s="90"/>
      <c r="N87" s="90"/>
      <c r="O87" s="90"/>
      <c r="P87" s="90"/>
    </row>
    <row r="88" spans="1:16" s="92" customFormat="1">
      <c r="A88" s="493"/>
      <c r="B88" s="242"/>
      <c r="C88" s="243"/>
      <c r="D88" s="244"/>
      <c r="E88" s="86"/>
      <c r="F88" s="86"/>
      <c r="G88" s="86"/>
      <c r="H88" s="86"/>
      <c r="I88" s="86"/>
      <c r="J88" s="86"/>
      <c r="K88" s="86"/>
      <c r="L88" s="86"/>
      <c r="M88" s="86"/>
      <c r="N88" s="86"/>
      <c r="O88" s="86"/>
      <c r="P88" s="86"/>
    </row>
    <row r="89" spans="1:16">
      <c r="B89" s="45" t="s">
        <v>20</v>
      </c>
      <c r="C89" s="46"/>
      <c r="D89" s="47"/>
      <c r="E89" s="96">
        <f t="shared" ref="E89:P89" si="5">SUM(E9:E88)</f>
        <v>10649308.537719864</v>
      </c>
      <c r="F89" s="96">
        <f t="shared" si="5"/>
        <v>13336049.134659462</v>
      </c>
      <c r="G89" s="96">
        <f t="shared" si="5"/>
        <v>15893347.87633656</v>
      </c>
      <c r="H89" s="96">
        <f t="shared" si="5"/>
        <v>0</v>
      </c>
      <c r="I89" s="96">
        <f t="shared" si="5"/>
        <v>0</v>
      </c>
      <c r="J89" s="96">
        <f t="shared" si="5"/>
        <v>0</v>
      </c>
      <c r="K89" s="96">
        <f t="shared" si="5"/>
        <v>0</v>
      </c>
      <c r="L89" s="96">
        <f t="shared" si="5"/>
        <v>0</v>
      </c>
      <c r="M89" s="96">
        <f t="shared" si="5"/>
        <v>0</v>
      </c>
      <c r="N89" s="96">
        <f t="shared" si="5"/>
        <v>0</v>
      </c>
      <c r="O89" s="96">
        <f t="shared" si="5"/>
        <v>0</v>
      </c>
      <c r="P89" s="96">
        <f t="shared" si="5"/>
        <v>0</v>
      </c>
    </row>
    <row r="92" spans="1:16" ht="21">
      <c r="B92" s="14" t="s">
        <v>19</v>
      </c>
      <c r="C92" s="14"/>
      <c r="D92" s="14"/>
    </row>
    <row r="93" spans="1:16">
      <c r="B93" s="359" t="str">
        <f>B6</f>
        <v>Data Rate</v>
      </c>
      <c r="C93" s="360" t="str">
        <f>C6</f>
        <v>Reach</v>
      </c>
      <c r="D93" s="360" t="str">
        <f>D6</f>
        <v>Form Factor</v>
      </c>
      <c r="E93" s="265">
        <v>2016</v>
      </c>
      <c r="F93" s="265">
        <v>2017</v>
      </c>
      <c r="G93" s="265">
        <v>2018</v>
      </c>
      <c r="H93" s="265">
        <v>2019</v>
      </c>
      <c r="I93" s="265">
        <v>2020</v>
      </c>
      <c r="J93" s="265">
        <v>2021</v>
      </c>
      <c r="K93" s="265">
        <v>2022</v>
      </c>
      <c r="L93" s="265">
        <v>2023</v>
      </c>
      <c r="M93" s="265">
        <v>2024</v>
      </c>
      <c r="N93" s="265">
        <v>2025</v>
      </c>
      <c r="O93" s="265">
        <v>2026</v>
      </c>
      <c r="P93" s="265">
        <v>2027</v>
      </c>
    </row>
    <row r="94" spans="1:16">
      <c r="B94" s="79" t="str">
        <f t="shared" ref="B94:D113" si="6">B9</f>
        <v>1G</v>
      </c>
      <c r="C94" s="80" t="str">
        <f t="shared" si="6"/>
        <v>500 m</v>
      </c>
      <c r="D94" s="81" t="str">
        <f t="shared" si="6"/>
        <v>SFP</v>
      </c>
      <c r="E94" s="101">
        <f>'Products x speed'!E105</f>
        <v>10.178233731377588</v>
      </c>
      <c r="F94" s="101">
        <f>'Products x speed'!F105</f>
        <v>8.9746992158904888</v>
      </c>
      <c r="G94" s="101">
        <f>'Products x speed'!G105</f>
        <v>8.1963947817703744</v>
      </c>
      <c r="H94" s="101">
        <f>'Products x speed'!H105</f>
        <v>0</v>
      </c>
      <c r="I94" s="101">
        <f>'Products x speed'!I105</f>
        <v>0</v>
      </c>
      <c r="J94" s="101">
        <f>'Products x speed'!J105</f>
        <v>0</v>
      </c>
      <c r="K94" s="101">
        <f>'Products x speed'!K105</f>
        <v>0</v>
      </c>
      <c r="L94" s="101">
        <f>'Products x speed'!L105</f>
        <v>0</v>
      </c>
      <c r="M94" s="101">
        <f>'Products x speed'!M105</f>
        <v>0</v>
      </c>
      <c r="N94" s="101">
        <f>'Products x speed'!N105</f>
        <v>0</v>
      </c>
      <c r="O94" s="101">
        <f>'Products x speed'!O105</f>
        <v>0</v>
      </c>
      <c r="P94" s="101">
        <f>'Products x speed'!P105</f>
        <v>0</v>
      </c>
    </row>
    <row r="95" spans="1:16">
      <c r="B95" s="87" t="str">
        <f t="shared" si="6"/>
        <v>1G</v>
      </c>
      <c r="C95" s="88" t="str">
        <f t="shared" si="6"/>
        <v>10 km</v>
      </c>
      <c r="D95" s="89" t="str">
        <f t="shared" si="6"/>
        <v>SFP</v>
      </c>
      <c r="E95" s="103">
        <f>'Products x speed'!E106</f>
        <v>11.313150064475876</v>
      </c>
      <c r="F95" s="103">
        <f>'Products x speed'!F106</f>
        <v>9.7279618337487541</v>
      </c>
      <c r="G95" s="103">
        <f>'Products x speed'!G106</f>
        <v>7.9991133376783168</v>
      </c>
      <c r="H95" s="103">
        <f>'Products x speed'!H106</f>
        <v>0</v>
      </c>
      <c r="I95" s="103">
        <f>'Products x speed'!I106</f>
        <v>0</v>
      </c>
      <c r="J95" s="103">
        <f>'Products x speed'!J106</f>
        <v>0</v>
      </c>
      <c r="K95" s="103">
        <f>'Products x speed'!K106</f>
        <v>0</v>
      </c>
      <c r="L95" s="103">
        <f>'Products x speed'!L106</f>
        <v>0</v>
      </c>
      <c r="M95" s="103">
        <f>'Products x speed'!M106</f>
        <v>0</v>
      </c>
      <c r="N95" s="103">
        <f>'Products x speed'!N106</f>
        <v>0</v>
      </c>
      <c r="O95" s="103">
        <f>'Products x speed'!O106</f>
        <v>0</v>
      </c>
      <c r="P95" s="103">
        <f>'Products x speed'!P106</f>
        <v>0</v>
      </c>
    </row>
    <row r="96" spans="1:16">
      <c r="B96" s="87" t="str">
        <f t="shared" si="6"/>
        <v>1G</v>
      </c>
      <c r="C96" s="88" t="str">
        <f t="shared" si="6"/>
        <v>40 km</v>
      </c>
      <c r="D96" s="89" t="str">
        <f t="shared" si="6"/>
        <v>SFP</v>
      </c>
      <c r="E96" s="103">
        <f>'Products x speed'!E107</f>
        <v>14.223250006112197</v>
      </c>
      <c r="F96" s="103">
        <f>'Products x speed'!F107</f>
        <v>11.270556706605298</v>
      </c>
      <c r="G96" s="103">
        <f>'Products x speed'!G107</f>
        <v>11.355942578382948</v>
      </c>
      <c r="H96" s="103">
        <f>'Products x speed'!H107</f>
        <v>0</v>
      </c>
      <c r="I96" s="103">
        <f>'Products x speed'!I107</f>
        <v>0</v>
      </c>
      <c r="J96" s="103">
        <f>'Products x speed'!J107</f>
        <v>0</v>
      </c>
      <c r="K96" s="103">
        <f>'Products x speed'!K107</f>
        <v>0</v>
      </c>
      <c r="L96" s="103">
        <f>'Products x speed'!L107</f>
        <v>0</v>
      </c>
      <c r="M96" s="103">
        <f>'Products x speed'!M107</f>
        <v>0</v>
      </c>
      <c r="N96" s="103">
        <f>'Products x speed'!N107</f>
        <v>0</v>
      </c>
      <c r="O96" s="103">
        <f>'Products x speed'!O107</f>
        <v>0</v>
      </c>
      <c r="P96" s="103">
        <f>'Products x speed'!P107</f>
        <v>0</v>
      </c>
    </row>
    <row r="97" spans="1:16">
      <c r="B97" s="87" t="str">
        <f t="shared" si="6"/>
        <v>1G</v>
      </c>
      <c r="C97" s="88" t="str">
        <f t="shared" si="6"/>
        <v>80 km</v>
      </c>
      <c r="D97" s="88" t="str">
        <f t="shared" si="6"/>
        <v>SFP</v>
      </c>
      <c r="E97" s="103">
        <f>'Products x speed'!E108</f>
        <v>47.263945249069465</v>
      </c>
      <c r="F97" s="103">
        <f>'Products x speed'!F108</f>
        <v>42.349942382451964</v>
      </c>
      <c r="G97" s="103">
        <f>'Products x speed'!G108</f>
        <v>32.87799862653884</v>
      </c>
      <c r="H97" s="103">
        <f>'Products x speed'!H108</f>
        <v>0</v>
      </c>
      <c r="I97" s="103">
        <f>'Products x speed'!I108</f>
        <v>0</v>
      </c>
      <c r="J97" s="103">
        <f>'Products x speed'!J108</f>
        <v>0</v>
      </c>
      <c r="K97" s="103">
        <f>'Products x speed'!K108</f>
        <v>0</v>
      </c>
      <c r="L97" s="103">
        <f>'Products x speed'!L108</f>
        <v>0</v>
      </c>
      <c r="M97" s="103">
        <f>'Products x speed'!M108</f>
        <v>0</v>
      </c>
      <c r="N97" s="103">
        <f>'Products x speed'!N108</f>
        <v>0</v>
      </c>
      <c r="O97" s="103">
        <f>'Products x speed'!O108</f>
        <v>0</v>
      </c>
      <c r="P97" s="103">
        <f>'Products x speed'!P108</f>
        <v>0</v>
      </c>
    </row>
    <row r="98" spans="1:16">
      <c r="A98" s="210"/>
      <c r="B98" s="83" t="str">
        <f t="shared" si="6"/>
        <v>1G &amp; Fast Ethernet</v>
      </c>
      <c r="C98" s="84" t="str">
        <f t="shared" si="6"/>
        <v>Various</v>
      </c>
      <c r="D98" s="84" t="str">
        <f t="shared" si="6"/>
        <v>Legacy/discontinued</v>
      </c>
      <c r="E98" s="102">
        <f>'Products x speed'!E109</f>
        <v>18</v>
      </c>
      <c r="F98" s="102" t="str">
        <f>'Products x speed'!F109</f>
        <v/>
      </c>
      <c r="G98" s="102" t="str">
        <f>'Products x speed'!G109</f>
        <v/>
      </c>
      <c r="H98" s="102">
        <f>'Products x speed'!H109</f>
        <v>0</v>
      </c>
      <c r="I98" s="102">
        <f>'Products x speed'!I109</f>
        <v>0</v>
      </c>
      <c r="J98" s="102">
        <f>'Products x speed'!J109</f>
        <v>0</v>
      </c>
      <c r="K98" s="102">
        <f>'Products x speed'!K109</f>
        <v>0</v>
      </c>
      <c r="L98" s="102">
        <f>'Products x speed'!L109</f>
        <v>0</v>
      </c>
      <c r="M98" s="102">
        <f>'Products x speed'!M109</f>
        <v>0</v>
      </c>
      <c r="N98" s="102">
        <f>'Products x speed'!N109</f>
        <v>0</v>
      </c>
      <c r="O98" s="102">
        <f>'Products x speed'!O109</f>
        <v>0</v>
      </c>
      <c r="P98" s="102">
        <f>'Products x speed'!P109</f>
        <v>0</v>
      </c>
    </row>
    <row r="99" spans="1:16">
      <c r="B99" s="87" t="str">
        <f t="shared" si="6"/>
        <v>10G</v>
      </c>
      <c r="C99" s="88" t="str">
        <f t="shared" si="6"/>
        <v>300 m</v>
      </c>
      <c r="D99" s="88" t="str">
        <f t="shared" si="6"/>
        <v>XFP</v>
      </c>
      <c r="E99" s="103">
        <f>'Products x speed'!E110</f>
        <v>65.084287545305614</v>
      </c>
      <c r="F99" s="103">
        <f>'Products x speed'!F110</f>
        <v>58.749084731162213</v>
      </c>
      <c r="G99" s="103">
        <f>'Products x speed'!G110</f>
        <v>53.859817130996483</v>
      </c>
      <c r="H99" s="103">
        <f>'Products x speed'!H110</f>
        <v>0</v>
      </c>
      <c r="I99" s="103">
        <f>'Products x speed'!I110</f>
        <v>0</v>
      </c>
      <c r="J99" s="103">
        <f>'Products x speed'!J110</f>
        <v>0</v>
      </c>
      <c r="K99" s="103">
        <f>'Products x speed'!K110</f>
        <v>0</v>
      </c>
      <c r="L99" s="103">
        <f>'Products x speed'!L110</f>
        <v>0</v>
      </c>
      <c r="M99" s="103">
        <f>'Products x speed'!M110</f>
        <v>0</v>
      </c>
      <c r="N99" s="103">
        <f>'Products x speed'!N110</f>
        <v>0</v>
      </c>
      <c r="O99" s="103">
        <f>'Products x speed'!O110</f>
        <v>0</v>
      </c>
      <c r="P99" s="103">
        <f>'Products x speed'!P110</f>
        <v>0</v>
      </c>
    </row>
    <row r="100" spans="1:16">
      <c r="B100" s="87" t="str">
        <f t="shared" si="6"/>
        <v>10G</v>
      </c>
      <c r="C100" s="88" t="str">
        <f t="shared" si="6"/>
        <v>300 m</v>
      </c>
      <c r="D100" s="88" t="str">
        <f t="shared" si="6"/>
        <v>SFP+</v>
      </c>
      <c r="E100" s="103">
        <f>'Products x speed'!E111</f>
        <v>18.016278339273537</v>
      </c>
      <c r="F100" s="103">
        <f>'Products x speed'!F111</f>
        <v>15.097691372748406</v>
      </c>
      <c r="G100" s="103">
        <f>'Products x speed'!G111</f>
        <v>12.873119482168063</v>
      </c>
      <c r="H100" s="103">
        <f>'Products x speed'!H111</f>
        <v>0</v>
      </c>
      <c r="I100" s="103">
        <f>'Products x speed'!I111</f>
        <v>0</v>
      </c>
      <c r="J100" s="103">
        <f>'Products x speed'!J111</f>
        <v>0</v>
      </c>
      <c r="K100" s="103">
        <f>'Products x speed'!K111</f>
        <v>0</v>
      </c>
      <c r="L100" s="103">
        <f>'Products x speed'!L111</f>
        <v>0</v>
      </c>
      <c r="M100" s="103">
        <f>'Products x speed'!M111</f>
        <v>0</v>
      </c>
      <c r="N100" s="103">
        <f>'Products x speed'!N111</f>
        <v>0</v>
      </c>
      <c r="O100" s="103">
        <f>'Products x speed'!O111</f>
        <v>0</v>
      </c>
      <c r="P100" s="103">
        <f>'Products x speed'!P111</f>
        <v>0</v>
      </c>
    </row>
    <row r="101" spans="1:16">
      <c r="B101" s="87" t="str">
        <f t="shared" si="6"/>
        <v>10G LRM</v>
      </c>
      <c r="C101" s="88" t="str">
        <f t="shared" si="6"/>
        <v>220 m</v>
      </c>
      <c r="D101" s="88" t="str">
        <f t="shared" si="6"/>
        <v>SFP+</v>
      </c>
      <c r="E101" s="103">
        <f>'Products x speed'!E112</f>
        <v>78.390761412913719</v>
      </c>
      <c r="F101" s="103">
        <f>'Products x speed'!F112</f>
        <v>66.716018564745482</v>
      </c>
      <c r="G101" s="103">
        <f>'Products x speed'!G112</f>
        <v>62.552567664917163</v>
      </c>
      <c r="H101" s="103">
        <f>'Products x speed'!H112</f>
        <v>0</v>
      </c>
      <c r="I101" s="103">
        <f>'Products x speed'!I112</f>
        <v>0</v>
      </c>
      <c r="J101" s="103">
        <f>'Products x speed'!J112</f>
        <v>0</v>
      </c>
      <c r="K101" s="103">
        <f>'Products x speed'!K112</f>
        <v>0</v>
      </c>
      <c r="L101" s="103">
        <f>'Products x speed'!L112</f>
        <v>0</v>
      </c>
      <c r="M101" s="103">
        <f>'Products x speed'!M112</f>
        <v>0</v>
      </c>
      <c r="N101" s="103">
        <f>'Products x speed'!N112</f>
        <v>0</v>
      </c>
      <c r="O101" s="103">
        <f>'Products x speed'!O112</f>
        <v>0</v>
      </c>
      <c r="P101" s="103">
        <f>'Products x speed'!P112</f>
        <v>0</v>
      </c>
    </row>
    <row r="102" spans="1:16">
      <c r="B102" s="87" t="str">
        <f t="shared" si="6"/>
        <v>10G</v>
      </c>
      <c r="C102" s="88" t="str">
        <f t="shared" si="6"/>
        <v>10 km</v>
      </c>
      <c r="D102" s="88" t="str">
        <f t="shared" si="6"/>
        <v>XFP</v>
      </c>
      <c r="E102" s="103">
        <f>'Products x speed'!E113</f>
        <v>67.576972221049004</v>
      </c>
      <c r="F102" s="103">
        <f>'Products x speed'!F113</f>
        <v>51.799368807617711</v>
      </c>
      <c r="G102" s="103">
        <f>'Products x speed'!G113</f>
        <v>44.013044587017021</v>
      </c>
      <c r="H102" s="103">
        <f>'Products x speed'!H113</f>
        <v>0</v>
      </c>
      <c r="I102" s="103">
        <f>'Products x speed'!I113</f>
        <v>0</v>
      </c>
      <c r="J102" s="103">
        <f>'Products x speed'!J113</f>
        <v>0</v>
      </c>
      <c r="K102" s="103">
        <f>'Products x speed'!K113</f>
        <v>0</v>
      </c>
      <c r="L102" s="103">
        <f>'Products x speed'!L113</f>
        <v>0</v>
      </c>
      <c r="M102" s="103">
        <f>'Products x speed'!M113</f>
        <v>0</v>
      </c>
      <c r="N102" s="103">
        <f>'Products x speed'!N113</f>
        <v>0</v>
      </c>
      <c r="O102" s="103">
        <f>'Products x speed'!O113</f>
        <v>0</v>
      </c>
      <c r="P102" s="103">
        <f>'Products x speed'!P113</f>
        <v>0</v>
      </c>
    </row>
    <row r="103" spans="1:16">
      <c r="B103" s="87" t="str">
        <f t="shared" si="6"/>
        <v>10G</v>
      </c>
      <c r="C103" s="88" t="str">
        <f t="shared" si="6"/>
        <v>10 km</v>
      </c>
      <c r="D103" s="88" t="str">
        <f t="shared" si="6"/>
        <v>SFP+</v>
      </c>
      <c r="E103" s="104">
        <f>'Products x speed'!E114</f>
        <v>38.465958311427336</v>
      </c>
      <c r="F103" s="104">
        <f>'Products x speed'!F114</f>
        <v>30.5</v>
      </c>
      <c r="G103" s="104">
        <f>'Products x speed'!G114</f>
        <v>24.174517052756187</v>
      </c>
      <c r="H103" s="104">
        <f>'Products x speed'!H114</f>
        <v>0</v>
      </c>
      <c r="I103" s="104">
        <f>'Products x speed'!I114</f>
        <v>0</v>
      </c>
      <c r="J103" s="104">
        <f>'Products x speed'!J114</f>
        <v>0</v>
      </c>
      <c r="K103" s="104">
        <f>'Products x speed'!K114</f>
        <v>0</v>
      </c>
      <c r="L103" s="104">
        <f>'Products x speed'!L114</f>
        <v>0</v>
      </c>
      <c r="M103" s="104">
        <f>'Products x speed'!M114</f>
        <v>0</v>
      </c>
      <c r="N103" s="104">
        <f>'Products x speed'!N114</f>
        <v>0</v>
      </c>
      <c r="O103" s="104">
        <f>'Products x speed'!O114</f>
        <v>0</v>
      </c>
      <c r="P103" s="104">
        <f>'Products x speed'!P114</f>
        <v>0</v>
      </c>
    </row>
    <row r="104" spans="1:16">
      <c r="B104" s="87" t="str">
        <f t="shared" si="6"/>
        <v>10G</v>
      </c>
      <c r="C104" s="88" t="str">
        <f t="shared" si="6"/>
        <v>40 km</v>
      </c>
      <c r="D104" s="88" t="str">
        <f t="shared" si="6"/>
        <v>XFP</v>
      </c>
      <c r="E104" s="103">
        <f>'Products x speed'!E115</f>
        <v>202.96860771881492</v>
      </c>
      <c r="F104" s="103">
        <f>'Products x speed'!F115</f>
        <v>139.47449702400385</v>
      </c>
      <c r="G104" s="103">
        <f>'Products x speed'!G115</f>
        <v>119.6669017796072</v>
      </c>
      <c r="H104" s="103">
        <f>'Products x speed'!H115</f>
        <v>0</v>
      </c>
      <c r="I104" s="103">
        <f>'Products x speed'!I115</f>
        <v>0</v>
      </c>
      <c r="J104" s="103">
        <f>'Products x speed'!J115</f>
        <v>0</v>
      </c>
      <c r="K104" s="103">
        <f>'Products x speed'!K115</f>
        <v>0</v>
      </c>
      <c r="L104" s="103">
        <f>'Products x speed'!L115</f>
        <v>0</v>
      </c>
      <c r="M104" s="103">
        <f>'Products x speed'!M115</f>
        <v>0</v>
      </c>
      <c r="N104" s="103">
        <f>'Products x speed'!N115</f>
        <v>0</v>
      </c>
      <c r="O104" s="103">
        <f>'Products x speed'!O115</f>
        <v>0</v>
      </c>
      <c r="P104" s="103">
        <f>'Products x speed'!P115</f>
        <v>0</v>
      </c>
    </row>
    <row r="105" spans="1:16">
      <c r="B105" s="87" t="str">
        <f t="shared" si="6"/>
        <v>10G</v>
      </c>
      <c r="C105" s="88" t="str">
        <f t="shared" si="6"/>
        <v>40 km</v>
      </c>
      <c r="D105" s="88" t="str">
        <f t="shared" si="6"/>
        <v>SFP+</v>
      </c>
      <c r="E105" s="103">
        <f>'Products x speed'!E116</f>
        <v>191.20778168956542</v>
      </c>
      <c r="F105" s="103">
        <f>'Products x speed'!F116</f>
        <v>155.78241680453388</v>
      </c>
      <c r="G105" s="103">
        <f>'Products x speed'!G116</f>
        <v>99.963714368632438</v>
      </c>
      <c r="H105" s="103">
        <f>'Products x speed'!H116</f>
        <v>0</v>
      </c>
      <c r="I105" s="103">
        <f>'Products x speed'!I116</f>
        <v>0</v>
      </c>
      <c r="J105" s="103">
        <f>'Products x speed'!J116</f>
        <v>0</v>
      </c>
      <c r="K105" s="103">
        <f>'Products x speed'!K116</f>
        <v>0</v>
      </c>
      <c r="L105" s="103">
        <f>'Products x speed'!L116</f>
        <v>0</v>
      </c>
      <c r="M105" s="103">
        <f>'Products x speed'!M116</f>
        <v>0</v>
      </c>
      <c r="N105" s="103">
        <f>'Products x speed'!N116</f>
        <v>0</v>
      </c>
      <c r="O105" s="103">
        <f>'Products x speed'!O116</f>
        <v>0</v>
      </c>
      <c r="P105" s="103">
        <f>'Products x speed'!P116</f>
        <v>0</v>
      </c>
    </row>
    <row r="106" spans="1:16">
      <c r="B106" s="87" t="str">
        <f t="shared" si="6"/>
        <v>10G</v>
      </c>
      <c r="C106" s="88" t="str">
        <f t="shared" si="6"/>
        <v>80 km</v>
      </c>
      <c r="D106" s="88" t="str">
        <f t="shared" si="6"/>
        <v>XFP</v>
      </c>
      <c r="E106" s="103">
        <f>'Products x speed'!E117</f>
        <v>272.0748723385496</v>
      </c>
      <c r="F106" s="103">
        <f>'Products x speed'!F117</f>
        <v>279.05568350167476</v>
      </c>
      <c r="G106" s="103">
        <f>'Products x speed'!G117</f>
        <v>298.53432873031477</v>
      </c>
      <c r="H106" s="103">
        <f>'Products x speed'!H117</f>
        <v>0</v>
      </c>
      <c r="I106" s="103">
        <f>'Products x speed'!I117</f>
        <v>0</v>
      </c>
      <c r="J106" s="103">
        <f>'Products x speed'!J117</f>
        <v>0</v>
      </c>
      <c r="K106" s="103">
        <f>'Products x speed'!K117</f>
        <v>0</v>
      </c>
      <c r="L106" s="103">
        <f>'Products x speed'!L117</f>
        <v>0</v>
      </c>
      <c r="M106" s="103">
        <f>'Products x speed'!M117</f>
        <v>0</v>
      </c>
      <c r="N106" s="103">
        <f>'Products x speed'!N117</f>
        <v>0</v>
      </c>
      <c r="O106" s="103">
        <f>'Products x speed'!O117</f>
        <v>0</v>
      </c>
      <c r="P106" s="103">
        <f>'Products x speed'!P117</f>
        <v>0</v>
      </c>
    </row>
    <row r="107" spans="1:16">
      <c r="B107" s="87" t="str">
        <f t="shared" si="6"/>
        <v>10G</v>
      </c>
      <c r="C107" s="88" t="str">
        <f t="shared" si="6"/>
        <v>80 km</v>
      </c>
      <c r="D107" s="88" t="str">
        <f t="shared" si="6"/>
        <v>SFP+</v>
      </c>
      <c r="E107" s="103">
        <f>'Products x speed'!E118</f>
        <v>362.31733736347383</v>
      </c>
      <c r="F107" s="103">
        <f>'Products x speed'!F118</f>
        <v>296.14130230693672</v>
      </c>
      <c r="G107" s="103">
        <f>'Products x speed'!G118</f>
        <v>232.06261204152722</v>
      </c>
      <c r="H107" s="103">
        <f>'Products x speed'!H118</f>
        <v>0</v>
      </c>
      <c r="I107" s="103">
        <f>'Products x speed'!I118</f>
        <v>0</v>
      </c>
      <c r="J107" s="103">
        <f>'Products x speed'!J118</f>
        <v>0</v>
      </c>
      <c r="K107" s="103">
        <f>'Products x speed'!K118</f>
        <v>0</v>
      </c>
      <c r="L107" s="103">
        <f>'Products x speed'!L118</f>
        <v>0</v>
      </c>
      <c r="M107" s="103">
        <f>'Products x speed'!M118</f>
        <v>0</v>
      </c>
      <c r="N107" s="103">
        <f>'Products x speed'!N118</f>
        <v>0</v>
      </c>
      <c r="O107" s="103">
        <f>'Products x speed'!O118</f>
        <v>0</v>
      </c>
      <c r="P107" s="103">
        <f>'Products x speed'!P118</f>
        <v>0</v>
      </c>
    </row>
    <row r="108" spans="1:16">
      <c r="B108" s="87" t="str">
        <f t="shared" si="6"/>
        <v>10G</v>
      </c>
      <c r="C108" s="88" t="str">
        <f t="shared" si="6"/>
        <v>Various</v>
      </c>
      <c r="D108" s="88" t="str">
        <f t="shared" si="6"/>
        <v>Legacy/discontinued</v>
      </c>
      <c r="E108" s="103">
        <f>'Products x speed'!E119</f>
        <v>99.093186017554928</v>
      </c>
      <c r="F108" s="103">
        <f>'Products x speed'!F119</f>
        <v>94.281145957499305</v>
      </c>
      <c r="G108" s="103">
        <f>'Products x speed'!G119</f>
        <v>114.28571428571429</v>
      </c>
      <c r="H108" s="103">
        <f>'Products x speed'!H119</f>
        <v>0</v>
      </c>
      <c r="I108" s="103">
        <f>'Products x speed'!I119</f>
        <v>0</v>
      </c>
      <c r="J108" s="103">
        <f>'Products x speed'!J119</f>
        <v>0</v>
      </c>
      <c r="K108" s="103">
        <f>'Products x speed'!K119</f>
        <v>0</v>
      </c>
      <c r="L108" s="103">
        <f>'Products x speed'!L119</f>
        <v>0</v>
      </c>
      <c r="M108" s="103">
        <f>'Products x speed'!M119</f>
        <v>0</v>
      </c>
      <c r="N108" s="103">
        <f>'Products x speed'!N119</f>
        <v>0</v>
      </c>
      <c r="O108" s="103">
        <f>'Products x speed'!O119</f>
        <v>0</v>
      </c>
      <c r="P108" s="103">
        <f>'Products x speed'!P119</f>
        <v>0</v>
      </c>
    </row>
    <row r="109" spans="1:16">
      <c r="B109" s="79" t="str">
        <f t="shared" si="6"/>
        <v>25G SR, eSR</v>
      </c>
      <c r="C109" s="80" t="str">
        <f t="shared" si="6"/>
        <v>100 - 300 m</v>
      </c>
      <c r="D109" s="81" t="str">
        <f t="shared" si="6"/>
        <v>SFP28</v>
      </c>
      <c r="E109" s="101">
        <f>'Products x speed'!E120</f>
        <v>187.14315701091519</v>
      </c>
      <c r="F109" s="101">
        <f>'Products x speed'!F120</f>
        <v>141.11071819746516</v>
      </c>
      <c r="G109" s="101">
        <f>'Products x speed'!G120</f>
        <v>87.296721341283785</v>
      </c>
      <c r="H109" s="101">
        <f>'Products x speed'!H120</f>
        <v>0</v>
      </c>
      <c r="I109" s="101">
        <f>'Products x speed'!I120</f>
        <v>0</v>
      </c>
      <c r="J109" s="101">
        <f>'Products x speed'!J120</f>
        <v>0</v>
      </c>
      <c r="K109" s="101">
        <f>'Products x speed'!K120</f>
        <v>0</v>
      </c>
      <c r="L109" s="101">
        <f>'Products x speed'!L120</f>
        <v>0</v>
      </c>
      <c r="M109" s="101">
        <f>'Products x speed'!M120</f>
        <v>0</v>
      </c>
      <c r="N109" s="101">
        <f>'Products x speed'!N120</f>
        <v>0</v>
      </c>
      <c r="O109" s="101">
        <f>'Products x speed'!O120</f>
        <v>0</v>
      </c>
      <c r="P109" s="101">
        <f>'Products x speed'!P120</f>
        <v>0</v>
      </c>
    </row>
    <row r="110" spans="1:16">
      <c r="B110" s="87" t="str">
        <f t="shared" si="6"/>
        <v>25G LR</v>
      </c>
      <c r="C110" s="88" t="str">
        <f t="shared" si="6"/>
        <v>10 km</v>
      </c>
      <c r="D110" s="89" t="str">
        <f t="shared" si="6"/>
        <v>SFP28</v>
      </c>
      <c r="E110" s="103">
        <f>'Products x speed'!E121</f>
        <v>456.24032541776609</v>
      </c>
      <c r="F110" s="103">
        <f>'Products x speed'!F121</f>
        <v>324.10355668962507</v>
      </c>
      <c r="G110" s="103">
        <f>'Products x speed'!G121</f>
        <v>194.62477807755377</v>
      </c>
      <c r="H110" s="103">
        <f>'Products x speed'!H121</f>
        <v>0</v>
      </c>
      <c r="I110" s="103">
        <f>'Products x speed'!I121</f>
        <v>0</v>
      </c>
      <c r="J110" s="103">
        <f>'Products x speed'!J121</f>
        <v>0</v>
      </c>
      <c r="K110" s="103">
        <f>'Products x speed'!K121</f>
        <v>0</v>
      </c>
      <c r="L110" s="103">
        <f>'Products x speed'!L121</f>
        <v>0</v>
      </c>
      <c r="M110" s="103">
        <f>'Products x speed'!M121</f>
        <v>0</v>
      </c>
      <c r="N110" s="103">
        <f>'Products x speed'!N121</f>
        <v>0</v>
      </c>
      <c r="O110" s="103">
        <f>'Products x speed'!O121</f>
        <v>0</v>
      </c>
      <c r="P110" s="103">
        <f>'Products x speed'!P121</f>
        <v>0</v>
      </c>
    </row>
    <row r="111" spans="1:16">
      <c r="B111" s="83" t="str">
        <f t="shared" si="6"/>
        <v>25G ER</v>
      </c>
      <c r="C111" s="84" t="str">
        <f t="shared" si="6"/>
        <v>40 km</v>
      </c>
      <c r="D111" s="85" t="str">
        <f t="shared" si="6"/>
        <v>SFP28</v>
      </c>
      <c r="E111" s="102" t="str">
        <f>'Products x speed'!E122</f>
        <v/>
      </c>
      <c r="F111" s="102" t="str">
        <f>'Products x speed'!F122</f>
        <v/>
      </c>
      <c r="G111" s="102" t="str">
        <f>'Products x speed'!G122</f>
        <v/>
      </c>
      <c r="H111" s="102">
        <f>'Products x speed'!H122</f>
        <v>0</v>
      </c>
      <c r="I111" s="102">
        <f>'Products x speed'!I122</f>
        <v>0</v>
      </c>
      <c r="J111" s="102">
        <f>'Products x speed'!J122</f>
        <v>0</v>
      </c>
      <c r="K111" s="102">
        <f>'Products x speed'!K122</f>
        <v>0</v>
      </c>
      <c r="L111" s="102">
        <f>'Products x speed'!L122</f>
        <v>0</v>
      </c>
      <c r="M111" s="102">
        <f>'Products x speed'!M122</f>
        <v>0</v>
      </c>
      <c r="N111" s="102">
        <f>'Products x speed'!N122</f>
        <v>0</v>
      </c>
      <c r="O111" s="102">
        <f>'Products x speed'!O122</f>
        <v>0</v>
      </c>
      <c r="P111" s="102">
        <f>'Products x speed'!P122</f>
        <v>0</v>
      </c>
    </row>
    <row r="112" spans="1:16">
      <c r="B112" s="79" t="str">
        <f t="shared" si="6"/>
        <v>40G SR4</v>
      </c>
      <c r="C112" s="80" t="str">
        <f t="shared" si="6"/>
        <v>100 m</v>
      </c>
      <c r="D112" s="81" t="str">
        <f t="shared" si="6"/>
        <v>QSFP+</v>
      </c>
      <c r="E112" s="101">
        <f>'Products x speed'!E123</f>
        <v>96.595063887564976</v>
      </c>
      <c r="F112" s="101">
        <f>'Products x speed'!F123</f>
        <v>80.379797575925679</v>
      </c>
      <c r="G112" s="101">
        <f>'Products x speed'!G123</f>
        <v>58.660264540622045</v>
      </c>
      <c r="H112" s="101">
        <f>'Products x speed'!H123</f>
        <v>0</v>
      </c>
      <c r="I112" s="101">
        <f>'Products x speed'!I123</f>
        <v>0</v>
      </c>
      <c r="J112" s="101">
        <f>'Products x speed'!J123</f>
        <v>0</v>
      </c>
      <c r="K112" s="101">
        <f>'Products x speed'!K123</f>
        <v>0</v>
      </c>
      <c r="L112" s="101">
        <f>'Products x speed'!L123</f>
        <v>0</v>
      </c>
      <c r="M112" s="101">
        <f>'Products x speed'!M123</f>
        <v>0</v>
      </c>
      <c r="N112" s="101">
        <f>'Products x speed'!N123</f>
        <v>0</v>
      </c>
      <c r="O112" s="101">
        <f>'Products x speed'!O123</f>
        <v>0</v>
      </c>
      <c r="P112" s="101">
        <f>'Products x speed'!P123</f>
        <v>0</v>
      </c>
    </row>
    <row r="113" spans="2:16">
      <c r="B113" s="87" t="str">
        <f t="shared" si="6"/>
        <v>40G MM duplex</v>
      </c>
      <c r="C113" s="88" t="str">
        <f t="shared" si="6"/>
        <v>100 m</v>
      </c>
      <c r="D113" s="89" t="str">
        <f t="shared" si="6"/>
        <v>QSFP+</v>
      </c>
      <c r="E113" s="103">
        <f>'Products x speed'!E124</f>
        <v>250</v>
      </c>
      <c r="F113" s="103">
        <f>'Products x speed'!F124</f>
        <v>240</v>
      </c>
      <c r="G113" s="103">
        <f>'Products x speed'!G124</f>
        <v>227</v>
      </c>
      <c r="H113" s="103">
        <f>'Products x speed'!H124</f>
        <v>0</v>
      </c>
      <c r="I113" s="103">
        <f>'Products x speed'!I124</f>
        <v>0</v>
      </c>
      <c r="J113" s="103">
        <f>'Products x speed'!J124</f>
        <v>0</v>
      </c>
      <c r="K113" s="103">
        <f>'Products x speed'!K124</f>
        <v>0</v>
      </c>
      <c r="L113" s="103">
        <f>'Products x speed'!L124</f>
        <v>0</v>
      </c>
      <c r="M113" s="103">
        <f>'Products x speed'!M124</f>
        <v>0</v>
      </c>
      <c r="N113" s="103">
        <f>'Products x speed'!N124</f>
        <v>0</v>
      </c>
      <c r="O113" s="103">
        <f>'Products x speed'!O124</f>
        <v>0</v>
      </c>
      <c r="P113" s="103">
        <f>'Products x speed'!P124</f>
        <v>0</v>
      </c>
    </row>
    <row r="114" spans="2:16">
      <c r="B114" s="87" t="str">
        <f t="shared" ref="B114:D133" si="7">B29</f>
        <v>40G eSR4</v>
      </c>
      <c r="C114" s="88" t="str">
        <f t="shared" si="7"/>
        <v>300 m</v>
      </c>
      <c r="D114" s="89" t="str">
        <f t="shared" si="7"/>
        <v>QSFP+</v>
      </c>
      <c r="E114" s="104">
        <f>'Products x speed'!E125</f>
        <v>106.66614587912188</v>
      </c>
      <c r="F114" s="104">
        <f>'Products x speed'!F125</f>
        <v>80.99928194026171</v>
      </c>
      <c r="G114" s="104">
        <f>'Products x speed'!G125</f>
        <v>63.850920529241115</v>
      </c>
      <c r="H114" s="104">
        <f>'Products x speed'!H125</f>
        <v>0</v>
      </c>
      <c r="I114" s="104">
        <f>'Products x speed'!I125</f>
        <v>0</v>
      </c>
      <c r="J114" s="104">
        <f>'Products x speed'!J125</f>
        <v>0</v>
      </c>
      <c r="K114" s="104">
        <f>'Products x speed'!K125</f>
        <v>0</v>
      </c>
      <c r="L114" s="104">
        <f>'Products x speed'!L125</f>
        <v>0</v>
      </c>
      <c r="M114" s="104">
        <f>'Products x speed'!M125</f>
        <v>0</v>
      </c>
      <c r="N114" s="104">
        <f>'Products x speed'!N125</f>
        <v>0</v>
      </c>
      <c r="O114" s="104">
        <f>'Products x speed'!O125</f>
        <v>0</v>
      </c>
      <c r="P114" s="104">
        <f>'Products x speed'!P125</f>
        <v>0</v>
      </c>
    </row>
    <row r="115" spans="2:16">
      <c r="B115" s="87" t="str">
        <f t="shared" si="7"/>
        <v>40 G PSM4</v>
      </c>
      <c r="C115" s="88" t="str">
        <f t="shared" si="7"/>
        <v>500 m</v>
      </c>
      <c r="D115" s="89" t="str">
        <f t="shared" si="7"/>
        <v>QSFP+</v>
      </c>
      <c r="E115" s="104">
        <f>'Products x speed'!E126</f>
        <v>253.19068527507093</v>
      </c>
      <c r="F115" s="104">
        <f>'Products x speed'!F126</f>
        <v>262.79055146339874</v>
      </c>
      <c r="G115" s="104">
        <f>'Products x speed'!G126</f>
        <v>251.75081757202989</v>
      </c>
      <c r="H115" s="104">
        <f>'Products x speed'!H126</f>
        <v>0</v>
      </c>
      <c r="I115" s="104">
        <f>'Products x speed'!I126</f>
        <v>0</v>
      </c>
      <c r="J115" s="104">
        <f>'Products x speed'!J126</f>
        <v>0</v>
      </c>
      <c r="K115" s="104">
        <f>'Products x speed'!K126</f>
        <v>0</v>
      </c>
      <c r="L115" s="104">
        <f>'Products x speed'!L126</f>
        <v>0</v>
      </c>
      <c r="M115" s="104">
        <f>'Products x speed'!M126</f>
        <v>0</v>
      </c>
      <c r="N115" s="104">
        <f>'Products x speed'!N126</f>
        <v>0</v>
      </c>
      <c r="O115" s="104">
        <f>'Products x speed'!O126</f>
        <v>0</v>
      </c>
      <c r="P115" s="104">
        <f>'Products x speed'!P126</f>
        <v>0</v>
      </c>
    </row>
    <row r="116" spans="2:16">
      <c r="B116" s="87" t="str">
        <f t="shared" si="7"/>
        <v>40G (FR)</v>
      </c>
      <c r="C116" s="88" t="str">
        <f t="shared" si="7"/>
        <v>2 km</v>
      </c>
      <c r="D116" s="89" t="str">
        <f t="shared" si="7"/>
        <v>CFP</v>
      </c>
      <c r="E116" s="103">
        <f>'Products x speed'!E127</f>
        <v>4569.894941368153</v>
      </c>
      <c r="F116" s="103">
        <f>'Products x speed'!F127</f>
        <v>5251.681208639473</v>
      </c>
      <c r="G116" s="103" t="str">
        <f>'Products x speed'!G127</f>
        <v/>
      </c>
      <c r="H116" s="103">
        <f>'Products x speed'!H127</f>
        <v>0</v>
      </c>
      <c r="I116" s="103">
        <f>'Products x speed'!I127</f>
        <v>0</v>
      </c>
      <c r="J116" s="103">
        <f>'Products x speed'!J127</f>
        <v>0</v>
      </c>
      <c r="K116" s="103">
        <f>'Products x speed'!K127</f>
        <v>0</v>
      </c>
      <c r="L116" s="103">
        <f>'Products x speed'!L127</f>
        <v>0</v>
      </c>
      <c r="M116" s="103">
        <f>'Products x speed'!M127</f>
        <v>0</v>
      </c>
      <c r="N116" s="103">
        <f>'Products x speed'!N127</f>
        <v>0</v>
      </c>
      <c r="O116" s="103">
        <f>'Products x speed'!O127</f>
        <v>0</v>
      </c>
      <c r="P116" s="103">
        <f>'Products x speed'!P127</f>
        <v>0</v>
      </c>
    </row>
    <row r="117" spans="2:16">
      <c r="B117" s="87" t="str">
        <f t="shared" si="7"/>
        <v>40G (LR4 subspec)</v>
      </c>
      <c r="C117" s="88" t="str">
        <f t="shared" si="7"/>
        <v>2 km</v>
      </c>
      <c r="D117" s="89" t="str">
        <f t="shared" si="7"/>
        <v>QSFP+</v>
      </c>
      <c r="E117" s="103">
        <f>'Products x speed'!E128</f>
        <v>377.60055209491952</v>
      </c>
      <c r="F117" s="103">
        <f>'Products x speed'!F128</f>
        <v>343.5254726908467</v>
      </c>
      <c r="G117" s="103">
        <f>'Products x speed'!G128</f>
        <v>303.68617678545809</v>
      </c>
      <c r="H117" s="103"/>
      <c r="I117" s="103"/>
      <c r="J117" s="103"/>
      <c r="K117" s="103"/>
      <c r="L117" s="103"/>
      <c r="M117" s="103"/>
      <c r="N117" s="103"/>
      <c r="O117" s="103"/>
      <c r="P117" s="103"/>
    </row>
    <row r="118" spans="2:16">
      <c r="B118" s="87" t="str">
        <f t="shared" si="7"/>
        <v>40G</v>
      </c>
      <c r="C118" s="88" t="str">
        <f t="shared" si="7"/>
        <v>10 km</v>
      </c>
      <c r="D118" s="89" t="str">
        <f t="shared" si="7"/>
        <v>CFP</v>
      </c>
      <c r="E118" s="103">
        <f>'Products x speed'!E129</f>
        <v>1174.9655306999969</v>
      </c>
      <c r="F118" s="103">
        <f>'Products x speed'!F129</f>
        <v>1350.8997571323105</v>
      </c>
      <c r="G118" s="103" t="str">
        <f>'Products x speed'!G129</f>
        <v/>
      </c>
      <c r="H118" s="103"/>
      <c r="I118" s="103"/>
      <c r="J118" s="103"/>
      <c r="K118" s="103"/>
      <c r="L118" s="103"/>
      <c r="M118" s="103"/>
      <c r="N118" s="103"/>
      <c r="O118" s="103"/>
      <c r="P118" s="103"/>
    </row>
    <row r="119" spans="2:16">
      <c r="B119" s="87" t="str">
        <f t="shared" si="7"/>
        <v>40G</v>
      </c>
      <c r="C119" s="88" t="str">
        <f t="shared" si="7"/>
        <v>10 km</v>
      </c>
      <c r="D119" s="89" t="str">
        <f t="shared" si="7"/>
        <v>QSFP+</v>
      </c>
      <c r="E119" s="103">
        <f>'Products x speed'!E130</f>
        <v>427.72742888770347</v>
      </c>
      <c r="F119" s="103">
        <f>'Products x speed'!F130</f>
        <v>401.36672508917627</v>
      </c>
      <c r="G119" s="103">
        <f>'Products x speed'!G130</f>
        <v>361.77095787062291</v>
      </c>
      <c r="H119" s="103"/>
      <c r="I119" s="103"/>
      <c r="J119" s="103"/>
      <c r="K119" s="103"/>
      <c r="L119" s="103"/>
      <c r="M119" s="103"/>
      <c r="N119" s="103"/>
      <c r="O119" s="103"/>
      <c r="P119" s="103"/>
    </row>
    <row r="120" spans="2:16">
      <c r="B120" s="83" t="str">
        <f t="shared" si="7"/>
        <v>40G</v>
      </c>
      <c r="C120" s="84" t="str">
        <f t="shared" si="7"/>
        <v>40 km</v>
      </c>
      <c r="D120" s="85" t="str">
        <f t="shared" si="7"/>
        <v>QSFP+</v>
      </c>
      <c r="E120" s="102">
        <f>'Products x speed'!E131</f>
        <v>1673.0572324239708</v>
      </c>
      <c r="F120" s="102">
        <f>'Products x speed'!F131</f>
        <v>1459.2330281290015</v>
      </c>
      <c r="G120" s="102">
        <f>'Products x speed'!G131</f>
        <v>1255.0508268482483</v>
      </c>
      <c r="H120" s="102"/>
      <c r="I120" s="102"/>
      <c r="J120" s="102"/>
      <c r="K120" s="102"/>
      <c r="L120" s="102"/>
      <c r="M120" s="102"/>
      <c r="N120" s="102"/>
      <c r="O120" s="102"/>
      <c r="P120" s="102"/>
    </row>
    <row r="121" spans="2:16">
      <c r="B121" s="79" t="str">
        <f t="shared" si="7"/>
        <v xml:space="preserve">50G </v>
      </c>
      <c r="C121" s="80" t="str">
        <f t="shared" si="7"/>
        <v>100 m</v>
      </c>
      <c r="D121" s="81" t="str">
        <f t="shared" si="7"/>
        <v>all</v>
      </c>
      <c r="E121" s="101" t="str">
        <f>'Products x speed'!E132</f>
        <v/>
      </c>
      <c r="F121" s="101" t="str">
        <f>'Products x speed'!F132</f>
        <v/>
      </c>
      <c r="G121" s="101" t="str">
        <f>'Products x speed'!G132</f>
        <v/>
      </c>
      <c r="H121" s="101"/>
      <c r="I121" s="101"/>
      <c r="J121" s="101"/>
      <c r="K121" s="101"/>
      <c r="L121" s="101"/>
      <c r="M121" s="101"/>
      <c r="N121" s="101"/>
      <c r="O121" s="101"/>
      <c r="P121" s="101"/>
    </row>
    <row r="122" spans="2:16">
      <c r="B122" s="87" t="str">
        <f t="shared" si="7"/>
        <v xml:space="preserve">50G </v>
      </c>
      <c r="C122" s="88" t="str">
        <f t="shared" si="7"/>
        <v>2 km</v>
      </c>
      <c r="D122" s="89" t="str">
        <f t="shared" si="7"/>
        <v>all</v>
      </c>
      <c r="E122" s="103" t="str">
        <f>'Products x speed'!E133</f>
        <v/>
      </c>
      <c r="F122" s="103" t="str">
        <f>'Products x speed'!F133</f>
        <v/>
      </c>
      <c r="G122" s="103" t="str">
        <f>'Products x speed'!G133</f>
        <v/>
      </c>
      <c r="H122" s="103"/>
      <c r="I122" s="103"/>
      <c r="J122" s="103"/>
      <c r="K122" s="103"/>
      <c r="L122" s="103"/>
      <c r="M122" s="103"/>
      <c r="N122" s="103"/>
      <c r="O122" s="103"/>
      <c r="P122" s="103"/>
    </row>
    <row r="123" spans="2:16">
      <c r="B123" s="87" t="str">
        <f t="shared" si="7"/>
        <v xml:space="preserve">50G </v>
      </c>
      <c r="C123" s="88" t="str">
        <f t="shared" si="7"/>
        <v>10 km</v>
      </c>
      <c r="D123" s="89" t="str">
        <f t="shared" si="7"/>
        <v>all</v>
      </c>
      <c r="E123" s="103" t="str">
        <f>'Products x speed'!E134</f>
        <v/>
      </c>
      <c r="F123" s="103" t="str">
        <f>'Products x speed'!F134</f>
        <v/>
      </c>
      <c r="G123" s="103" t="str">
        <f>'Products x speed'!G134</f>
        <v/>
      </c>
      <c r="H123" s="103"/>
      <c r="I123" s="103"/>
      <c r="J123" s="103"/>
      <c r="K123" s="103"/>
      <c r="L123" s="103"/>
      <c r="M123" s="103"/>
      <c r="N123" s="103"/>
      <c r="O123" s="103"/>
      <c r="P123" s="103"/>
    </row>
    <row r="124" spans="2:16">
      <c r="B124" s="87" t="str">
        <f t="shared" si="7"/>
        <v xml:space="preserve">50G </v>
      </c>
      <c r="C124" s="88" t="str">
        <f t="shared" si="7"/>
        <v>40 km</v>
      </c>
      <c r="D124" s="89" t="str">
        <f t="shared" si="7"/>
        <v>all</v>
      </c>
      <c r="E124" s="103">
        <f>'Products x speed'!E135</f>
        <v>0</v>
      </c>
      <c r="F124" s="103">
        <f>'Products x speed'!F135</f>
        <v>0</v>
      </c>
      <c r="G124" s="103">
        <f>'Products x speed'!G135</f>
        <v>0</v>
      </c>
      <c r="H124" s="103"/>
      <c r="I124" s="103"/>
      <c r="J124" s="103"/>
      <c r="K124" s="103"/>
      <c r="L124" s="103"/>
      <c r="M124" s="103"/>
      <c r="N124" s="103"/>
      <c r="O124" s="103"/>
      <c r="P124" s="103"/>
    </row>
    <row r="125" spans="2:16">
      <c r="B125" s="83" t="str">
        <f t="shared" si="7"/>
        <v xml:space="preserve">50G </v>
      </c>
      <c r="C125" s="84" t="str">
        <f t="shared" si="7"/>
        <v>80 km</v>
      </c>
      <c r="D125" s="85" t="str">
        <f t="shared" si="7"/>
        <v>all</v>
      </c>
      <c r="E125" s="102">
        <f>'Products x speed'!E136</f>
        <v>0</v>
      </c>
      <c r="F125" s="102">
        <f>'Products x speed'!F136</f>
        <v>0</v>
      </c>
      <c r="G125" s="102">
        <f>'Products x speed'!G136</f>
        <v>0</v>
      </c>
      <c r="H125" s="102"/>
      <c r="I125" s="102"/>
      <c r="J125" s="102"/>
      <c r="K125" s="102"/>
      <c r="L125" s="102"/>
      <c r="M125" s="102"/>
      <c r="N125" s="102"/>
      <c r="O125" s="102"/>
      <c r="P125" s="102"/>
    </row>
    <row r="126" spans="2:16">
      <c r="B126" s="79" t="str">
        <f t="shared" si="7"/>
        <v>100G SR4</v>
      </c>
      <c r="C126" s="80" t="str">
        <f t="shared" si="7"/>
        <v>100 m</v>
      </c>
      <c r="D126" s="81" t="str">
        <f t="shared" si="7"/>
        <v>CFP</v>
      </c>
      <c r="E126" s="101">
        <f>'Products x speed'!E137</f>
        <v>1422.7039686825053</v>
      </c>
      <c r="F126" s="101">
        <f>'Products x speed'!F137</f>
        <v>1273.3986691740201</v>
      </c>
      <c r="G126" s="101">
        <f>'Products x speed'!G137</f>
        <v>1018.9069493521796</v>
      </c>
      <c r="H126" s="101"/>
      <c r="I126" s="101"/>
      <c r="J126" s="101"/>
      <c r="K126" s="101"/>
      <c r="L126" s="101"/>
      <c r="M126" s="101"/>
      <c r="N126" s="101"/>
      <c r="O126" s="101"/>
      <c r="P126" s="101"/>
    </row>
    <row r="127" spans="2:16">
      <c r="B127" s="87" t="str">
        <f t="shared" si="7"/>
        <v>100G SR4</v>
      </c>
      <c r="C127" s="88" t="str">
        <f t="shared" si="7"/>
        <v>100 m</v>
      </c>
      <c r="D127" s="89" t="str">
        <f t="shared" si="7"/>
        <v>CFP2/4</v>
      </c>
      <c r="E127" s="103">
        <f>'Products x speed'!E138</f>
        <v>1204.7629951912068</v>
      </c>
      <c r="F127" s="103">
        <f>'Products x speed'!F138</f>
        <v>1092.608197443808</v>
      </c>
      <c r="G127" s="103">
        <f>'Products x speed'!G138</f>
        <v>1004.0468400000002</v>
      </c>
      <c r="H127" s="103"/>
      <c r="I127" s="103"/>
      <c r="J127" s="103"/>
      <c r="K127" s="103"/>
      <c r="L127" s="103"/>
      <c r="M127" s="103"/>
      <c r="N127" s="103"/>
      <c r="O127" s="103"/>
      <c r="P127" s="103"/>
    </row>
    <row r="128" spans="2:16">
      <c r="B128" s="87" t="str">
        <f t="shared" si="7"/>
        <v>100G SR4</v>
      </c>
      <c r="C128" s="88" t="str">
        <f t="shared" si="7"/>
        <v>100 m</v>
      </c>
      <c r="D128" s="89" t="str">
        <f t="shared" si="7"/>
        <v>QSFP28</v>
      </c>
      <c r="E128" s="103">
        <f>'Products x speed'!E139</f>
        <v>258.09426618771823</v>
      </c>
      <c r="F128" s="103">
        <f>'Products x speed'!F139</f>
        <v>182.02277386466108</v>
      </c>
      <c r="G128" s="103">
        <f>'Products x speed'!G139</f>
        <v>113.54682982085136</v>
      </c>
      <c r="H128" s="103"/>
      <c r="I128" s="103"/>
      <c r="J128" s="103"/>
      <c r="K128" s="103"/>
      <c r="L128" s="103"/>
      <c r="M128" s="103"/>
      <c r="N128" s="103"/>
      <c r="O128" s="103"/>
      <c r="P128" s="103"/>
    </row>
    <row r="129" spans="2:16">
      <c r="B129" s="87" t="str">
        <f t="shared" si="7"/>
        <v>100G SR2</v>
      </c>
      <c r="C129" s="88" t="str">
        <f t="shared" si="7"/>
        <v>100 m</v>
      </c>
      <c r="D129" s="89" t="str">
        <f t="shared" si="7"/>
        <v>All</v>
      </c>
      <c r="E129" s="103" t="str">
        <f>'Products x speed'!E140</f>
        <v/>
      </c>
      <c r="F129" s="103" t="str">
        <f>'Products x speed'!F140</f>
        <v/>
      </c>
      <c r="G129" s="103" t="str">
        <f>'Products x speed'!G140</f>
        <v/>
      </c>
      <c r="H129" s="103"/>
      <c r="I129" s="103"/>
      <c r="J129" s="103"/>
      <c r="K129" s="103"/>
      <c r="L129" s="103"/>
      <c r="M129" s="103"/>
      <c r="N129" s="103"/>
      <c r="O129" s="103"/>
      <c r="P129" s="103"/>
    </row>
    <row r="130" spans="2:16">
      <c r="B130" s="87" t="str">
        <f t="shared" si="7"/>
        <v>100G MM Duplex</v>
      </c>
      <c r="C130" s="88" t="str">
        <f t="shared" si="7"/>
        <v>100 - 300 m</v>
      </c>
      <c r="D130" s="89" t="str">
        <f t="shared" si="7"/>
        <v>QSFP28</v>
      </c>
      <c r="E130" s="103" t="str">
        <f>'Products x speed'!E141</f>
        <v/>
      </c>
      <c r="F130" s="103" t="str">
        <f>'Products x speed'!F141</f>
        <v/>
      </c>
      <c r="G130" s="103">
        <f>'Products x speed'!G141</f>
        <v>170</v>
      </c>
      <c r="H130" s="103"/>
      <c r="I130" s="103"/>
      <c r="J130" s="103"/>
      <c r="K130" s="103"/>
      <c r="L130" s="103"/>
      <c r="M130" s="103"/>
      <c r="N130" s="103"/>
      <c r="O130" s="103"/>
      <c r="P130" s="103"/>
    </row>
    <row r="131" spans="2:16">
      <c r="B131" s="87" t="str">
        <f t="shared" si="7"/>
        <v>100G eSR4</v>
      </c>
      <c r="C131" s="88" t="str">
        <f t="shared" si="7"/>
        <v>300 m</v>
      </c>
      <c r="D131" s="89" t="str">
        <f t="shared" si="7"/>
        <v>QSFP28</v>
      </c>
      <c r="E131" s="103" t="str">
        <f>'Products x speed'!E142</f>
        <v/>
      </c>
      <c r="F131" s="103" t="str">
        <f>'Products x speed'!F142</f>
        <v/>
      </c>
      <c r="G131" s="103">
        <f>'Products x speed'!G142</f>
        <v>170</v>
      </c>
      <c r="H131" s="103"/>
      <c r="I131" s="103"/>
      <c r="J131" s="103"/>
      <c r="K131" s="103"/>
      <c r="L131" s="103"/>
      <c r="M131" s="103"/>
      <c r="N131" s="103"/>
      <c r="O131" s="103"/>
      <c r="P131" s="103"/>
    </row>
    <row r="132" spans="2:16">
      <c r="B132" s="87" t="str">
        <f t="shared" si="7"/>
        <v>100G PSM4</v>
      </c>
      <c r="C132" s="88" t="str">
        <f t="shared" si="7"/>
        <v>500 m</v>
      </c>
      <c r="D132" s="89" t="str">
        <f t="shared" si="7"/>
        <v>QSFP28</v>
      </c>
      <c r="E132" s="103">
        <f>'Products x speed'!E143</f>
        <v>337.41687156790022</v>
      </c>
      <c r="F132" s="103">
        <f>'Products x speed'!F143</f>
        <v>222.65569307558187</v>
      </c>
      <c r="G132" s="103">
        <f>'Products x speed'!G143</f>
        <v>188.02033788894266</v>
      </c>
      <c r="H132" s="103"/>
      <c r="I132" s="103"/>
      <c r="J132" s="103"/>
      <c r="K132" s="103"/>
      <c r="L132" s="103"/>
      <c r="M132" s="103"/>
      <c r="N132" s="103"/>
      <c r="O132" s="103"/>
      <c r="P132" s="103"/>
    </row>
    <row r="133" spans="2:16">
      <c r="B133" s="87" t="str">
        <f t="shared" si="7"/>
        <v>100G DR</v>
      </c>
      <c r="C133" s="88" t="str">
        <f t="shared" si="7"/>
        <v>500m</v>
      </c>
      <c r="D133" s="89" t="str">
        <f t="shared" si="7"/>
        <v>QSFP28</v>
      </c>
      <c r="E133" s="103" t="str">
        <f>'Products x speed'!E144</f>
        <v/>
      </c>
      <c r="F133" s="103" t="str">
        <f>'Products x speed'!F144</f>
        <v/>
      </c>
      <c r="G133" s="103" t="str">
        <f>'Products x speed'!G144</f>
        <v/>
      </c>
      <c r="H133" s="103"/>
      <c r="I133" s="103"/>
      <c r="J133" s="103"/>
      <c r="K133" s="103"/>
      <c r="L133" s="103"/>
      <c r="M133" s="103"/>
      <c r="N133" s="103"/>
      <c r="O133" s="103"/>
      <c r="P133" s="103"/>
    </row>
    <row r="134" spans="2:16">
      <c r="B134" s="87" t="str">
        <f t="shared" ref="B134:D147" si="8">B49</f>
        <v>100G CWDM4-subspec</v>
      </c>
      <c r="C134" s="88" t="str">
        <f t="shared" si="8"/>
        <v>500 m</v>
      </c>
      <c r="D134" s="89" t="str">
        <f t="shared" si="8"/>
        <v>QSFP28</v>
      </c>
      <c r="E134" s="103">
        <f>'Products x speed'!E145</f>
        <v>625</v>
      </c>
      <c r="F134" s="103">
        <f>'Products x speed'!F145</f>
        <v>450</v>
      </c>
      <c r="G134" s="103">
        <f>'Products x speed'!G145</f>
        <v>280</v>
      </c>
      <c r="H134" s="103"/>
      <c r="I134" s="103"/>
      <c r="J134" s="103"/>
      <c r="K134" s="103"/>
      <c r="L134" s="103"/>
      <c r="M134" s="103"/>
      <c r="N134" s="103"/>
      <c r="O134" s="103"/>
      <c r="P134" s="103"/>
    </row>
    <row r="135" spans="2:16">
      <c r="B135" s="87" t="str">
        <f t="shared" si="8"/>
        <v>100G CWDM4</v>
      </c>
      <c r="C135" s="88" t="str">
        <f t="shared" si="8"/>
        <v>2 km</v>
      </c>
      <c r="D135" s="89" t="str">
        <f t="shared" si="8"/>
        <v>QSFP28</v>
      </c>
      <c r="E135" s="103">
        <f>'Products x speed'!E146</f>
        <v>825</v>
      </c>
      <c r="F135" s="103">
        <f>'Products x speed'!F146</f>
        <v>650</v>
      </c>
      <c r="G135" s="103">
        <f>'Products x speed'!G146</f>
        <v>490</v>
      </c>
      <c r="H135" s="103"/>
      <c r="I135" s="103"/>
      <c r="J135" s="103"/>
      <c r="K135" s="103"/>
      <c r="L135" s="103"/>
      <c r="M135" s="103"/>
      <c r="N135" s="103"/>
      <c r="O135" s="103"/>
      <c r="P135" s="103"/>
    </row>
    <row r="136" spans="2:16">
      <c r="B136" s="87" t="str">
        <f t="shared" si="8"/>
        <v>100G FR, DR+</v>
      </c>
      <c r="C136" s="88" t="str">
        <f t="shared" si="8"/>
        <v>2 km</v>
      </c>
      <c r="D136" s="89" t="str">
        <f t="shared" si="8"/>
        <v>QSFP28</v>
      </c>
      <c r="E136" s="103" t="str">
        <f>'Products x speed'!E147</f>
        <v/>
      </c>
      <c r="F136" s="103" t="str">
        <f>'Products x speed'!F147</f>
        <v/>
      </c>
      <c r="G136" s="103">
        <f>'Products x speed'!G147</f>
        <v>400</v>
      </c>
      <c r="H136" s="103"/>
      <c r="I136" s="103"/>
      <c r="J136" s="103"/>
      <c r="K136" s="103"/>
      <c r="L136" s="103"/>
      <c r="M136" s="103"/>
      <c r="N136" s="103"/>
      <c r="O136" s="103"/>
      <c r="P136" s="103"/>
    </row>
    <row r="137" spans="2:16">
      <c r="B137" s="87" t="str">
        <f t="shared" si="8"/>
        <v>100G LR4</v>
      </c>
      <c r="C137" s="88" t="str">
        <f t="shared" si="8"/>
        <v>10 km</v>
      </c>
      <c r="D137" s="89" t="str">
        <f t="shared" si="8"/>
        <v>CFP</v>
      </c>
      <c r="E137" s="103">
        <f>'Products x speed'!E148</f>
        <v>3527.8709620331333</v>
      </c>
      <c r="F137" s="103">
        <f>'Products x speed'!F148</f>
        <v>2768.0701132780364</v>
      </c>
      <c r="G137" s="103">
        <f>'Products x speed'!G148</f>
        <v>2103.9330552211131</v>
      </c>
      <c r="H137" s="103"/>
      <c r="I137" s="103"/>
      <c r="J137" s="103"/>
      <c r="K137" s="103"/>
      <c r="L137" s="103"/>
      <c r="M137" s="103"/>
      <c r="N137" s="103"/>
      <c r="O137" s="103"/>
      <c r="P137" s="103"/>
    </row>
    <row r="138" spans="2:16">
      <c r="B138" s="87" t="str">
        <f t="shared" si="8"/>
        <v>100G LR4</v>
      </c>
      <c r="C138" s="88" t="str">
        <f t="shared" si="8"/>
        <v>10 km</v>
      </c>
      <c r="D138" s="89" t="str">
        <f t="shared" si="8"/>
        <v>CFP2/4</v>
      </c>
      <c r="E138" s="103">
        <f>'Products x speed'!E149</f>
        <v>2882.5268681316725</v>
      </c>
      <c r="F138" s="103">
        <f>'Products x speed'!F149</f>
        <v>2140.3307221126156</v>
      </c>
      <c r="G138" s="103">
        <f>'Products x speed'!G149</f>
        <v>1371.5324877705048</v>
      </c>
      <c r="H138" s="103"/>
      <c r="I138" s="103"/>
      <c r="J138" s="103"/>
      <c r="K138" s="103"/>
      <c r="L138" s="103"/>
      <c r="M138" s="103"/>
      <c r="N138" s="103"/>
      <c r="O138" s="103"/>
      <c r="P138" s="103"/>
    </row>
    <row r="139" spans="2:16">
      <c r="B139" s="87" t="str">
        <f t="shared" si="8"/>
        <v>100G LR4 and LR1</v>
      </c>
      <c r="C139" s="88" t="str">
        <f t="shared" si="8"/>
        <v>10 km</v>
      </c>
      <c r="D139" s="89" t="str">
        <f t="shared" si="8"/>
        <v>QSFP28</v>
      </c>
      <c r="E139" s="103">
        <f>'Products x speed'!E150</f>
        <v>1938.1501024552811</v>
      </c>
      <c r="F139" s="103">
        <f>'Products x speed'!F150</f>
        <v>1200</v>
      </c>
      <c r="G139" s="103">
        <f>'Products x speed'!G150</f>
        <v>833.83281288172873</v>
      </c>
      <c r="H139" s="103"/>
      <c r="I139" s="103"/>
      <c r="J139" s="103"/>
      <c r="K139" s="103"/>
      <c r="L139" s="103"/>
      <c r="M139" s="103"/>
      <c r="N139" s="103"/>
      <c r="O139" s="103"/>
      <c r="P139" s="103"/>
    </row>
    <row r="140" spans="2:16">
      <c r="B140" s="87" t="str">
        <f t="shared" si="8"/>
        <v>100G 4WDM10</v>
      </c>
      <c r="C140" s="88" t="str">
        <f t="shared" si="8"/>
        <v>10 km</v>
      </c>
      <c r="D140" s="89" t="str">
        <f t="shared" si="8"/>
        <v>QSFP28</v>
      </c>
      <c r="E140" s="103" t="str">
        <f>'Products x speed'!E151</f>
        <v/>
      </c>
      <c r="F140" s="103">
        <f>'Products x speed'!F151</f>
        <v>500</v>
      </c>
      <c r="G140" s="103">
        <f>'Products x speed'!G151</f>
        <v>300</v>
      </c>
      <c r="H140" s="103"/>
      <c r="I140" s="103"/>
      <c r="J140" s="103"/>
      <c r="K140" s="103"/>
      <c r="L140" s="103"/>
      <c r="M140" s="103"/>
      <c r="N140" s="103"/>
      <c r="O140" s="103"/>
      <c r="P140" s="103"/>
    </row>
    <row r="141" spans="2:16">
      <c r="B141" s="87" t="str">
        <f t="shared" si="8"/>
        <v>100G 4WDM20</v>
      </c>
      <c r="C141" s="88" t="str">
        <f t="shared" si="8"/>
        <v>20 km</v>
      </c>
      <c r="D141" s="89" t="str">
        <f t="shared" si="8"/>
        <v>QSFP28</v>
      </c>
      <c r="E141" s="103" t="str">
        <f>'Products x speed'!E152</f>
        <v/>
      </c>
      <c r="F141" s="103" t="str">
        <f>'Products x speed'!F152</f>
        <v/>
      </c>
      <c r="G141" s="103" t="str">
        <f>'Products x speed'!G152</f>
        <v/>
      </c>
      <c r="H141" s="103"/>
      <c r="I141" s="103"/>
      <c r="J141" s="103"/>
      <c r="K141" s="103"/>
      <c r="L141" s="103"/>
      <c r="M141" s="103"/>
      <c r="N141" s="103"/>
      <c r="O141" s="103"/>
      <c r="P141" s="103"/>
    </row>
    <row r="142" spans="2:16">
      <c r="B142" s="87" t="str">
        <f t="shared" si="8"/>
        <v>100G ER4-Lite</v>
      </c>
      <c r="C142" s="88" t="str">
        <f t="shared" si="8"/>
        <v>30 km</v>
      </c>
      <c r="D142" s="89" t="str">
        <f t="shared" si="8"/>
        <v>QSFP28</v>
      </c>
      <c r="E142" s="103" t="str">
        <f>'Products x speed'!E153</f>
        <v/>
      </c>
      <c r="F142" s="103">
        <f>'Products x speed'!F153</f>
        <v>3487.2423945044161</v>
      </c>
      <c r="G142" s="103">
        <f>'Products x speed'!G153</f>
        <v>3113.2837037037034</v>
      </c>
      <c r="H142" s="103"/>
      <c r="I142" s="103"/>
      <c r="J142" s="103"/>
      <c r="K142" s="103"/>
      <c r="L142" s="103"/>
      <c r="M142" s="103"/>
      <c r="N142" s="103"/>
      <c r="O142" s="103"/>
      <c r="P142" s="103"/>
    </row>
    <row r="143" spans="2:16">
      <c r="B143" s="87" t="str">
        <f t="shared" si="8"/>
        <v>100G ER4</v>
      </c>
      <c r="C143" s="88" t="str">
        <f t="shared" si="8"/>
        <v>40 km</v>
      </c>
      <c r="D143" s="89" t="str">
        <f t="shared" si="8"/>
        <v>QSFP28</v>
      </c>
      <c r="E143" s="103">
        <f>'Products x speed'!E154</f>
        <v>8992.3604525403425</v>
      </c>
      <c r="F143" s="103">
        <f>'Products x speed'!F154</f>
        <v>6675.4855675304152</v>
      </c>
      <c r="G143" s="103">
        <f>'Products x speed'!G154</f>
        <v>4939.9288403201153</v>
      </c>
      <c r="H143" s="103"/>
      <c r="I143" s="103"/>
      <c r="J143" s="103"/>
      <c r="K143" s="103"/>
      <c r="L143" s="103"/>
      <c r="M143" s="103"/>
      <c r="N143" s="103"/>
      <c r="O143" s="103"/>
      <c r="P143" s="103"/>
    </row>
    <row r="144" spans="2:16">
      <c r="B144" s="83" t="str">
        <f t="shared" si="8"/>
        <v>100G ZR4</v>
      </c>
      <c r="C144" s="84" t="str">
        <f t="shared" si="8"/>
        <v>80 km</v>
      </c>
      <c r="D144" s="85" t="str">
        <f t="shared" si="8"/>
        <v>QSFP28</v>
      </c>
      <c r="E144" s="102" t="str">
        <f>'Products x speed'!E155</f>
        <v/>
      </c>
      <c r="F144" s="102" t="str">
        <f>'Products x speed'!F155</f>
        <v/>
      </c>
      <c r="G144" s="102" t="str">
        <f>'Products x speed'!G155</f>
        <v/>
      </c>
      <c r="H144" s="102"/>
      <c r="I144" s="102"/>
      <c r="J144" s="102"/>
      <c r="K144" s="102"/>
      <c r="L144" s="102"/>
      <c r="M144" s="102"/>
      <c r="N144" s="102"/>
      <c r="O144" s="102"/>
      <c r="P144" s="102"/>
    </row>
    <row r="145" spans="2:16" ht="12" customHeight="1">
      <c r="B145" s="79" t="str">
        <f t="shared" si="8"/>
        <v>200G SR4</v>
      </c>
      <c r="C145" s="80" t="str">
        <f t="shared" si="8"/>
        <v>100 m</v>
      </c>
      <c r="D145" s="81" t="str">
        <f t="shared" si="8"/>
        <v>QSFP56</v>
      </c>
      <c r="E145" s="101">
        <f>'Products x speed'!E156</f>
        <v>0</v>
      </c>
      <c r="F145" s="101">
        <f>'Products x speed'!F156</f>
        <v>0</v>
      </c>
      <c r="G145" s="101">
        <f>'Products x speed'!G156</f>
        <v>700</v>
      </c>
      <c r="H145" s="101"/>
      <c r="I145" s="101"/>
      <c r="J145" s="101"/>
      <c r="K145" s="101"/>
      <c r="L145" s="101"/>
      <c r="M145" s="101"/>
      <c r="N145" s="101"/>
      <c r="O145" s="101"/>
      <c r="P145" s="101"/>
    </row>
    <row r="146" spans="2:16" ht="12" customHeight="1">
      <c r="B146" s="87" t="str">
        <f t="shared" si="8"/>
        <v>200G DR</v>
      </c>
      <c r="C146" s="88" t="str">
        <f t="shared" si="8"/>
        <v>500 m</v>
      </c>
      <c r="D146" s="89" t="str">
        <f t="shared" si="8"/>
        <v>TBD</v>
      </c>
      <c r="E146" s="103">
        <f>'Products x speed'!E157</f>
        <v>0</v>
      </c>
      <c r="F146" s="103">
        <f>'Products x speed'!F157</f>
        <v>0</v>
      </c>
      <c r="G146" s="103" t="str">
        <f>'Products x speed'!G157</f>
        <v/>
      </c>
      <c r="H146" s="103"/>
      <c r="I146" s="103"/>
      <c r="J146" s="103"/>
      <c r="K146" s="103"/>
      <c r="L146" s="103"/>
      <c r="M146" s="103"/>
      <c r="N146" s="103"/>
      <c r="O146" s="103"/>
      <c r="P146" s="103"/>
    </row>
    <row r="147" spans="2:16">
      <c r="B147" s="87" t="str">
        <f t="shared" si="8"/>
        <v>200G FR4</v>
      </c>
      <c r="C147" s="88" t="str">
        <f t="shared" si="8"/>
        <v>3 km</v>
      </c>
      <c r="D147" s="89" t="str">
        <f t="shared" si="8"/>
        <v>QSFP56</v>
      </c>
      <c r="E147" s="103">
        <f>'Products x speed'!E158</f>
        <v>0</v>
      </c>
      <c r="F147" s="103">
        <f>'Products x speed'!F158</f>
        <v>0</v>
      </c>
      <c r="G147" s="103">
        <f>'Products x speed'!G158</f>
        <v>1500</v>
      </c>
      <c r="H147" s="103"/>
      <c r="I147" s="103"/>
      <c r="J147" s="103"/>
      <c r="K147" s="103"/>
      <c r="L147" s="103"/>
      <c r="M147" s="103"/>
      <c r="N147" s="103"/>
      <c r="O147" s="103"/>
      <c r="P147" s="103"/>
    </row>
    <row r="148" spans="2:16">
      <c r="B148" s="87" t="str">
        <f t="shared" ref="B148:D148" si="9">B63</f>
        <v>200G LR</v>
      </c>
      <c r="C148" s="88" t="str">
        <f t="shared" si="9"/>
        <v>10 km</v>
      </c>
      <c r="D148" s="89" t="str">
        <f t="shared" si="9"/>
        <v>TBD</v>
      </c>
      <c r="E148" s="103">
        <f>'Products x speed'!E159</f>
        <v>0</v>
      </c>
      <c r="F148" s="103">
        <f>'Products x speed'!F159</f>
        <v>0</v>
      </c>
      <c r="G148" s="103" t="str">
        <f>'Products x speed'!G159</f>
        <v/>
      </c>
      <c r="H148" s="103"/>
      <c r="I148" s="103"/>
      <c r="J148" s="103"/>
      <c r="K148" s="103"/>
      <c r="L148" s="103"/>
      <c r="M148" s="103"/>
      <c r="N148" s="103"/>
      <c r="O148" s="103"/>
      <c r="P148" s="103"/>
    </row>
    <row r="149" spans="2:16">
      <c r="B149" s="87" t="str">
        <f t="shared" ref="B149:D149" si="10">B64</f>
        <v>200G ER4</v>
      </c>
      <c r="C149" s="88" t="str">
        <f t="shared" si="10"/>
        <v>40 km</v>
      </c>
      <c r="D149" s="89" t="str">
        <f t="shared" si="10"/>
        <v>TBD</v>
      </c>
      <c r="E149" s="103">
        <f>'Products x speed'!E160</f>
        <v>0</v>
      </c>
      <c r="F149" s="103">
        <f>'Products x speed'!F160</f>
        <v>0</v>
      </c>
      <c r="G149" s="103" t="str">
        <f>'Products x speed'!G160</f>
        <v/>
      </c>
      <c r="H149" s="103"/>
      <c r="I149" s="103"/>
      <c r="J149" s="103"/>
      <c r="K149" s="103"/>
      <c r="L149" s="103"/>
      <c r="M149" s="103"/>
      <c r="N149" s="103"/>
      <c r="O149" s="103"/>
      <c r="P149" s="103"/>
    </row>
    <row r="150" spans="2:16">
      <c r="B150" s="79" t="str">
        <f t="shared" ref="B150:D159" si="11">B65</f>
        <v>2x200 (400G-SR8)</v>
      </c>
      <c r="C150" s="80" t="str">
        <f t="shared" si="11"/>
        <v>100 m</v>
      </c>
      <c r="D150" s="81" t="str">
        <f t="shared" si="11"/>
        <v>OSFP, QSFP-DD</v>
      </c>
      <c r="E150" s="101">
        <f>'Products x speed'!E161</f>
        <v>0</v>
      </c>
      <c r="F150" s="101">
        <f>'Products x speed'!F161</f>
        <v>0</v>
      </c>
      <c r="G150" s="101">
        <f>'Products x speed'!G161</f>
        <v>644</v>
      </c>
      <c r="H150" s="101"/>
      <c r="I150" s="101"/>
      <c r="J150" s="101"/>
      <c r="K150" s="101"/>
      <c r="L150" s="101"/>
      <c r="M150" s="101"/>
      <c r="N150" s="101"/>
      <c r="O150" s="101"/>
      <c r="P150" s="101"/>
    </row>
    <row r="151" spans="2:16" ht="12" customHeight="1">
      <c r="B151" s="87" t="str">
        <f t="shared" si="11"/>
        <v>400G SR4.2</v>
      </c>
      <c r="C151" s="88" t="str">
        <f t="shared" si="11"/>
        <v>100 m</v>
      </c>
      <c r="D151" s="89" t="str">
        <f t="shared" si="11"/>
        <v>OSFP, QSFP-DD</v>
      </c>
      <c r="E151" s="103">
        <f>'Products x speed'!E162</f>
        <v>0</v>
      </c>
      <c r="F151" s="103">
        <f>'Products x speed'!F162</f>
        <v>0</v>
      </c>
      <c r="G151" s="103" t="str">
        <f>'Products x speed'!G162</f>
        <v/>
      </c>
      <c r="H151" s="103"/>
      <c r="I151" s="103"/>
      <c r="J151" s="103"/>
      <c r="K151" s="103"/>
      <c r="L151" s="103"/>
      <c r="M151" s="103"/>
      <c r="N151" s="103"/>
      <c r="O151" s="103"/>
      <c r="P151" s="103"/>
    </row>
    <row r="152" spans="2:16">
      <c r="B152" s="87" t="str">
        <f t="shared" si="11"/>
        <v>400G DR4</v>
      </c>
      <c r="C152" s="88" t="str">
        <f t="shared" si="11"/>
        <v>500 m</v>
      </c>
      <c r="D152" s="89" t="str">
        <f t="shared" si="11"/>
        <v>OSFP, QSFP-DD, QSFP112</v>
      </c>
      <c r="E152" s="103">
        <f>'Products x speed'!E163</f>
        <v>0</v>
      </c>
      <c r="F152" s="103">
        <f>'Products x speed'!F163</f>
        <v>0</v>
      </c>
      <c r="G152" s="103">
        <f>'Products x speed'!G163</f>
        <v>1100</v>
      </c>
      <c r="H152" s="103"/>
      <c r="I152" s="103"/>
      <c r="J152" s="103"/>
      <c r="K152" s="103"/>
      <c r="L152" s="103"/>
      <c r="M152" s="103"/>
      <c r="N152" s="103"/>
      <c r="O152" s="103"/>
      <c r="P152" s="103"/>
    </row>
    <row r="153" spans="2:16">
      <c r="B153" s="87" t="str">
        <f t="shared" si="11"/>
        <v>2x(200G FR4)</v>
      </c>
      <c r="C153" s="88" t="str">
        <f t="shared" si="11"/>
        <v>2 km</v>
      </c>
      <c r="D153" s="89" t="str">
        <f t="shared" si="11"/>
        <v>OSFP</v>
      </c>
      <c r="E153" s="103">
        <f>'Products x speed'!E164</f>
        <v>0</v>
      </c>
      <c r="F153" s="103">
        <f>'Products x speed'!F164</f>
        <v>0</v>
      </c>
      <c r="G153" s="103">
        <f>'Products x speed'!G164</f>
        <v>1850</v>
      </c>
      <c r="H153" s="103"/>
      <c r="I153" s="103"/>
      <c r="J153" s="103"/>
      <c r="K153" s="103"/>
      <c r="L153" s="103"/>
      <c r="M153" s="103"/>
      <c r="N153" s="103"/>
      <c r="O153" s="103"/>
      <c r="P153" s="103"/>
    </row>
    <row r="154" spans="2:16">
      <c r="B154" s="87" t="str">
        <f t="shared" si="11"/>
        <v>400G FR4</v>
      </c>
      <c r="C154" s="88" t="str">
        <f t="shared" si="11"/>
        <v>2 km</v>
      </c>
      <c r="D154" s="89" t="str">
        <f t="shared" si="11"/>
        <v>OSFP, QSFP-DD, QSFP112</v>
      </c>
      <c r="E154" s="103">
        <f>'Products x speed'!E165</f>
        <v>0</v>
      </c>
      <c r="F154" s="103">
        <f>'Products x speed'!F165</f>
        <v>11614.285714285714</v>
      </c>
      <c r="G154" s="103">
        <f>'Products x speed'!G165</f>
        <v>2000</v>
      </c>
      <c r="H154" s="103"/>
      <c r="I154" s="103"/>
      <c r="J154" s="103"/>
      <c r="K154" s="103"/>
      <c r="L154" s="103"/>
      <c r="M154" s="103"/>
      <c r="N154" s="103"/>
      <c r="O154" s="103"/>
      <c r="P154" s="103"/>
    </row>
    <row r="155" spans="2:16">
      <c r="B155" s="87" t="str">
        <f t="shared" si="11"/>
        <v>400G LR8, LR4</v>
      </c>
      <c r="C155" s="88" t="str">
        <f t="shared" si="11"/>
        <v>10 km</v>
      </c>
      <c r="D155" s="89" t="str">
        <f t="shared" si="11"/>
        <v>OSFP, QSFP-DD, QSFP112</v>
      </c>
      <c r="E155" s="103">
        <f>'Products x speed'!E166</f>
        <v>0</v>
      </c>
      <c r="F155" s="103">
        <f>'Products x speed'!F166</f>
        <v>15451.219512195123</v>
      </c>
      <c r="G155" s="103">
        <f>'Products x speed'!G166</f>
        <v>8000</v>
      </c>
      <c r="H155" s="103"/>
      <c r="I155" s="103"/>
      <c r="J155" s="103"/>
      <c r="K155" s="103"/>
      <c r="L155" s="103"/>
      <c r="M155" s="103"/>
      <c r="N155" s="103"/>
      <c r="O155" s="103"/>
      <c r="P155" s="103"/>
    </row>
    <row r="156" spans="2:16">
      <c r="B156" s="83" t="str">
        <f t="shared" si="11"/>
        <v>400G ER4</v>
      </c>
      <c r="C156" s="84" t="str">
        <f t="shared" si="11"/>
        <v>40 km</v>
      </c>
      <c r="D156" s="85" t="str">
        <f t="shared" si="11"/>
        <v>TBD</v>
      </c>
      <c r="E156" s="102">
        <f>'Products x speed'!E167</f>
        <v>0</v>
      </c>
      <c r="F156" s="102" t="str">
        <f>'Products x speed'!F167</f>
        <v/>
      </c>
      <c r="G156" s="102" t="str">
        <f>'Products x speed'!G167</f>
        <v/>
      </c>
      <c r="H156" s="102"/>
      <c r="I156" s="102"/>
      <c r="J156" s="102"/>
      <c r="K156" s="102"/>
      <c r="L156" s="102"/>
      <c r="M156" s="102"/>
      <c r="N156" s="102"/>
      <c r="O156" s="102"/>
      <c r="P156" s="102"/>
    </row>
    <row r="157" spans="2:16" s="92" customFormat="1">
      <c r="B157" s="87" t="str">
        <f t="shared" si="11"/>
        <v>800G SR8</v>
      </c>
      <c r="C157" s="88" t="str">
        <f t="shared" si="11"/>
        <v>50 m</v>
      </c>
      <c r="D157" s="89" t="str">
        <f t="shared" si="11"/>
        <v>OSFP, QSFP-DD800</v>
      </c>
      <c r="E157" s="103">
        <f>'Products x speed'!E168</f>
        <v>0</v>
      </c>
      <c r="F157" s="103">
        <f>'Products x speed'!F168</f>
        <v>0</v>
      </c>
      <c r="G157" s="103" t="str">
        <f>'Products x speed'!G168</f>
        <v/>
      </c>
      <c r="H157" s="103"/>
      <c r="I157" s="103"/>
      <c r="J157" s="103"/>
      <c r="K157" s="103"/>
      <c r="L157" s="103"/>
      <c r="M157" s="103"/>
      <c r="N157" s="103"/>
      <c r="O157" s="103"/>
      <c r="P157" s="103"/>
    </row>
    <row r="158" spans="2:16" s="92" customFormat="1">
      <c r="B158" s="87" t="str">
        <f t="shared" si="11"/>
        <v>800G DR8, DR4</v>
      </c>
      <c r="C158" s="88" t="str">
        <f t="shared" si="11"/>
        <v>500 m</v>
      </c>
      <c r="D158" s="88" t="str">
        <f t="shared" si="11"/>
        <v>OSFP, QSFP-DD800</v>
      </c>
      <c r="E158" s="103">
        <f>'Products x speed'!E169</f>
        <v>0</v>
      </c>
      <c r="F158" s="103">
        <f>'Products x speed'!F169</f>
        <v>0</v>
      </c>
      <c r="G158" s="103" t="str">
        <f>'Products x speed'!G169</f>
        <v/>
      </c>
      <c r="H158" s="103"/>
      <c r="I158" s="103"/>
      <c r="J158" s="103"/>
      <c r="K158" s="103"/>
      <c r="L158" s="103"/>
      <c r="M158" s="103"/>
      <c r="N158" s="103"/>
      <c r="O158" s="103"/>
      <c r="P158" s="103"/>
    </row>
    <row r="159" spans="2:16" s="92" customFormat="1">
      <c r="B159" s="87" t="str">
        <f t="shared" si="11"/>
        <v>2x(400G FR4), 800G FR4</v>
      </c>
      <c r="C159" s="88" t="str">
        <f t="shared" si="11"/>
        <v>2 km</v>
      </c>
      <c r="D159" s="88" t="str">
        <f t="shared" si="11"/>
        <v>OSFP, QSFP-DD800</v>
      </c>
      <c r="E159" s="103">
        <f>'Products x speed'!E170</f>
        <v>0</v>
      </c>
      <c r="F159" s="103">
        <f>'Products x speed'!F170</f>
        <v>0</v>
      </c>
      <c r="G159" s="103" t="str">
        <f>'Products x speed'!G170</f>
        <v/>
      </c>
      <c r="H159" s="103"/>
      <c r="I159" s="103"/>
      <c r="J159" s="103"/>
      <c r="K159" s="103"/>
      <c r="L159" s="103"/>
      <c r="M159" s="103"/>
      <c r="N159" s="103"/>
      <c r="O159" s="103"/>
      <c r="P159" s="103"/>
    </row>
    <row r="160" spans="2:16" s="92" customFormat="1">
      <c r="B160" s="87" t="str">
        <f t="shared" ref="B160:D172" si="12">B75</f>
        <v>800G LR8, LR4</v>
      </c>
      <c r="C160" s="88" t="str">
        <f t="shared" si="12"/>
        <v>6, 10 km</v>
      </c>
      <c r="D160" s="88" t="str">
        <f t="shared" si="12"/>
        <v>TBD</v>
      </c>
      <c r="E160" s="103">
        <f>'Products x speed'!E171</f>
        <v>0</v>
      </c>
      <c r="F160" s="103">
        <f>'Products x speed'!F171</f>
        <v>0</v>
      </c>
      <c r="G160" s="103" t="str">
        <f>'Products x speed'!G171</f>
        <v/>
      </c>
      <c r="H160" s="103"/>
      <c r="I160" s="103"/>
      <c r="J160" s="103"/>
      <c r="K160" s="103"/>
      <c r="L160" s="103"/>
      <c r="M160" s="103"/>
      <c r="N160" s="103"/>
      <c r="O160" s="103"/>
      <c r="P160" s="103"/>
    </row>
    <row r="161" spans="2:16" s="92" customFormat="1">
      <c r="B161" s="87" t="str">
        <f t="shared" si="12"/>
        <v>800G ZRlite</v>
      </c>
      <c r="C161" s="88" t="str">
        <f t="shared" si="12"/>
        <v>10 km, 20 km</v>
      </c>
      <c r="D161" s="88" t="str">
        <f t="shared" si="12"/>
        <v>TBD</v>
      </c>
      <c r="E161" s="103">
        <f>'Products x speed'!E172</f>
        <v>0</v>
      </c>
      <c r="F161" s="103">
        <f>'Products x speed'!F172</f>
        <v>0</v>
      </c>
      <c r="G161" s="103" t="str">
        <f>'Products x speed'!G172</f>
        <v/>
      </c>
      <c r="H161" s="103"/>
      <c r="I161" s="103"/>
      <c r="J161" s="103"/>
      <c r="K161" s="103"/>
      <c r="L161" s="103"/>
      <c r="M161" s="103"/>
      <c r="N161" s="103"/>
      <c r="O161" s="103"/>
      <c r="P161" s="103"/>
    </row>
    <row r="162" spans="2:16" s="92" customFormat="1">
      <c r="B162" s="83" t="str">
        <f t="shared" si="12"/>
        <v>800G ER4</v>
      </c>
      <c r="C162" s="84" t="str">
        <f t="shared" si="12"/>
        <v>40 km</v>
      </c>
      <c r="D162" s="84" t="str">
        <f t="shared" si="12"/>
        <v>TBD</v>
      </c>
      <c r="E162" s="102">
        <f>'Products x speed'!E173</f>
        <v>0</v>
      </c>
      <c r="F162" s="102">
        <f>'Products x speed'!F173</f>
        <v>0</v>
      </c>
      <c r="G162" s="102" t="str">
        <f>'Products x speed'!G173</f>
        <v/>
      </c>
      <c r="H162" s="102"/>
      <c r="I162" s="102"/>
      <c r="J162" s="102"/>
      <c r="K162" s="102"/>
      <c r="L162" s="102"/>
      <c r="M162" s="102"/>
      <c r="N162" s="102"/>
      <c r="O162" s="102"/>
      <c r="P162" s="102"/>
    </row>
    <row r="163" spans="2:16" s="92" customFormat="1">
      <c r="B163" s="87" t="str">
        <f t="shared" si="12"/>
        <v>1.6T SR16</v>
      </c>
      <c r="C163" s="88" t="str">
        <f t="shared" si="12"/>
        <v>100 m</v>
      </c>
      <c r="D163" s="88" t="str">
        <f t="shared" si="12"/>
        <v>OSFP-XD and TBD</v>
      </c>
      <c r="E163" s="103">
        <f>'Products x speed'!E174</f>
        <v>0</v>
      </c>
      <c r="F163" s="103">
        <f>'Products x speed'!F174</f>
        <v>0</v>
      </c>
      <c r="G163" s="103" t="str">
        <f>'Products x speed'!G174</f>
        <v/>
      </c>
      <c r="H163" s="103"/>
      <c r="I163" s="103"/>
      <c r="J163" s="103"/>
      <c r="K163" s="103"/>
      <c r="L163" s="103"/>
      <c r="M163" s="103"/>
      <c r="N163" s="103"/>
      <c r="O163" s="103"/>
      <c r="P163" s="103"/>
    </row>
    <row r="164" spans="2:16" s="92" customFormat="1">
      <c r="B164" s="87" t="str">
        <f t="shared" si="12"/>
        <v>1.6T DR8</v>
      </c>
      <c r="C164" s="88" t="str">
        <f t="shared" si="12"/>
        <v>500 m</v>
      </c>
      <c r="D164" s="88" t="str">
        <f t="shared" si="12"/>
        <v>OSFP-XD and TBD</v>
      </c>
      <c r="E164" s="103">
        <f>'Products x speed'!E175</f>
        <v>0</v>
      </c>
      <c r="F164" s="103">
        <f>'Products x speed'!F175</f>
        <v>0</v>
      </c>
      <c r="G164" s="103" t="str">
        <f>'Products x speed'!G175</f>
        <v/>
      </c>
      <c r="H164" s="103"/>
      <c r="I164" s="103"/>
      <c r="J164" s="103"/>
      <c r="K164" s="103"/>
      <c r="L164" s="103"/>
      <c r="M164" s="103"/>
      <c r="N164" s="103"/>
      <c r="O164" s="103"/>
      <c r="P164" s="103"/>
    </row>
    <row r="165" spans="2:16" s="92" customFormat="1">
      <c r="B165" s="87" t="str">
        <f t="shared" si="12"/>
        <v>1.6T FR8</v>
      </c>
      <c r="C165" s="88" t="str">
        <f t="shared" si="12"/>
        <v>2 km</v>
      </c>
      <c r="D165" s="88" t="str">
        <f t="shared" si="12"/>
        <v>OSFP-XD and TBD</v>
      </c>
      <c r="E165" s="103">
        <f>'Products x speed'!E176</f>
        <v>0</v>
      </c>
      <c r="F165" s="103">
        <f>'Products x speed'!F176</f>
        <v>0</v>
      </c>
      <c r="G165" s="103" t="str">
        <f>'Products x speed'!G176</f>
        <v/>
      </c>
      <c r="H165" s="103"/>
      <c r="I165" s="103"/>
      <c r="J165" s="103"/>
      <c r="K165" s="103"/>
      <c r="L165" s="103"/>
      <c r="M165" s="103"/>
      <c r="N165" s="103"/>
      <c r="O165" s="103"/>
      <c r="P165" s="103"/>
    </row>
    <row r="166" spans="2:16" s="92" customFormat="1">
      <c r="B166" s="87" t="str">
        <f t="shared" si="12"/>
        <v>1.6T LR8</v>
      </c>
      <c r="C166" s="88" t="str">
        <f t="shared" si="12"/>
        <v>10 km</v>
      </c>
      <c r="D166" s="88" t="str">
        <f t="shared" si="12"/>
        <v>OSFP-XD and TBD</v>
      </c>
      <c r="E166" s="103">
        <f>'Products x speed'!E177</f>
        <v>0</v>
      </c>
      <c r="F166" s="103">
        <f>'Products x speed'!F177</f>
        <v>0</v>
      </c>
      <c r="G166" s="103" t="str">
        <f>'Products x speed'!G177</f>
        <v/>
      </c>
      <c r="H166" s="103"/>
      <c r="I166" s="103"/>
      <c r="J166" s="103"/>
      <c r="K166" s="103"/>
      <c r="L166" s="103"/>
      <c r="M166" s="103"/>
      <c r="N166" s="103"/>
      <c r="O166" s="103"/>
      <c r="P166" s="103"/>
    </row>
    <row r="167" spans="2:16" s="92" customFormat="1">
      <c r="B167" s="83" t="str">
        <f t="shared" si="12"/>
        <v>1.6T ER8</v>
      </c>
      <c r="C167" s="84" t="str">
        <f t="shared" si="12"/>
        <v>&gt;10 km</v>
      </c>
      <c r="D167" s="84" t="str">
        <f t="shared" si="12"/>
        <v>OSFP-XD and TBD</v>
      </c>
      <c r="E167" s="102">
        <f>'Products x speed'!E178</f>
        <v>0</v>
      </c>
      <c r="F167" s="102">
        <f>'Products x speed'!F178</f>
        <v>0</v>
      </c>
      <c r="G167" s="102" t="str">
        <f>'Products x speed'!G178</f>
        <v/>
      </c>
      <c r="H167" s="102"/>
      <c r="I167" s="102"/>
      <c r="J167" s="102"/>
      <c r="K167" s="102"/>
      <c r="L167" s="102"/>
      <c r="M167" s="102"/>
      <c r="N167" s="102"/>
      <c r="O167" s="102"/>
      <c r="P167" s="102"/>
    </row>
    <row r="168" spans="2:16" s="92" customFormat="1">
      <c r="B168" s="87" t="str">
        <f t="shared" si="12"/>
        <v>3.2T SR</v>
      </c>
      <c r="C168" s="88" t="str">
        <f t="shared" si="12"/>
        <v>100 m</v>
      </c>
      <c r="D168" s="88" t="str">
        <f t="shared" si="12"/>
        <v>OSFP-XD and TBD</v>
      </c>
      <c r="E168" s="103">
        <f>'Products x speed'!E179</f>
        <v>0</v>
      </c>
      <c r="F168" s="103">
        <f>'Products x speed'!F179</f>
        <v>0</v>
      </c>
      <c r="G168" s="103" t="str">
        <f>'Products x speed'!G179</f>
        <v/>
      </c>
      <c r="H168" s="103"/>
      <c r="I168" s="103"/>
      <c r="J168" s="103"/>
      <c r="K168" s="103"/>
      <c r="L168" s="103"/>
      <c r="M168" s="103"/>
      <c r="N168" s="103"/>
      <c r="O168" s="103"/>
      <c r="P168" s="103"/>
    </row>
    <row r="169" spans="2:16" s="92" customFormat="1">
      <c r="B169" s="87" t="str">
        <f t="shared" si="12"/>
        <v>3.2T DR</v>
      </c>
      <c r="C169" s="88" t="str">
        <f t="shared" si="12"/>
        <v>500 m</v>
      </c>
      <c r="D169" s="88" t="str">
        <f t="shared" si="12"/>
        <v>OSFP-XD and TBD</v>
      </c>
      <c r="E169" s="103">
        <f>'Products x speed'!E180</f>
        <v>0</v>
      </c>
      <c r="F169" s="103">
        <f>'Products x speed'!F180</f>
        <v>0</v>
      </c>
      <c r="G169" s="103" t="str">
        <f>'Products x speed'!G180</f>
        <v/>
      </c>
      <c r="H169" s="103"/>
      <c r="I169" s="103"/>
      <c r="J169" s="103"/>
      <c r="K169" s="103"/>
      <c r="L169" s="103"/>
      <c r="M169" s="103"/>
      <c r="N169" s="103"/>
      <c r="O169" s="103"/>
      <c r="P169" s="103"/>
    </row>
    <row r="170" spans="2:16" s="92" customFormat="1">
      <c r="B170" s="87" t="str">
        <f t="shared" si="12"/>
        <v>3.2T FR</v>
      </c>
      <c r="C170" s="88" t="str">
        <f t="shared" si="12"/>
        <v>2 km</v>
      </c>
      <c r="D170" s="88" t="str">
        <f t="shared" si="12"/>
        <v>OSFP-XD and TBD</v>
      </c>
      <c r="E170" s="103">
        <f>'Products x speed'!E181</f>
        <v>0</v>
      </c>
      <c r="F170" s="103">
        <f>'Products x speed'!F181</f>
        <v>0</v>
      </c>
      <c r="G170" s="103" t="str">
        <f>'Products x speed'!G181</f>
        <v/>
      </c>
      <c r="H170" s="103"/>
      <c r="I170" s="103"/>
      <c r="J170" s="103"/>
      <c r="K170" s="103"/>
      <c r="L170" s="103"/>
      <c r="M170" s="103"/>
      <c r="N170" s="103"/>
      <c r="O170" s="103"/>
      <c r="P170" s="103"/>
    </row>
    <row r="171" spans="2:16" s="92" customFormat="1">
      <c r="B171" s="87" t="str">
        <f t="shared" si="12"/>
        <v>3.2T LR</v>
      </c>
      <c r="C171" s="88" t="str">
        <f t="shared" si="12"/>
        <v>10 km</v>
      </c>
      <c r="D171" s="88" t="str">
        <f t="shared" si="12"/>
        <v>OSFP-XD and TBD</v>
      </c>
      <c r="E171" s="103">
        <f>'Products x speed'!E182</f>
        <v>0</v>
      </c>
      <c r="F171" s="103">
        <f>'Products x speed'!F182</f>
        <v>0</v>
      </c>
      <c r="G171" s="103" t="str">
        <f>'Products x speed'!G182</f>
        <v/>
      </c>
      <c r="H171" s="103"/>
      <c r="I171" s="103"/>
      <c r="J171" s="103"/>
      <c r="K171" s="103"/>
      <c r="L171" s="103"/>
      <c r="M171" s="103"/>
      <c r="N171" s="103"/>
      <c r="O171" s="103"/>
      <c r="P171" s="103"/>
    </row>
    <row r="172" spans="2:16" s="92" customFormat="1">
      <c r="B172" s="87" t="str">
        <f t="shared" si="12"/>
        <v>3.2T ER</v>
      </c>
      <c r="C172" s="88" t="str">
        <f t="shared" si="12"/>
        <v>&gt;10 km</v>
      </c>
      <c r="D172" s="88" t="str">
        <f t="shared" si="12"/>
        <v>OSFP-XD and TBD</v>
      </c>
      <c r="E172" s="103">
        <f>'Products x speed'!E183</f>
        <v>0</v>
      </c>
      <c r="F172" s="103">
        <f>'Products x speed'!F183</f>
        <v>0</v>
      </c>
      <c r="G172" s="103" t="str">
        <f>'Products x speed'!G183</f>
        <v/>
      </c>
      <c r="H172" s="103"/>
      <c r="I172" s="103"/>
      <c r="J172" s="103"/>
      <c r="K172" s="103"/>
      <c r="L172" s="103"/>
      <c r="M172" s="103"/>
      <c r="N172" s="103"/>
      <c r="O172" s="103"/>
      <c r="P172" s="103"/>
    </row>
    <row r="173" spans="2:16" s="92" customFormat="1">
      <c r="B173" s="83"/>
      <c r="C173" s="84"/>
      <c r="D173" s="84"/>
      <c r="E173" s="103">
        <f>'Products x speed'!E184</f>
        <v>0</v>
      </c>
      <c r="F173" s="103">
        <f>'Products x speed'!F184</f>
        <v>0</v>
      </c>
      <c r="G173" s="103" t="str">
        <f>'Products x speed'!G184</f>
        <v/>
      </c>
      <c r="H173" s="103"/>
      <c r="I173" s="103"/>
      <c r="J173" s="103"/>
      <c r="K173" s="103"/>
      <c r="L173" s="103"/>
      <c r="M173" s="103"/>
      <c r="N173" s="103"/>
      <c r="O173" s="103"/>
      <c r="P173" s="103"/>
    </row>
    <row r="174" spans="2:16">
      <c r="B174" s="38" t="s">
        <v>20</v>
      </c>
      <c r="C174" s="39"/>
      <c r="D174" s="39"/>
      <c r="E174" s="106">
        <f t="shared" ref="E174:G174" si="13">IF(E89=0,,E259*10^6/E89)</f>
        <v>104.97249875787344</v>
      </c>
      <c r="F174" s="106">
        <f t="shared" si="13"/>
        <v>143.06916178965082</v>
      </c>
      <c r="G174" s="106">
        <f t="shared" si="13"/>
        <v>143.76400920977201</v>
      </c>
      <c r="H174" s="106"/>
      <c r="I174" s="106"/>
      <c r="J174" s="106"/>
      <c r="K174" s="106"/>
      <c r="L174" s="106"/>
      <c r="M174" s="106"/>
      <c r="N174" s="106"/>
      <c r="O174" s="106"/>
      <c r="P174" s="106"/>
    </row>
    <row r="177" spans="1:16" ht="21">
      <c r="B177" s="15" t="s">
        <v>28</v>
      </c>
      <c r="C177" s="14"/>
      <c r="D177" s="14"/>
    </row>
    <row r="178" spans="1:16">
      <c r="B178" s="77" t="str">
        <f>B6</f>
        <v>Data Rate</v>
      </c>
      <c r="C178" s="77" t="str">
        <f>C6</f>
        <v>Reach</v>
      </c>
      <c r="D178" s="77" t="str">
        <f>D6</f>
        <v>Form Factor</v>
      </c>
      <c r="E178" s="100">
        <v>2016</v>
      </c>
      <c r="F178" s="100">
        <v>2017</v>
      </c>
      <c r="G178" s="100">
        <v>2018</v>
      </c>
      <c r="H178" s="100">
        <v>2019</v>
      </c>
      <c r="I178" s="100">
        <v>2020</v>
      </c>
      <c r="J178" s="100">
        <v>2021</v>
      </c>
      <c r="K178" s="100">
        <v>2022</v>
      </c>
      <c r="L178" s="100">
        <v>2023</v>
      </c>
      <c r="M178" s="100">
        <v>2024</v>
      </c>
      <c r="N178" s="100">
        <v>2025</v>
      </c>
      <c r="O178" s="100">
        <v>2026</v>
      </c>
      <c r="P178" s="100">
        <v>2027</v>
      </c>
    </row>
    <row r="179" spans="1:16">
      <c r="A179" s="44" t="str">
        <f>Products!F36</f>
        <v>MMF</v>
      </c>
      <c r="B179" s="79" t="str">
        <f t="shared" ref="B179:D198" si="14">B9</f>
        <v>1G</v>
      </c>
      <c r="C179" s="80" t="str">
        <f t="shared" si="14"/>
        <v>500 m</v>
      </c>
      <c r="D179" s="80" t="str">
        <f t="shared" si="14"/>
        <v>SFP</v>
      </c>
      <c r="E179" s="108">
        <f t="shared" ref="E179:G179" si="15">IF(E9=0,,E9*E94/10^6)</f>
        <v>0</v>
      </c>
      <c r="F179" s="108">
        <f t="shared" si="15"/>
        <v>0</v>
      </c>
      <c r="G179" s="108">
        <f t="shared" si="15"/>
        <v>0</v>
      </c>
      <c r="H179" s="108"/>
      <c r="I179" s="108"/>
      <c r="J179" s="108"/>
      <c r="K179" s="108"/>
      <c r="L179" s="108"/>
      <c r="M179" s="108"/>
      <c r="N179" s="108"/>
      <c r="O179" s="108"/>
      <c r="P179" s="108"/>
    </row>
    <row r="180" spans="1:16">
      <c r="A180" s="210" t="str">
        <f>Products!F37</f>
        <v>SMF</v>
      </c>
      <c r="B180" s="87" t="str">
        <f t="shared" si="14"/>
        <v>1G</v>
      </c>
      <c r="C180" s="88" t="str">
        <f t="shared" si="14"/>
        <v>10 km</v>
      </c>
      <c r="D180" s="88" t="str">
        <f t="shared" si="14"/>
        <v>SFP</v>
      </c>
      <c r="E180" s="110">
        <f t="shared" ref="E180:G180" si="16">IF(E10=0,,E10*E95/10^6)</f>
        <v>4.7478439228000004</v>
      </c>
      <c r="F180" s="110">
        <f t="shared" si="16"/>
        <v>2.4950864080093562</v>
      </c>
      <c r="G180" s="110">
        <f t="shared" si="16"/>
        <v>1.8826059623999996</v>
      </c>
      <c r="H180" s="110"/>
      <c r="I180" s="110"/>
      <c r="J180" s="110"/>
      <c r="K180" s="110"/>
      <c r="L180" s="110"/>
      <c r="M180" s="110"/>
      <c r="N180" s="110"/>
      <c r="O180" s="110"/>
      <c r="P180" s="110"/>
    </row>
    <row r="181" spans="1:16">
      <c r="A181" s="210" t="str">
        <f>Products!F38</f>
        <v>SMF</v>
      </c>
      <c r="B181" s="87" t="str">
        <f t="shared" si="14"/>
        <v>1G</v>
      </c>
      <c r="C181" s="88" t="str">
        <f t="shared" si="14"/>
        <v>40 km</v>
      </c>
      <c r="D181" s="88" t="str">
        <f t="shared" si="14"/>
        <v>SFP</v>
      </c>
      <c r="E181" s="110">
        <f t="shared" ref="E181:G181" si="17">IF(E11=0,,E11*E96/10^6)</f>
        <v>0</v>
      </c>
      <c r="F181" s="110">
        <f t="shared" si="17"/>
        <v>0</v>
      </c>
      <c r="G181" s="110">
        <f t="shared" si="17"/>
        <v>0</v>
      </c>
      <c r="H181" s="110"/>
      <c r="I181" s="110"/>
      <c r="J181" s="110"/>
      <c r="K181" s="110"/>
      <c r="L181" s="110"/>
      <c r="M181" s="110"/>
      <c r="N181" s="110"/>
      <c r="O181" s="110"/>
      <c r="P181" s="110"/>
    </row>
    <row r="182" spans="1:16">
      <c r="A182" s="210" t="str">
        <f>Products!F39</f>
        <v>SMF</v>
      </c>
      <c r="B182" s="87" t="str">
        <f t="shared" si="14"/>
        <v>1G</v>
      </c>
      <c r="C182" s="88" t="str">
        <f t="shared" si="14"/>
        <v>80 km</v>
      </c>
      <c r="D182" s="88" t="str">
        <f t="shared" si="14"/>
        <v>SFP</v>
      </c>
      <c r="E182" s="110">
        <f t="shared" ref="E182:G183" si="18">IF(E12=0,,E12*E97/10^6)</f>
        <v>0</v>
      </c>
      <c r="F182" s="110">
        <f t="shared" si="18"/>
        <v>0</v>
      </c>
      <c r="G182" s="110">
        <f t="shared" si="18"/>
        <v>0</v>
      </c>
      <c r="H182" s="110"/>
      <c r="I182" s="110"/>
      <c r="J182" s="110"/>
      <c r="K182" s="110"/>
      <c r="L182" s="110"/>
      <c r="M182" s="110"/>
      <c r="N182" s="110"/>
      <c r="O182" s="110"/>
      <c r="P182" s="110"/>
    </row>
    <row r="183" spans="1:16">
      <c r="A183" s="210" t="str">
        <f>Products!F40</f>
        <v>Mix</v>
      </c>
      <c r="B183" s="83" t="str">
        <f t="shared" si="14"/>
        <v>1G &amp; Fast Ethernet</v>
      </c>
      <c r="C183" s="84" t="str">
        <f t="shared" si="14"/>
        <v>Various</v>
      </c>
      <c r="D183" s="84" t="str">
        <f t="shared" si="14"/>
        <v>Legacy/discontinued</v>
      </c>
      <c r="E183" s="109">
        <f t="shared" si="18"/>
        <v>0</v>
      </c>
      <c r="F183" s="109"/>
      <c r="G183" s="109"/>
      <c r="H183" s="109"/>
      <c r="I183" s="109"/>
      <c r="J183" s="109"/>
      <c r="K183" s="109"/>
      <c r="L183" s="109"/>
      <c r="M183" s="109"/>
      <c r="N183" s="109"/>
      <c r="O183" s="109"/>
      <c r="P183" s="109"/>
    </row>
    <row r="184" spans="1:16">
      <c r="A184" s="44" t="str">
        <f>Products!F41</f>
        <v>MMF</v>
      </c>
      <c r="B184" s="87" t="str">
        <f t="shared" si="14"/>
        <v>10G</v>
      </c>
      <c r="C184" s="88" t="str">
        <f t="shared" si="14"/>
        <v>300 m</v>
      </c>
      <c r="D184" s="88" t="str">
        <f t="shared" si="14"/>
        <v>XFP</v>
      </c>
      <c r="E184" s="110">
        <f t="shared" ref="E184:G184" si="19">IF(E14=0,,E14*E99/10^6)</f>
        <v>0</v>
      </c>
      <c r="F184" s="110">
        <f t="shared" si="19"/>
        <v>0</v>
      </c>
      <c r="G184" s="110">
        <f t="shared" si="19"/>
        <v>0</v>
      </c>
      <c r="H184" s="110"/>
      <c r="I184" s="110"/>
      <c r="J184" s="110"/>
      <c r="K184" s="110"/>
      <c r="L184" s="110"/>
      <c r="M184" s="110"/>
      <c r="N184" s="110"/>
      <c r="O184" s="110"/>
      <c r="P184" s="110"/>
    </row>
    <row r="185" spans="1:16">
      <c r="A185" s="44" t="str">
        <f>Products!F42</f>
        <v>MMF</v>
      </c>
      <c r="B185" s="87" t="str">
        <f t="shared" si="14"/>
        <v>10G</v>
      </c>
      <c r="C185" s="88" t="str">
        <f t="shared" si="14"/>
        <v>300 m</v>
      </c>
      <c r="D185" s="88" t="str">
        <f t="shared" si="14"/>
        <v>SFP+</v>
      </c>
      <c r="E185" s="110">
        <f t="shared" ref="E185:G185" si="20">IF(E15=0,,E15*E100/10^6)</f>
        <v>97.34470409430871</v>
      </c>
      <c r="F185" s="110">
        <f t="shared" si="20"/>
        <v>87.068640146730502</v>
      </c>
      <c r="G185" s="110">
        <f t="shared" si="20"/>
        <v>86.907240834275527</v>
      </c>
      <c r="H185" s="110"/>
      <c r="I185" s="110"/>
      <c r="J185" s="110"/>
      <c r="K185" s="110"/>
      <c r="L185" s="110"/>
      <c r="M185" s="110"/>
      <c r="N185" s="110"/>
      <c r="O185" s="110"/>
      <c r="P185" s="110"/>
    </row>
    <row r="186" spans="1:16">
      <c r="A186" s="44" t="str">
        <f>Products!F43</f>
        <v>MMF</v>
      </c>
      <c r="B186" s="87" t="str">
        <f t="shared" si="14"/>
        <v>10G LRM</v>
      </c>
      <c r="C186" s="88" t="str">
        <f t="shared" si="14"/>
        <v>220 m</v>
      </c>
      <c r="D186" s="88" t="str">
        <f t="shared" si="14"/>
        <v>SFP+</v>
      </c>
      <c r="E186" s="110">
        <f t="shared" ref="E186:G186" si="21">IF(E16=0,,E16*E101/10^6)</f>
        <v>0</v>
      </c>
      <c r="F186" s="110">
        <f t="shared" si="21"/>
        <v>0</v>
      </c>
      <c r="G186" s="110">
        <f t="shared" si="21"/>
        <v>0</v>
      </c>
      <c r="H186" s="110"/>
      <c r="I186" s="110"/>
      <c r="J186" s="110"/>
      <c r="K186" s="110"/>
      <c r="L186" s="110"/>
      <c r="M186" s="110"/>
      <c r="N186" s="110"/>
      <c r="O186" s="110"/>
      <c r="P186" s="110"/>
    </row>
    <row r="187" spans="1:16">
      <c r="A187" s="210" t="str">
        <f>Products!F44</f>
        <v>SMF</v>
      </c>
      <c r="B187" s="87" t="str">
        <f t="shared" si="14"/>
        <v>10G</v>
      </c>
      <c r="C187" s="88" t="str">
        <f t="shared" si="14"/>
        <v>10 km</v>
      </c>
      <c r="D187" s="88" t="str">
        <f t="shared" si="14"/>
        <v>XFP</v>
      </c>
      <c r="E187" s="110">
        <f t="shared" ref="E187:G187" si="22">IF(E17=0,,E17*E102/10^6)</f>
        <v>0</v>
      </c>
      <c r="F187" s="110">
        <f t="shared" si="22"/>
        <v>0</v>
      </c>
      <c r="G187" s="110">
        <f t="shared" si="22"/>
        <v>0</v>
      </c>
      <c r="H187" s="110"/>
      <c r="I187" s="110"/>
      <c r="J187" s="110"/>
      <c r="K187" s="110"/>
      <c r="L187" s="110"/>
      <c r="M187" s="110"/>
      <c r="N187" s="110"/>
      <c r="O187" s="110"/>
      <c r="P187" s="110"/>
    </row>
    <row r="188" spans="1:16">
      <c r="A188" s="210" t="str">
        <f>Products!F45</f>
        <v>SMF</v>
      </c>
      <c r="B188" s="87" t="str">
        <f t="shared" si="14"/>
        <v>10G</v>
      </c>
      <c r="C188" s="88" t="str">
        <f t="shared" si="14"/>
        <v>10 km</v>
      </c>
      <c r="D188" s="88" t="str">
        <f t="shared" si="14"/>
        <v>SFP+</v>
      </c>
      <c r="E188" s="110">
        <f t="shared" ref="E188:G188" si="23">IF(E18=0,,E18*E103/10^6)</f>
        <v>68.17850334418695</v>
      </c>
      <c r="F188" s="110">
        <f t="shared" si="23"/>
        <v>56.191964472121946</v>
      </c>
      <c r="G188" s="110">
        <f t="shared" si="23"/>
        <v>25.313280886062621</v>
      </c>
      <c r="H188" s="110"/>
      <c r="I188" s="110"/>
      <c r="J188" s="110"/>
      <c r="K188" s="110"/>
      <c r="L188" s="110"/>
      <c r="M188" s="110"/>
      <c r="N188" s="110"/>
      <c r="O188" s="110"/>
      <c r="P188" s="110"/>
    </row>
    <row r="189" spans="1:16">
      <c r="A189" s="210" t="str">
        <f>Products!F46</f>
        <v>SMF</v>
      </c>
      <c r="B189" s="87" t="str">
        <f t="shared" si="14"/>
        <v>10G</v>
      </c>
      <c r="C189" s="88" t="str">
        <f t="shared" si="14"/>
        <v>40 km</v>
      </c>
      <c r="D189" s="88" t="str">
        <f t="shared" si="14"/>
        <v>XFP</v>
      </c>
      <c r="E189" s="110">
        <f t="shared" ref="E189:G189" si="24">IF(E19=0,,E19*E104/10^6)</f>
        <v>6.1957791255030008</v>
      </c>
      <c r="F189" s="110">
        <f t="shared" si="24"/>
        <v>2.9912816427744064</v>
      </c>
      <c r="G189" s="110">
        <f t="shared" si="24"/>
        <v>3.7400454148394879</v>
      </c>
      <c r="H189" s="110"/>
      <c r="I189" s="110"/>
      <c r="J189" s="110"/>
      <c r="K189" s="110"/>
      <c r="L189" s="110"/>
      <c r="M189" s="110"/>
      <c r="N189" s="110"/>
      <c r="O189" s="110"/>
      <c r="P189" s="110"/>
    </row>
    <row r="190" spans="1:16">
      <c r="A190" s="210" t="str">
        <f>Products!F47</f>
        <v>SMF</v>
      </c>
      <c r="B190" s="87" t="str">
        <f t="shared" si="14"/>
        <v>10G</v>
      </c>
      <c r="C190" s="88" t="str">
        <f t="shared" si="14"/>
        <v>40 km</v>
      </c>
      <c r="D190" s="88" t="str">
        <f t="shared" si="14"/>
        <v>SFP+</v>
      </c>
      <c r="E190" s="110">
        <f t="shared" ref="E190:G190" si="25">IF(E20=0,,E20*E105/10^6)</f>
        <v>4.9314255569719556</v>
      </c>
      <c r="F190" s="110">
        <f t="shared" si="25"/>
        <v>2.0120747906781835</v>
      </c>
      <c r="G190" s="110">
        <f t="shared" si="25"/>
        <v>0</v>
      </c>
      <c r="H190" s="110"/>
      <c r="I190" s="110"/>
      <c r="J190" s="110"/>
      <c r="K190" s="110"/>
      <c r="L190" s="110"/>
      <c r="M190" s="110"/>
      <c r="N190" s="110"/>
      <c r="O190" s="110"/>
      <c r="P190" s="110"/>
    </row>
    <row r="191" spans="1:16">
      <c r="A191" s="210" t="str">
        <f>Products!F48</f>
        <v>SMF</v>
      </c>
      <c r="B191" s="87" t="str">
        <f t="shared" si="14"/>
        <v>10G</v>
      </c>
      <c r="C191" s="88" t="str">
        <f t="shared" si="14"/>
        <v>80 km</v>
      </c>
      <c r="D191" s="88" t="str">
        <f t="shared" si="14"/>
        <v>XFP</v>
      </c>
      <c r="E191" s="110">
        <f t="shared" ref="E191:G191" si="26">IF(E21=0,,E21*E106/10^6)</f>
        <v>0</v>
      </c>
      <c r="F191" s="110">
        <f t="shared" si="26"/>
        <v>0</v>
      </c>
      <c r="G191" s="110">
        <f t="shared" si="26"/>
        <v>0</v>
      </c>
      <c r="H191" s="110"/>
      <c r="I191" s="110"/>
      <c r="J191" s="110"/>
      <c r="K191" s="110"/>
      <c r="L191" s="110"/>
      <c r="M191" s="110"/>
      <c r="N191" s="110"/>
      <c r="O191" s="110"/>
      <c r="P191" s="110"/>
    </row>
    <row r="192" spans="1:16">
      <c r="A192" s="210" t="str">
        <f>Products!F49</f>
        <v>SMF</v>
      </c>
      <c r="B192" s="87" t="str">
        <f t="shared" si="14"/>
        <v>10G</v>
      </c>
      <c r="C192" s="88" t="str">
        <f t="shared" si="14"/>
        <v>80 km</v>
      </c>
      <c r="D192" s="88" t="str">
        <f t="shared" si="14"/>
        <v>SFP+</v>
      </c>
      <c r="E192" s="110">
        <f t="shared" ref="E192:G193" si="27">IF(E22=0,,E22*E107/10^6)</f>
        <v>0</v>
      </c>
      <c r="F192" s="110">
        <f t="shared" si="27"/>
        <v>0</v>
      </c>
      <c r="G192" s="110">
        <f t="shared" si="27"/>
        <v>0</v>
      </c>
      <c r="H192" s="110"/>
      <c r="I192" s="110"/>
      <c r="J192" s="110"/>
      <c r="K192" s="110"/>
      <c r="L192" s="110"/>
      <c r="M192" s="110"/>
      <c r="N192" s="110"/>
      <c r="O192" s="110"/>
      <c r="P192" s="110"/>
    </row>
    <row r="193" spans="1:16">
      <c r="A193" s="210" t="str">
        <f>Products!F50</f>
        <v>Mix</v>
      </c>
      <c r="B193" s="87" t="str">
        <f t="shared" si="14"/>
        <v>10G</v>
      </c>
      <c r="C193" s="88" t="str">
        <f t="shared" si="14"/>
        <v>Various</v>
      </c>
      <c r="D193" s="88" t="str">
        <f t="shared" si="14"/>
        <v>Legacy/discontinued</v>
      </c>
      <c r="E193" s="109">
        <f t="shared" si="27"/>
        <v>0</v>
      </c>
      <c r="F193" s="109">
        <f t="shared" si="27"/>
        <v>0</v>
      </c>
      <c r="G193" s="109">
        <f t="shared" si="27"/>
        <v>0</v>
      </c>
      <c r="H193" s="109"/>
      <c r="I193" s="109"/>
      <c r="J193" s="110"/>
      <c r="K193" s="110"/>
      <c r="L193" s="110"/>
      <c r="M193" s="110"/>
      <c r="N193" s="110"/>
      <c r="O193" s="110"/>
      <c r="P193" s="110"/>
    </row>
    <row r="194" spans="1:16">
      <c r="A194" s="44" t="str">
        <f>Products!F51</f>
        <v>MMF</v>
      </c>
      <c r="B194" s="79" t="str">
        <f t="shared" si="14"/>
        <v>25G SR, eSR</v>
      </c>
      <c r="C194" s="80" t="str">
        <f t="shared" si="14"/>
        <v>100 - 300 m</v>
      </c>
      <c r="D194" s="81" t="str">
        <f t="shared" si="14"/>
        <v>SFP28</v>
      </c>
      <c r="E194" s="108">
        <f t="shared" ref="E194:G194" si="28">IF(E24=0,,E24*E109/10^6)</f>
        <v>0</v>
      </c>
      <c r="F194" s="108">
        <f t="shared" si="28"/>
        <v>0</v>
      </c>
      <c r="G194" s="108">
        <f t="shared" si="28"/>
        <v>0</v>
      </c>
      <c r="H194" s="108"/>
      <c r="I194" s="108"/>
      <c r="J194" s="108"/>
      <c r="K194" s="108"/>
      <c r="L194" s="108"/>
      <c r="M194" s="108"/>
      <c r="N194" s="108"/>
      <c r="O194" s="108"/>
      <c r="P194" s="108"/>
    </row>
    <row r="195" spans="1:16">
      <c r="A195" s="210" t="str">
        <f>Products!F52</f>
        <v>SMF</v>
      </c>
      <c r="B195" s="87" t="str">
        <f t="shared" si="14"/>
        <v>25G LR</v>
      </c>
      <c r="C195" s="88" t="str">
        <f t="shared" si="14"/>
        <v>10 km</v>
      </c>
      <c r="D195" s="89" t="str">
        <f t="shared" si="14"/>
        <v>SFP28</v>
      </c>
      <c r="E195" s="110">
        <f t="shared" ref="E195:G195" si="29">IF(E25=0,,E25*E110/10^6)</f>
        <v>0</v>
      </c>
      <c r="F195" s="110">
        <f t="shared" si="29"/>
        <v>0</v>
      </c>
      <c r="G195" s="110">
        <f t="shared" si="29"/>
        <v>0</v>
      </c>
      <c r="H195" s="110"/>
      <c r="I195" s="110"/>
      <c r="J195" s="110"/>
      <c r="K195" s="110"/>
      <c r="L195" s="110"/>
      <c r="M195" s="110"/>
      <c r="N195" s="110"/>
      <c r="O195" s="110"/>
      <c r="P195" s="110"/>
    </row>
    <row r="196" spans="1:16">
      <c r="A196" s="210" t="str">
        <f>Products!F53</f>
        <v>SMF</v>
      </c>
      <c r="B196" s="83" t="str">
        <f t="shared" si="14"/>
        <v>25G ER</v>
      </c>
      <c r="C196" s="84" t="str">
        <f t="shared" si="14"/>
        <v>40 km</v>
      </c>
      <c r="D196" s="85" t="str">
        <f t="shared" si="14"/>
        <v>SFP28</v>
      </c>
      <c r="E196" s="109">
        <f t="shared" ref="E196:G196" si="30">IF(E26=0,,E26*E111/10^6)</f>
        <v>0</v>
      </c>
      <c r="F196" s="109">
        <f t="shared" si="30"/>
        <v>0</v>
      </c>
      <c r="G196" s="109">
        <f t="shared" si="30"/>
        <v>0</v>
      </c>
      <c r="H196" s="109"/>
      <c r="I196" s="109"/>
      <c r="J196" s="109"/>
      <c r="K196" s="109"/>
      <c r="L196" s="109"/>
      <c r="M196" s="109"/>
      <c r="N196" s="109"/>
      <c r="O196" s="109"/>
      <c r="P196" s="109"/>
    </row>
    <row r="197" spans="1:16">
      <c r="A197" s="44" t="str">
        <f>Products!F54</f>
        <v>MMF</v>
      </c>
      <c r="B197" s="79" t="str">
        <f t="shared" si="14"/>
        <v>40G SR4</v>
      </c>
      <c r="C197" s="80" t="str">
        <f t="shared" si="14"/>
        <v>100 m</v>
      </c>
      <c r="D197" s="81" t="str">
        <f t="shared" si="14"/>
        <v>QSFP+</v>
      </c>
      <c r="E197" s="108">
        <f t="shared" ref="E197:G197" si="31">IF(E27=0,,E27*E112/10^6)</f>
        <v>52.542377877555559</v>
      </c>
      <c r="F197" s="108">
        <f t="shared" si="31"/>
        <v>54.235480692339607</v>
      </c>
      <c r="G197" s="108">
        <f t="shared" si="31"/>
        <v>47.898662118445252</v>
      </c>
      <c r="H197" s="108"/>
      <c r="I197" s="108"/>
      <c r="J197" s="108"/>
      <c r="K197" s="108"/>
      <c r="L197" s="108"/>
      <c r="M197" s="108"/>
      <c r="N197" s="108"/>
      <c r="O197" s="108"/>
      <c r="P197" s="108"/>
    </row>
    <row r="198" spans="1:16">
      <c r="A198" s="44" t="str">
        <f>Products!F55</f>
        <v>MMF</v>
      </c>
      <c r="B198" s="87" t="str">
        <f t="shared" si="14"/>
        <v>40G MM duplex</v>
      </c>
      <c r="C198" s="88" t="str">
        <f t="shared" si="14"/>
        <v>100 m</v>
      </c>
      <c r="D198" s="89" t="str">
        <f t="shared" si="14"/>
        <v>QSFP+</v>
      </c>
      <c r="E198" s="110">
        <f t="shared" ref="E198:G198" si="32">IF(E28=0,,E28*E113/10^6)</f>
        <v>0</v>
      </c>
      <c r="F198" s="110">
        <f t="shared" si="32"/>
        <v>0</v>
      </c>
      <c r="G198" s="110">
        <f t="shared" si="32"/>
        <v>0</v>
      </c>
      <c r="H198" s="110"/>
      <c r="I198" s="110"/>
      <c r="J198" s="110"/>
      <c r="K198" s="110"/>
      <c r="L198" s="110"/>
      <c r="M198" s="110"/>
      <c r="N198" s="110"/>
      <c r="O198" s="110"/>
      <c r="P198" s="110"/>
    </row>
    <row r="199" spans="1:16">
      <c r="A199" s="44" t="str">
        <f>Products!F56</f>
        <v>MMF</v>
      </c>
      <c r="B199" s="87" t="str">
        <f t="shared" ref="B199:D218" si="33">B29</f>
        <v>40G eSR4</v>
      </c>
      <c r="C199" s="88" t="str">
        <f t="shared" si="33"/>
        <v>300 m</v>
      </c>
      <c r="D199" s="89" t="str">
        <f t="shared" si="33"/>
        <v>QSFP+</v>
      </c>
      <c r="E199" s="110">
        <f t="shared" ref="E199:G199" si="34">IF(E29=0,,E29*E114/10^6)</f>
        <v>24.957600813500001</v>
      </c>
      <c r="F199" s="110">
        <f t="shared" si="34"/>
        <v>32.120649999999998</v>
      </c>
      <c r="G199" s="110">
        <f t="shared" si="34"/>
        <v>26.651817992802922</v>
      </c>
      <c r="H199" s="110"/>
      <c r="I199" s="110"/>
      <c r="J199" s="110"/>
      <c r="K199" s="110"/>
      <c r="L199" s="110"/>
      <c r="M199" s="110"/>
      <c r="N199" s="110"/>
      <c r="O199" s="110"/>
      <c r="P199" s="110"/>
    </row>
    <row r="200" spans="1:16">
      <c r="A200" s="210" t="str">
        <f>Products!F57</f>
        <v>SMF</v>
      </c>
      <c r="B200" s="87" t="str">
        <f t="shared" si="33"/>
        <v>40 G PSM4</v>
      </c>
      <c r="C200" s="88" t="str">
        <f t="shared" si="33"/>
        <v>500 m</v>
      </c>
      <c r="D200" s="89" t="str">
        <f t="shared" si="33"/>
        <v>QSFP+</v>
      </c>
      <c r="E200" s="188">
        <f t="shared" ref="E200:G200" si="35">IF(E30=0,,E30*E115/10^6)</f>
        <v>206.04404776999999</v>
      </c>
      <c r="F200" s="188">
        <f t="shared" si="35"/>
        <v>161.25879399999999</v>
      </c>
      <c r="G200" s="188">
        <f t="shared" si="35"/>
        <v>126.55714999999999</v>
      </c>
      <c r="H200" s="188"/>
      <c r="I200" s="188"/>
      <c r="J200" s="188"/>
      <c r="K200" s="188"/>
      <c r="L200" s="188"/>
      <c r="M200" s="188"/>
      <c r="N200" s="188"/>
      <c r="O200" s="188"/>
      <c r="P200" s="188"/>
    </row>
    <row r="201" spans="1:16">
      <c r="A201" s="210" t="str">
        <f>Products!F58</f>
        <v>SMF</v>
      </c>
      <c r="B201" s="87" t="str">
        <f t="shared" si="33"/>
        <v>40G (FR)</v>
      </c>
      <c r="C201" s="88" t="str">
        <f t="shared" si="33"/>
        <v>2 km</v>
      </c>
      <c r="D201" s="89" t="str">
        <f t="shared" si="33"/>
        <v>CFP</v>
      </c>
      <c r="E201" s="188">
        <f t="shared" ref="E201:G201" si="36">IF(E31=0,,E31*E116/10^6)</f>
        <v>0</v>
      </c>
      <c r="F201" s="188">
        <f t="shared" si="36"/>
        <v>0</v>
      </c>
      <c r="G201" s="188">
        <f t="shared" si="36"/>
        <v>0</v>
      </c>
      <c r="H201" s="188"/>
      <c r="I201" s="188"/>
      <c r="J201" s="188"/>
      <c r="K201" s="188"/>
      <c r="L201" s="188"/>
      <c r="M201" s="188"/>
      <c r="N201" s="188"/>
      <c r="O201" s="188"/>
      <c r="P201" s="188"/>
    </row>
    <row r="202" spans="1:16">
      <c r="A202" s="210" t="str">
        <f>Products!F59</f>
        <v>SMF</v>
      </c>
      <c r="B202" s="87" t="str">
        <f t="shared" si="33"/>
        <v>40G (LR4 subspec)</v>
      </c>
      <c r="C202" s="88" t="str">
        <f t="shared" si="33"/>
        <v>2 km</v>
      </c>
      <c r="D202" s="89" t="str">
        <f t="shared" si="33"/>
        <v>QSFP+</v>
      </c>
      <c r="E202" s="188">
        <f t="shared" ref="E202:G202" si="37">IF(E32=0,,E32*E117/10^6)</f>
        <v>177.55117799999999</v>
      </c>
      <c r="F202" s="188">
        <f t="shared" si="37"/>
        <v>277.09314268000003</v>
      </c>
      <c r="G202" s="188">
        <f t="shared" si="37"/>
        <v>82.548280259999999</v>
      </c>
      <c r="H202" s="188"/>
      <c r="I202" s="188"/>
      <c r="J202" s="188"/>
      <c r="K202" s="188"/>
      <c r="L202" s="188"/>
      <c r="M202" s="188"/>
      <c r="N202" s="188"/>
      <c r="O202" s="188"/>
      <c r="P202" s="188"/>
    </row>
    <row r="203" spans="1:16">
      <c r="A203" s="210" t="str">
        <f>Products!F60</f>
        <v>SMF</v>
      </c>
      <c r="B203" s="87" t="str">
        <f t="shared" si="33"/>
        <v>40G</v>
      </c>
      <c r="C203" s="88" t="str">
        <f t="shared" si="33"/>
        <v>10 km</v>
      </c>
      <c r="D203" s="89" t="str">
        <f t="shared" si="33"/>
        <v>CFP</v>
      </c>
      <c r="E203" s="188">
        <f t="shared" ref="E203:G203" si="38">IF(E33=0,,E33*E118/10^6)</f>
        <v>0.39096978034042396</v>
      </c>
      <c r="F203" s="188">
        <f t="shared" si="38"/>
        <v>0.19223303543992781</v>
      </c>
      <c r="G203" s="188">
        <f t="shared" si="38"/>
        <v>0</v>
      </c>
      <c r="H203" s="188"/>
      <c r="I203" s="188"/>
      <c r="J203" s="188"/>
      <c r="K203" s="188"/>
      <c r="L203" s="188"/>
      <c r="M203" s="188"/>
      <c r="N203" s="188"/>
      <c r="O203" s="188"/>
      <c r="P203" s="188"/>
    </row>
    <row r="204" spans="1:16">
      <c r="A204" s="210" t="str">
        <f>Products!F61</f>
        <v>SMF</v>
      </c>
      <c r="B204" s="87" t="str">
        <f t="shared" si="33"/>
        <v>40G</v>
      </c>
      <c r="C204" s="88" t="str">
        <f t="shared" si="33"/>
        <v>10 km</v>
      </c>
      <c r="D204" s="89" t="str">
        <f t="shared" si="33"/>
        <v>QSFP+</v>
      </c>
      <c r="E204" s="188">
        <f t="shared" ref="E204:G204" si="39">IF(E34=0,,E34*E119/10^6)</f>
        <v>111.97253942588168</v>
      </c>
      <c r="F204" s="188">
        <f t="shared" si="39"/>
        <v>136.25854458031412</v>
      </c>
      <c r="G204" s="188">
        <f t="shared" si="39"/>
        <v>77.950643583999977</v>
      </c>
      <c r="H204" s="188"/>
      <c r="I204" s="188"/>
      <c r="J204" s="188"/>
      <c r="K204" s="188"/>
      <c r="L204" s="188"/>
      <c r="M204" s="188"/>
      <c r="N204" s="188"/>
      <c r="O204" s="188"/>
      <c r="P204" s="188"/>
    </row>
    <row r="205" spans="1:16">
      <c r="A205" s="210" t="str">
        <f>Products!F62</f>
        <v>SMF</v>
      </c>
      <c r="B205" s="83" t="str">
        <f t="shared" si="33"/>
        <v>40G</v>
      </c>
      <c r="C205" s="84" t="str">
        <f t="shared" si="33"/>
        <v>40 km</v>
      </c>
      <c r="D205" s="85" t="str">
        <f t="shared" si="33"/>
        <v>QSFP+</v>
      </c>
      <c r="E205" s="188">
        <f t="shared" ref="E205:G205" si="40">IF(E35=0,,E35*E120/10^6)</f>
        <v>2.0469855238707284</v>
      </c>
      <c r="F205" s="188">
        <f t="shared" si="40"/>
        <v>1.9816384521991841</v>
      </c>
      <c r="G205" s="188">
        <f t="shared" si="40"/>
        <v>2.5803844999999987</v>
      </c>
      <c r="H205" s="188"/>
      <c r="I205" s="188"/>
      <c r="J205" s="188"/>
      <c r="K205" s="188"/>
      <c r="L205" s="188"/>
      <c r="M205" s="188"/>
      <c r="N205" s="188"/>
      <c r="O205" s="188"/>
      <c r="P205" s="188"/>
    </row>
    <row r="206" spans="1:16">
      <c r="A206" s="44" t="str">
        <f>Products!F63</f>
        <v>MMF</v>
      </c>
      <c r="B206" s="79" t="str">
        <f t="shared" si="33"/>
        <v xml:space="preserve">50G </v>
      </c>
      <c r="C206" s="80" t="str">
        <f t="shared" si="33"/>
        <v>100 m</v>
      </c>
      <c r="D206" s="81" t="str">
        <f t="shared" si="33"/>
        <v>all</v>
      </c>
      <c r="E206" s="108">
        <f t="shared" ref="E206:G206" si="41">IF(E36=0,,E36*E121/10^6)</f>
        <v>0</v>
      </c>
      <c r="F206" s="108">
        <f t="shared" si="41"/>
        <v>0</v>
      </c>
      <c r="G206" s="108">
        <f t="shared" si="41"/>
        <v>0</v>
      </c>
      <c r="H206" s="108"/>
      <c r="I206" s="108"/>
      <c r="J206" s="108"/>
      <c r="K206" s="108"/>
      <c r="L206" s="108"/>
      <c r="M206" s="108"/>
      <c r="N206" s="108"/>
      <c r="O206" s="108"/>
      <c r="P206" s="108"/>
    </row>
    <row r="207" spans="1:16">
      <c r="A207" s="210" t="str">
        <f>Products!F64</f>
        <v>SMF</v>
      </c>
      <c r="B207" s="87" t="str">
        <f t="shared" si="33"/>
        <v xml:space="preserve">50G </v>
      </c>
      <c r="C207" s="88" t="str">
        <f t="shared" si="33"/>
        <v>2 km</v>
      </c>
      <c r="D207" s="89" t="str">
        <f t="shared" si="33"/>
        <v>all</v>
      </c>
      <c r="E207" s="110">
        <f t="shared" ref="E207:G207" si="42">IF(E37=0,,E37*E122/10^6)</f>
        <v>0</v>
      </c>
      <c r="F207" s="110">
        <f t="shared" si="42"/>
        <v>0</v>
      </c>
      <c r="G207" s="110">
        <f t="shared" si="42"/>
        <v>0</v>
      </c>
      <c r="H207" s="110"/>
      <c r="I207" s="110"/>
      <c r="J207" s="110"/>
      <c r="K207" s="110"/>
      <c r="L207" s="110"/>
      <c r="M207" s="110"/>
      <c r="N207" s="110"/>
      <c r="O207" s="110"/>
      <c r="P207" s="110"/>
    </row>
    <row r="208" spans="1:16">
      <c r="A208" s="210" t="str">
        <f>Products!F65</f>
        <v>SMF</v>
      </c>
      <c r="B208" s="87" t="str">
        <f t="shared" si="33"/>
        <v xml:space="preserve">50G </v>
      </c>
      <c r="C208" s="88" t="str">
        <f t="shared" si="33"/>
        <v>10 km</v>
      </c>
      <c r="D208" s="89" t="str">
        <f t="shared" si="33"/>
        <v>all</v>
      </c>
      <c r="E208" s="110">
        <f t="shared" ref="E208:G208" si="43">IF(E38=0,,E38*E123/10^6)</f>
        <v>0</v>
      </c>
      <c r="F208" s="110">
        <f t="shared" si="43"/>
        <v>0</v>
      </c>
      <c r="G208" s="110">
        <f t="shared" si="43"/>
        <v>0</v>
      </c>
      <c r="H208" s="110"/>
      <c r="I208" s="110"/>
      <c r="J208" s="110"/>
      <c r="K208" s="110"/>
      <c r="L208" s="110"/>
      <c r="M208" s="110"/>
      <c r="N208" s="110"/>
      <c r="O208" s="110"/>
      <c r="P208" s="110"/>
    </row>
    <row r="209" spans="1:16">
      <c r="A209" s="210" t="str">
        <f>Products!F66</f>
        <v>SMF</v>
      </c>
      <c r="B209" s="87" t="str">
        <f t="shared" si="33"/>
        <v xml:space="preserve">50G </v>
      </c>
      <c r="C209" s="88" t="str">
        <f t="shared" si="33"/>
        <v>40 km</v>
      </c>
      <c r="D209" s="89" t="str">
        <f t="shared" si="33"/>
        <v>all</v>
      </c>
      <c r="E209" s="110">
        <f t="shared" ref="E209:G209" si="44">IF(E39=0,,E39*E124/10^6)</f>
        <v>0</v>
      </c>
      <c r="F209" s="110">
        <f t="shared" si="44"/>
        <v>0</v>
      </c>
      <c r="G209" s="110">
        <f t="shared" si="44"/>
        <v>0</v>
      </c>
      <c r="H209" s="110"/>
      <c r="I209" s="110"/>
      <c r="J209" s="110"/>
      <c r="K209" s="110"/>
      <c r="L209" s="110"/>
      <c r="M209" s="110"/>
      <c r="N209" s="110"/>
      <c r="O209" s="110"/>
      <c r="P209" s="110"/>
    </row>
    <row r="210" spans="1:16">
      <c r="A210" s="210" t="str">
        <f>Products!F67</f>
        <v>SMF</v>
      </c>
      <c r="B210" s="87" t="str">
        <f t="shared" si="33"/>
        <v xml:space="preserve">50G </v>
      </c>
      <c r="C210" s="88" t="str">
        <f t="shared" si="33"/>
        <v>80 km</v>
      </c>
      <c r="D210" s="89" t="str">
        <f t="shared" si="33"/>
        <v>all</v>
      </c>
      <c r="E210" s="110">
        <f t="shared" ref="E210:G210" si="45">IF(E40=0,,E40*E125/10^6)</f>
        <v>0</v>
      </c>
      <c r="F210" s="110">
        <f t="shared" si="45"/>
        <v>0</v>
      </c>
      <c r="G210" s="110">
        <f t="shared" si="45"/>
        <v>0</v>
      </c>
      <c r="H210" s="110"/>
      <c r="I210" s="110"/>
      <c r="J210" s="110"/>
      <c r="K210" s="110"/>
      <c r="L210" s="110"/>
      <c r="M210" s="110"/>
      <c r="N210" s="110"/>
      <c r="O210" s="110"/>
      <c r="P210" s="110"/>
    </row>
    <row r="211" spans="1:16">
      <c r="A211" s="44" t="str">
        <f>Products!F68</f>
        <v>MMF</v>
      </c>
      <c r="B211" s="79" t="str">
        <f t="shared" si="33"/>
        <v>100G SR4</v>
      </c>
      <c r="C211" s="80" t="str">
        <f t="shared" si="33"/>
        <v>100 m</v>
      </c>
      <c r="D211" s="81" t="str">
        <f t="shared" si="33"/>
        <v>CFP</v>
      </c>
      <c r="E211" s="108">
        <f t="shared" ref="E211:G211" si="46">IF(E41=0,,E41*E126/10^6)</f>
        <v>0</v>
      </c>
      <c r="F211" s="108">
        <f t="shared" si="46"/>
        <v>0</v>
      </c>
      <c r="G211" s="108">
        <f t="shared" si="46"/>
        <v>0</v>
      </c>
      <c r="H211" s="108"/>
      <c r="I211" s="108"/>
      <c r="J211" s="108"/>
      <c r="K211" s="108"/>
      <c r="L211" s="108"/>
      <c r="M211" s="108"/>
      <c r="N211" s="108"/>
      <c r="O211" s="108"/>
      <c r="P211" s="108"/>
    </row>
    <row r="212" spans="1:16">
      <c r="A212" s="44" t="str">
        <f>Products!F69</f>
        <v>MMF</v>
      </c>
      <c r="B212" s="87" t="str">
        <f t="shared" si="33"/>
        <v>100G SR4</v>
      </c>
      <c r="C212" s="88" t="str">
        <f t="shared" si="33"/>
        <v>100 m</v>
      </c>
      <c r="D212" s="89" t="str">
        <f t="shared" si="33"/>
        <v>CFP2/4</v>
      </c>
      <c r="E212" s="110">
        <f t="shared" ref="E212:G212" si="47">IF(E42=0,,E42*E127/10^6)</f>
        <v>0</v>
      </c>
      <c r="F212" s="110">
        <f t="shared" si="47"/>
        <v>0</v>
      </c>
      <c r="G212" s="110">
        <f t="shared" si="47"/>
        <v>0</v>
      </c>
      <c r="H212" s="110"/>
      <c r="I212" s="110"/>
      <c r="J212" s="110"/>
      <c r="K212" s="110"/>
      <c r="L212" s="110"/>
      <c r="M212" s="110"/>
      <c r="N212" s="110"/>
      <c r="O212" s="110"/>
      <c r="P212" s="110"/>
    </row>
    <row r="213" spans="1:16">
      <c r="A213" s="44" t="str">
        <f>Products!F70</f>
        <v>MMF</v>
      </c>
      <c r="B213" s="87" t="str">
        <f t="shared" si="33"/>
        <v>100G SR4</v>
      </c>
      <c r="C213" s="88" t="str">
        <f t="shared" si="33"/>
        <v>100 m</v>
      </c>
      <c r="D213" s="89" t="str">
        <f t="shared" si="33"/>
        <v>QSFP28</v>
      </c>
      <c r="E213" s="110">
        <f t="shared" ref="E213:G213" si="48">IF(E43=0,,E43*E128/10^6)</f>
        <v>72.281363999999996</v>
      </c>
      <c r="F213" s="110">
        <f t="shared" si="48"/>
        <v>113.36232738072</v>
      </c>
      <c r="G213" s="110">
        <f t="shared" si="48"/>
        <v>195.78145218020461</v>
      </c>
      <c r="H213" s="110"/>
      <c r="I213" s="110"/>
      <c r="J213" s="110"/>
      <c r="K213" s="110"/>
      <c r="L213" s="110"/>
      <c r="M213" s="110"/>
      <c r="N213" s="110"/>
      <c r="O213" s="110"/>
      <c r="P213" s="110"/>
    </row>
    <row r="214" spans="1:16">
      <c r="A214" s="44" t="str">
        <f>Products!F71</f>
        <v>MMF</v>
      </c>
      <c r="B214" s="87" t="str">
        <f t="shared" si="33"/>
        <v>100G SR2</v>
      </c>
      <c r="C214" s="88" t="str">
        <f t="shared" si="33"/>
        <v>100 m</v>
      </c>
      <c r="D214" s="89" t="str">
        <f t="shared" si="33"/>
        <v>All</v>
      </c>
      <c r="E214" s="110">
        <f t="shared" ref="E214:G214" si="49">IF(E44=0,,E44*E129/10^6)</f>
        <v>0</v>
      </c>
      <c r="F214" s="110">
        <f t="shared" si="49"/>
        <v>0</v>
      </c>
      <c r="G214" s="110">
        <f t="shared" si="49"/>
        <v>0</v>
      </c>
      <c r="H214" s="110"/>
      <c r="I214" s="110"/>
      <c r="J214" s="110"/>
      <c r="K214" s="110"/>
      <c r="L214" s="110"/>
      <c r="M214" s="110"/>
      <c r="N214" s="110"/>
      <c r="O214" s="110"/>
      <c r="P214" s="110"/>
    </row>
    <row r="215" spans="1:16">
      <c r="A215" s="44" t="str">
        <f>Products!F72</f>
        <v>MMF</v>
      </c>
      <c r="B215" s="87" t="str">
        <f t="shared" si="33"/>
        <v>100G MM Duplex</v>
      </c>
      <c r="C215" s="88" t="str">
        <f t="shared" si="33"/>
        <v>100 - 300 m</v>
      </c>
      <c r="D215" s="89" t="str">
        <f t="shared" si="33"/>
        <v>QSFP28</v>
      </c>
      <c r="E215" s="110">
        <f t="shared" ref="E215:G215" si="50">IF(E45=0,,E45*E130/10^6)</f>
        <v>0</v>
      </c>
      <c r="F215" s="110">
        <f t="shared" si="50"/>
        <v>0</v>
      </c>
      <c r="G215" s="110">
        <f t="shared" si="50"/>
        <v>0</v>
      </c>
      <c r="H215" s="110"/>
      <c r="I215" s="110"/>
      <c r="J215" s="110"/>
      <c r="K215" s="110"/>
      <c r="L215" s="110"/>
      <c r="M215" s="110"/>
      <c r="N215" s="110"/>
      <c r="O215" s="110"/>
      <c r="P215" s="110"/>
    </row>
    <row r="216" spans="1:16">
      <c r="A216" s="44" t="str">
        <f>Products!F73</f>
        <v>MMF</v>
      </c>
      <c r="B216" s="87" t="str">
        <f t="shared" si="33"/>
        <v>100G eSR4</v>
      </c>
      <c r="C216" s="88" t="str">
        <f t="shared" si="33"/>
        <v>300 m</v>
      </c>
      <c r="D216" s="89" t="str">
        <f t="shared" si="33"/>
        <v>QSFP28</v>
      </c>
      <c r="E216" s="110">
        <f t="shared" ref="E216:G216" si="51">IF(E46=0,,E46*E131/10^6)</f>
        <v>0</v>
      </c>
      <c r="F216" s="110">
        <f t="shared" si="51"/>
        <v>0</v>
      </c>
      <c r="G216" s="110">
        <f t="shared" si="51"/>
        <v>1.53</v>
      </c>
      <c r="H216" s="110"/>
      <c r="I216" s="110"/>
      <c r="J216" s="110"/>
      <c r="K216" s="110"/>
      <c r="L216" s="110"/>
      <c r="M216" s="110"/>
      <c r="N216" s="110"/>
      <c r="O216" s="110"/>
      <c r="P216" s="110"/>
    </row>
    <row r="217" spans="1:16">
      <c r="A217" s="44" t="str">
        <f>Products!F74</f>
        <v>SMF</v>
      </c>
      <c r="B217" s="87" t="str">
        <f t="shared" si="33"/>
        <v>100G PSM4</v>
      </c>
      <c r="C217" s="88" t="str">
        <f t="shared" si="33"/>
        <v>500 m</v>
      </c>
      <c r="D217" s="89" t="str">
        <f t="shared" si="33"/>
        <v>QSFP28</v>
      </c>
      <c r="E217" s="110">
        <f t="shared" ref="E217:G217" si="52">IF(E47=0,,E47*E132/10^6)</f>
        <v>67.773890240000014</v>
      </c>
      <c r="F217" s="110">
        <f t="shared" si="52"/>
        <v>158.09400299999999</v>
      </c>
      <c r="G217" s="110">
        <f t="shared" si="52"/>
        <v>96.70092799999999</v>
      </c>
      <c r="H217" s="110"/>
      <c r="I217" s="110"/>
      <c r="J217" s="110"/>
      <c r="K217" s="110"/>
      <c r="L217" s="110"/>
      <c r="M217" s="110"/>
      <c r="N217" s="110"/>
      <c r="O217" s="110"/>
      <c r="P217" s="110"/>
    </row>
    <row r="218" spans="1:16">
      <c r="A218" s="44" t="str">
        <f>Products!F75</f>
        <v>SMF</v>
      </c>
      <c r="B218" s="87" t="str">
        <f t="shared" si="33"/>
        <v>100G DR</v>
      </c>
      <c r="C218" s="88" t="str">
        <f t="shared" si="33"/>
        <v>500m</v>
      </c>
      <c r="D218" s="89" t="str">
        <f t="shared" si="33"/>
        <v>QSFP28</v>
      </c>
      <c r="E218" s="110">
        <f t="shared" ref="E218:G218" si="53">IF(E48=0,,E48*E133/10^6)</f>
        <v>0</v>
      </c>
      <c r="F218" s="110">
        <f t="shared" si="53"/>
        <v>0</v>
      </c>
      <c r="G218" s="110">
        <f t="shared" si="53"/>
        <v>0</v>
      </c>
      <c r="H218" s="110"/>
      <c r="I218" s="110"/>
      <c r="J218" s="110"/>
      <c r="K218" s="110"/>
      <c r="L218" s="110"/>
      <c r="M218" s="110"/>
      <c r="N218" s="110"/>
      <c r="O218" s="110"/>
      <c r="P218" s="110"/>
    </row>
    <row r="219" spans="1:16">
      <c r="A219" s="44" t="str">
        <f>Products!F76</f>
        <v>SMF</v>
      </c>
      <c r="B219" s="87" t="str">
        <f t="shared" ref="B219:D232" si="54">B49</f>
        <v>100G CWDM4-subspec</v>
      </c>
      <c r="C219" s="88" t="str">
        <f t="shared" si="54"/>
        <v>500 m</v>
      </c>
      <c r="D219" s="89" t="str">
        <f t="shared" si="54"/>
        <v>QSFP28</v>
      </c>
      <c r="E219" s="110">
        <f t="shared" ref="E219:G219" si="55">IF(E49=0,,E49*E134/10^6)</f>
        <v>55.125374999999998</v>
      </c>
      <c r="F219" s="110">
        <f t="shared" si="55"/>
        <v>307.53544499999998</v>
      </c>
      <c r="G219" s="110">
        <f t="shared" si="55"/>
        <v>308</v>
      </c>
      <c r="H219" s="110"/>
      <c r="I219" s="110"/>
      <c r="J219" s="110"/>
      <c r="K219" s="110"/>
      <c r="L219" s="110"/>
      <c r="M219" s="110"/>
      <c r="N219" s="110"/>
      <c r="O219" s="110"/>
      <c r="P219" s="110"/>
    </row>
    <row r="220" spans="1:16">
      <c r="A220" s="210" t="str">
        <f>Products!F77</f>
        <v>SMF</v>
      </c>
      <c r="B220" s="87" t="str">
        <f t="shared" si="54"/>
        <v>100G CWDM4</v>
      </c>
      <c r="C220" s="88" t="str">
        <f t="shared" si="54"/>
        <v>2 km</v>
      </c>
      <c r="D220" s="89" t="str">
        <f t="shared" si="54"/>
        <v>QSFP28</v>
      </c>
      <c r="E220" s="110">
        <f t="shared" ref="E220:G220" si="56">IF(E50=0,,E50*E135/10^6)</f>
        <v>25.566254999999995</v>
      </c>
      <c r="F220" s="110">
        <f t="shared" si="56"/>
        <v>190.37908500000003</v>
      </c>
      <c r="G220" s="110">
        <f t="shared" si="56"/>
        <v>914.48338333333322</v>
      </c>
      <c r="H220" s="110"/>
      <c r="I220" s="110"/>
      <c r="J220" s="110"/>
      <c r="K220" s="110"/>
      <c r="L220" s="110"/>
      <c r="M220" s="110"/>
      <c r="N220" s="110"/>
      <c r="O220" s="110"/>
      <c r="P220" s="110"/>
    </row>
    <row r="221" spans="1:16">
      <c r="A221" s="210" t="str">
        <f>Products!F78</f>
        <v>SMF</v>
      </c>
      <c r="B221" s="87" t="str">
        <f t="shared" si="54"/>
        <v>100G FR, DR+</v>
      </c>
      <c r="C221" s="88" t="str">
        <f t="shared" si="54"/>
        <v>2 km</v>
      </c>
      <c r="D221" s="89" t="str">
        <f t="shared" si="54"/>
        <v>QSFP28</v>
      </c>
      <c r="E221" s="110">
        <f t="shared" ref="E221:G221" si="57">IF(E51=0,,E51*E136/10^6)</f>
        <v>0</v>
      </c>
      <c r="F221" s="110">
        <f t="shared" si="57"/>
        <v>0</v>
      </c>
      <c r="G221" s="110">
        <f t="shared" si="57"/>
        <v>1.2</v>
      </c>
      <c r="H221" s="110"/>
      <c r="I221" s="110"/>
      <c r="J221" s="110"/>
      <c r="K221" s="110"/>
      <c r="L221" s="110"/>
      <c r="M221" s="110"/>
      <c r="N221" s="110"/>
      <c r="O221" s="110"/>
      <c r="P221" s="110"/>
    </row>
    <row r="222" spans="1:16">
      <c r="A222" s="210" t="str">
        <f>Products!F79</f>
        <v>SMF</v>
      </c>
      <c r="B222" s="87" t="str">
        <f t="shared" si="54"/>
        <v>100G LR4</v>
      </c>
      <c r="C222" s="88" t="str">
        <f t="shared" si="54"/>
        <v>10 km</v>
      </c>
      <c r="D222" s="89" t="str">
        <f t="shared" si="54"/>
        <v>CFP</v>
      </c>
      <c r="E222" s="110">
        <f t="shared" ref="E222:G222" si="58">IF(E52=0,,E52*E137/10^6)</f>
        <v>0</v>
      </c>
      <c r="F222" s="110">
        <f t="shared" si="58"/>
        <v>0</v>
      </c>
      <c r="G222" s="110">
        <f t="shared" si="58"/>
        <v>0</v>
      </c>
      <c r="H222" s="110"/>
      <c r="I222" s="110"/>
      <c r="J222" s="110"/>
      <c r="K222" s="110"/>
      <c r="L222" s="110"/>
      <c r="M222" s="110"/>
      <c r="N222" s="110"/>
      <c r="O222" s="110"/>
      <c r="P222" s="110"/>
    </row>
    <row r="223" spans="1:16">
      <c r="A223" s="210" t="str">
        <f>Products!F80</f>
        <v>SMF</v>
      </c>
      <c r="B223" s="87" t="str">
        <f t="shared" si="54"/>
        <v>100G LR4</v>
      </c>
      <c r="C223" s="88" t="str">
        <f t="shared" si="54"/>
        <v>10 km</v>
      </c>
      <c r="D223" s="89" t="str">
        <f t="shared" si="54"/>
        <v>CFP2/4</v>
      </c>
      <c r="E223" s="110">
        <f t="shared" ref="E223:G223" si="59">IF(E53=0,,E53*E138/10^6)</f>
        <v>0</v>
      </c>
      <c r="F223" s="110">
        <f t="shared" si="59"/>
        <v>0</v>
      </c>
      <c r="G223" s="110">
        <f t="shared" si="59"/>
        <v>0</v>
      </c>
      <c r="H223" s="110"/>
      <c r="I223" s="110"/>
      <c r="J223" s="110"/>
      <c r="K223" s="110"/>
      <c r="L223" s="110"/>
      <c r="M223" s="110"/>
      <c r="N223" s="110"/>
      <c r="O223" s="110"/>
      <c r="P223" s="110"/>
    </row>
    <row r="224" spans="1:16">
      <c r="A224" s="210" t="str">
        <f>Products!F81</f>
        <v>SMF</v>
      </c>
      <c r="B224" s="87" t="str">
        <f t="shared" si="54"/>
        <v>100G LR4 and LR1</v>
      </c>
      <c r="C224" s="88" t="str">
        <f t="shared" si="54"/>
        <v>10 km</v>
      </c>
      <c r="D224" s="89" t="str">
        <f t="shared" si="54"/>
        <v>QSFP28</v>
      </c>
      <c r="E224" s="110">
        <f t="shared" ref="E224:G224" si="60">IF(E54=0,,E54*E139/10^6)</f>
        <v>140.2336877730904</v>
      </c>
      <c r="F224" s="110">
        <f t="shared" si="60"/>
        <v>304.37567999999999</v>
      </c>
      <c r="G224" s="110">
        <f t="shared" si="60"/>
        <v>215.65353540139625</v>
      </c>
      <c r="H224" s="110"/>
      <c r="I224" s="110"/>
      <c r="J224" s="110"/>
      <c r="K224" s="110"/>
      <c r="L224" s="110"/>
      <c r="M224" s="110"/>
      <c r="N224" s="110"/>
      <c r="O224" s="110"/>
      <c r="P224" s="110"/>
    </row>
    <row r="225" spans="1:16">
      <c r="A225" s="210" t="str">
        <f>Products!F82</f>
        <v>SMF</v>
      </c>
      <c r="B225" s="87" t="str">
        <f t="shared" si="54"/>
        <v>100G 4WDM10</v>
      </c>
      <c r="C225" s="88" t="str">
        <f t="shared" si="54"/>
        <v>10 km</v>
      </c>
      <c r="D225" s="89" t="str">
        <f t="shared" si="54"/>
        <v>QSFP28</v>
      </c>
      <c r="E225" s="110">
        <f t="shared" ref="E225:G225" si="61">IF(E55=0,,E55*E140/10^6)</f>
        <v>0</v>
      </c>
      <c r="F225" s="110">
        <f t="shared" si="61"/>
        <v>20.25</v>
      </c>
      <c r="G225" s="110">
        <f t="shared" si="61"/>
        <v>26.4</v>
      </c>
      <c r="H225" s="110"/>
      <c r="I225" s="110"/>
      <c r="J225" s="110"/>
      <c r="K225" s="110"/>
      <c r="L225" s="110"/>
      <c r="M225" s="110"/>
      <c r="N225" s="110"/>
      <c r="O225" s="110"/>
      <c r="P225" s="110"/>
    </row>
    <row r="226" spans="1:16" ht="12.75" customHeight="1">
      <c r="A226" s="210" t="str">
        <f>Products!F83</f>
        <v>SMF</v>
      </c>
      <c r="B226" s="87" t="str">
        <f t="shared" si="54"/>
        <v>100G 4WDM20</v>
      </c>
      <c r="C226" s="88" t="str">
        <f t="shared" si="54"/>
        <v>20 km</v>
      </c>
      <c r="D226" s="89" t="str">
        <f t="shared" si="54"/>
        <v>QSFP28</v>
      </c>
      <c r="E226" s="110">
        <f t="shared" ref="E226:G226" si="62">IF(E56=0,,E56*E141/10^6)</f>
        <v>0</v>
      </c>
      <c r="F226" s="110">
        <f t="shared" si="62"/>
        <v>0</v>
      </c>
      <c r="G226" s="110">
        <f t="shared" si="62"/>
        <v>0</v>
      </c>
      <c r="H226" s="110"/>
      <c r="I226" s="110"/>
      <c r="J226" s="110"/>
      <c r="K226" s="110"/>
      <c r="L226" s="110"/>
      <c r="M226" s="110"/>
      <c r="N226" s="110"/>
      <c r="O226" s="110"/>
      <c r="P226" s="110"/>
    </row>
    <row r="227" spans="1:16" ht="12.75" customHeight="1">
      <c r="A227" s="210" t="str">
        <f>Products!F84</f>
        <v>SMF</v>
      </c>
      <c r="B227" s="87" t="str">
        <f t="shared" si="54"/>
        <v>100G ER4-Lite</v>
      </c>
      <c r="C227" s="88" t="str">
        <f t="shared" si="54"/>
        <v>30 km</v>
      </c>
      <c r="D227" s="89" t="str">
        <f t="shared" si="54"/>
        <v>QSFP28</v>
      </c>
      <c r="E227" s="110">
        <f t="shared" ref="E227:G227" si="63">IF(E57=0,,E57*E142/10^6)</f>
        <v>0</v>
      </c>
      <c r="F227" s="110">
        <f t="shared" si="63"/>
        <v>0</v>
      </c>
      <c r="G227" s="110">
        <f t="shared" si="63"/>
        <v>0</v>
      </c>
      <c r="H227" s="110"/>
      <c r="I227" s="110"/>
      <c r="J227" s="110"/>
      <c r="K227" s="110"/>
      <c r="L227" s="110"/>
      <c r="M227" s="110"/>
      <c r="N227" s="110"/>
      <c r="O227" s="110"/>
      <c r="P227" s="110"/>
    </row>
    <row r="228" spans="1:16" ht="12.75" customHeight="1">
      <c r="A228" s="210" t="str">
        <f>Products!F85</f>
        <v>SMF</v>
      </c>
      <c r="B228" s="87" t="str">
        <f t="shared" si="54"/>
        <v>100G ER4</v>
      </c>
      <c r="C228" s="88" t="str">
        <f t="shared" si="54"/>
        <v>40 km</v>
      </c>
      <c r="D228" s="89" t="str">
        <f t="shared" si="54"/>
        <v>QSFP28</v>
      </c>
      <c r="E228" s="110">
        <f t="shared" ref="E228:G228" si="64">IF(E58=0,,E58*E143/10^6)</f>
        <v>0</v>
      </c>
      <c r="F228" s="110">
        <f t="shared" si="64"/>
        <v>0</v>
      </c>
      <c r="G228" s="110">
        <f t="shared" si="64"/>
        <v>0</v>
      </c>
      <c r="H228" s="110"/>
      <c r="I228" s="110"/>
      <c r="J228" s="110"/>
      <c r="K228" s="110"/>
      <c r="L228" s="110"/>
      <c r="M228" s="110"/>
      <c r="N228" s="110"/>
      <c r="O228" s="110"/>
      <c r="P228" s="110"/>
    </row>
    <row r="229" spans="1:16">
      <c r="A229" s="210" t="str">
        <f>Products!F86</f>
        <v>SMF</v>
      </c>
      <c r="B229" s="83" t="str">
        <f t="shared" si="54"/>
        <v>100G ZR4</v>
      </c>
      <c r="C229" s="84" t="str">
        <f t="shared" si="54"/>
        <v>80 km</v>
      </c>
      <c r="D229" s="85" t="str">
        <f t="shared" si="54"/>
        <v>QSFP28</v>
      </c>
      <c r="E229" s="109">
        <f t="shared" ref="E229:G229" si="65">IF(E59=0,,E59*E144/10^6)</f>
        <v>0</v>
      </c>
      <c r="F229" s="109">
        <f t="shared" si="65"/>
        <v>0</v>
      </c>
      <c r="G229" s="109">
        <f t="shared" si="65"/>
        <v>0</v>
      </c>
      <c r="H229" s="109"/>
      <c r="I229" s="109"/>
      <c r="J229" s="109"/>
      <c r="K229" s="109"/>
      <c r="L229" s="109"/>
      <c r="M229" s="109"/>
      <c r="N229" s="109"/>
      <c r="O229" s="109"/>
      <c r="P229" s="109"/>
    </row>
    <row r="230" spans="1:16">
      <c r="A230" s="44" t="str">
        <f>Products!F87</f>
        <v>MMF</v>
      </c>
      <c r="B230" s="79" t="str">
        <f t="shared" si="54"/>
        <v>200G SR4</v>
      </c>
      <c r="C230" s="80" t="str">
        <f t="shared" si="54"/>
        <v>100 m</v>
      </c>
      <c r="D230" s="81" t="str">
        <f t="shared" si="54"/>
        <v>QSFP56</v>
      </c>
      <c r="E230" s="108">
        <f t="shared" ref="E230:G230" si="66">IF(E60=0,,E60*E145/10^6)</f>
        <v>0</v>
      </c>
      <c r="F230" s="108">
        <f t="shared" si="66"/>
        <v>0</v>
      </c>
      <c r="G230" s="108">
        <f t="shared" si="66"/>
        <v>0.35</v>
      </c>
      <c r="H230" s="108"/>
      <c r="I230" s="108"/>
      <c r="J230" s="108"/>
      <c r="K230" s="108"/>
      <c r="L230" s="108"/>
      <c r="M230" s="108"/>
      <c r="N230" s="108"/>
      <c r="O230" s="108"/>
      <c r="P230" s="108"/>
    </row>
    <row r="231" spans="1:16">
      <c r="A231" s="210" t="str">
        <f>Products!F88</f>
        <v>SMF</v>
      </c>
      <c r="B231" s="87" t="str">
        <f t="shared" si="54"/>
        <v>200G DR</v>
      </c>
      <c r="C231" s="88" t="str">
        <f t="shared" si="54"/>
        <v>500 m</v>
      </c>
      <c r="D231" s="89" t="str">
        <f t="shared" si="54"/>
        <v>TBD</v>
      </c>
      <c r="E231" s="110">
        <f t="shared" ref="E231:G232" si="67">IF(E61=0,,E61*E146/10^6)</f>
        <v>0</v>
      </c>
      <c r="F231" s="110">
        <f t="shared" si="67"/>
        <v>0</v>
      </c>
      <c r="G231" s="110">
        <f t="shared" si="67"/>
        <v>0</v>
      </c>
      <c r="H231" s="110"/>
      <c r="I231" s="110"/>
      <c r="J231" s="110"/>
      <c r="K231" s="110"/>
      <c r="L231" s="110"/>
      <c r="M231" s="110"/>
      <c r="N231" s="110"/>
      <c r="O231" s="110"/>
      <c r="P231" s="110"/>
    </row>
    <row r="232" spans="1:16">
      <c r="A232" s="210" t="str">
        <f>Products!F89</f>
        <v>SMF</v>
      </c>
      <c r="B232" s="87" t="str">
        <f t="shared" si="54"/>
        <v>200G FR4</v>
      </c>
      <c r="C232" s="88" t="str">
        <f t="shared" si="54"/>
        <v>3 km</v>
      </c>
      <c r="D232" s="89" t="str">
        <f t="shared" si="54"/>
        <v>QSFP56</v>
      </c>
      <c r="E232" s="110">
        <f t="shared" si="67"/>
        <v>0</v>
      </c>
      <c r="F232" s="110">
        <f t="shared" si="67"/>
        <v>0</v>
      </c>
      <c r="G232" s="110">
        <f t="shared" si="67"/>
        <v>0.75</v>
      </c>
      <c r="H232" s="110"/>
      <c r="I232" s="110"/>
      <c r="J232" s="110"/>
      <c r="K232" s="110"/>
      <c r="L232" s="110"/>
      <c r="M232" s="110"/>
      <c r="N232" s="110"/>
      <c r="O232" s="110"/>
      <c r="P232" s="110"/>
    </row>
    <row r="233" spans="1:16">
      <c r="A233" s="210" t="str">
        <f>Products!F90</f>
        <v>SMF</v>
      </c>
      <c r="B233" s="87" t="str">
        <f t="shared" ref="B233:D233" si="68">B63</f>
        <v>200G LR</v>
      </c>
      <c r="C233" s="88" t="str">
        <f t="shared" si="68"/>
        <v>10 km</v>
      </c>
      <c r="D233" s="89" t="str">
        <f t="shared" si="68"/>
        <v>TBD</v>
      </c>
      <c r="E233" s="110">
        <f t="shared" ref="E233:G233" si="69">IF(E63=0,,E63*E148/10^6)</f>
        <v>0</v>
      </c>
      <c r="F233" s="110">
        <f t="shared" si="69"/>
        <v>0</v>
      </c>
      <c r="G233" s="110">
        <f t="shared" si="69"/>
        <v>0</v>
      </c>
      <c r="H233" s="110"/>
      <c r="I233" s="110"/>
      <c r="J233" s="110"/>
      <c r="K233" s="110"/>
      <c r="L233" s="110"/>
      <c r="M233" s="110"/>
      <c r="N233" s="110"/>
      <c r="O233" s="110"/>
      <c r="P233" s="110"/>
    </row>
    <row r="234" spans="1:16">
      <c r="A234" s="210" t="str">
        <f>Products!F91</f>
        <v>SMF</v>
      </c>
      <c r="B234" s="87" t="str">
        <f t="shared" ref="B234:D234" si="70">B64</f>
        <v>200G ER4</v>
      </c>
      <c r="C234" s="88" t="str">
        <f t="shared" si="70"/>
        <v>40 km</v>
      </c>
      <c r="D234" s="89" t="str">
        <f t="shared" si="70"/>
        <v>TBD</v>
      </c>
      <c r="E234" s="110">
        <f t="shared" ref="E234:G234" si="71">IF(E64=0,,E64*E149/10^6)</f>
        <v>0</v>
      </c>
      <c r="F234" s="110">
        <f t="shared" si="71"/>
        <v>0</v>
      </c>
      <c r="G234" s="110">
        <f t="shared" si="71"/>
        <v>0</v>
      </c>
      <c r="H234" s="110"/>
      <c r="I234" s="110"/>
      <c r="J234" s="110"/>
      <c r="K234" s="110"/>
      <c r="L234" s="110"/>
      <c r="M234" s="110"/>
      <c r="N234" s="110"/>
      <c r="O234" s="110"/>
      <c r="P234" s="110"/>
    </row>
    <row r="235" spans="1:16">
      <c r="A235" s="210" t="str">
        <f>Products!F92</f>
        <v>MMF</v>
      </c>
      <c r="B235" s="79" t="str">
        <f t="shared" ref="B235:D244" si="72">B65</f>
        <v>2x200 (400G-SR8)</v>
      </c>
      <c r="C235" s="80" t="str">
        <f t="shared" si="72"/>
        <v>100 m</v>
      </c>
      <c r="D235" s="81" t="str">
        <f t="shared" si="72"/>
        <v>OSFP, QSFP-DD</v>
      </c>
      <c r="E235" s="108">
        <f t="shared" ref="E235:G235" si="73">IF(E65=0,,E65*E150/10^6)</f>
        <v>0</v>
      </c>
      <c r="F235" s="108">
        <f t="shared" si="73"/>
        <v>0</v>
      </c>
      <c r="G235" s="108">
        <f t="shared" si="73"/>
        <v>14.811999999999999</v>
      </c>
      <c r="H235" s="108"/>
      <c r="I235" s="108"/>
      <c r="J235" s="108"/>
      <c r="K235" s="108"/>
      <c r="L235" s="108"/>
      <c r="M235" s="108"/>
      <c r="N235" s="108"/>
      <c r="O235" s="108"/>
      <c r="P235" s="108"/>
    </row>
    <row r="236" spans="1:16">
      <c r="A236" s="44" t="str">
        <f>Products!F93</f>
        <v>MMF</v>
      </c>
      <c r="B236" s="87" t="str">
        <f t="shared" si="72"/>
        <v>400G SR4.2</v>
      </c>
      <c r="C236" s="88" t="str">
        <f t="shared" si="72"/>
        <v>100 m</v>
      </c>
      <c r="D236" s="89" t="str">
        <f t="shared" si="72"/>
        <v>OSFP, QSFP-DD</v>
      </c>
      <c r="E236" s="110">
        <f t="shared" ref="E236:G236" si="74">IF(E66=0,,E66*E151/10^6)</f>
        <v>0</v>
      </c>
      <c r="F236" s="110">
        <f t="shared" si="74"/>
        <v>0</v>
      </c>
      <c r="G236" s="110">
        <f t="shared" si="74"/>
        <v>0</v>
      </c>
      <c r="H236" s="110"/>
      <c r="I236" s="110"/>
      <c r="J236" s="110"/>
      <c r="K236" s="110"/>
      <c r="L236" s="110"/>
      <c r="M236" s="110"/>
      <c r="N236" s="110"/>
      <c r="O236" s="110"/>
      <c r="P236" s="110"/>
    </row>
    <row r="237" spans="1:16">
      <c r="A237" s="210" t="str">
        <f>Products!F94</f>
        <v>SMF</v>
      </c>
      <c r="B237" s="87" t="str">
        <f t="shared" si="72"/>
        <v>400G DR4</v>
      </c>
      <c r="C237" s="88" t="str">
        <f t="shared" si="72"/>
        <v>500 m</v>
      </c>
      <c r="D237" s="89" t="str">
        <f t="shared" si="72"/>
        <v>OSFP, QSFP-DD, QSFP112</v>
      </c>
      <c r="E237" s="110">
        <f t="shared" ref="E237:G237" si="75">IF(E67=0,,E67*E152/10^6)</f>
        <v>0</v>
      </c>
      <c r="F237" s="110">
        <f t="shared" si="75"/>
        <v>0</v>
      </c>
      <c r="G237" s="110">
        <f t="shared" si="75"/>
        <v>2.2000000000000002</v>
      </c>
      <c r="H237" s="110"/>
      <c r="I237" s="110"/>
      <c r="J237" s="110"/>
      <c r="K237" s="110"/>
      <c r="L237" s="110"/>
      <c r="M237" s="110"/>
      <c r="N237" s="110"/>
      <c r="O237" s="110"/>
      <c r="P237" s="110"/>
    </row>
    <row r="238" spans="1:16">
      <c r="A238" s="210" t="str">
        <f>Products!F95</f>
        <v>SMF</v>
      </c>
      <c r="B238" s="87" t="str">
        <f t="shared" si="72"/>
        <v>2x(200G FR4)</v>
      </c>
      <c r="C238" s="88" t="str">
        <f t="shared" si="72"/>
        <v>2 km</v>
      </c>
      <c r="D238" s="89" t="str">
        <f t="shared" si="72"/>
        <v>OSFP</v>
      </c>
      <c r="E238" s="110">
        <f t="shared" ref="E238:G238" si="76">IF(E68=0,,E68*E153/10^6)</f>
        <v>0</v>
      </c>
      <c r="F238" s="110">
        <f t="shared" si="76"/>
        <v>0</v>
      </c>
      <c r="G238" s="110">
        <f t="shared" si="76"/>
        <v>22.2</v>
      </c>
      <c r="H238" s="110"/>
      <c r="I238" s="110"/>
      <c r="J238" s="110"/>
      <c r="K238" s="110"/>
      <c r="L238" s="110"/>
      <c r="M238" s="110"/>
      <c r="N238" s="110"/>
      <c r="O238" s="110"/>
      <c r="P238" s="110"/>
    </row>
    <row r="239" spans="1:16">
      <c r="A239" s="210" t="str">
        <f>Products!F96</f>
        <v>SMF</v>
      </c>
      <c r="B239" s="87" t="str">
        <f t="shared" si="72"/>
        <v>400G FR4</v>
      </c>
      <c r="C239" s="88" t="str">
        <f t="shared" si="72"/>
        <v>2 km</v>
      </c>
      <c r="D239" s="89" t="str">
        <f t="shared" si="72"/>
        <v>OSFP, QSFP-DD, QSFP112</v>
      </c>
      <c r="E239" s="110">
        <f t="shared" ref="E239:G239" si="77">IF(E69=0,,E69*E154/10^6)</f>
        <v>0</v>
      </c>
      <c r="F239" s="110">
        <f t="shared" si="77"/>
        <v>8.1299999999999997E-2</v>
      </c>
      <c r="G239" s="110">
        <f t="shared" si="77"/>
        <v>2</v>
      </c>
      <c r="H239" s="110"/>
      <c r="I239" s="110"/>
      <c r="J239" s="110"/>
      <c r="K239" s="110"/>
      <c r="L239" s="110"/>
      <c r="M239" s="110"/>
      <c r="N239" s="110"/>
      <c r="O239" s="110"/>
      <c r="P239" s="110"/>
    </row>
    <row r="240" spans="1:16">
      <c r="A240" s="210" t="str">
        <f>Products!F97</f>
        <v>SMF</v>
      </c>
      <c r="B240" s="87" t="str">
        <f t="shared" si="72"/>
        <v>400G LR8, LR4</v>
      </c>
      <c r="C240" s="88" t="str">
        <f t="shared" si="72"/>
        <v>10 km</v>
      </c>
      <c r="D240" s="89" t="str">
        <f t="shared" si="72"/>
        <v>OSFP, QSFP-DD, QSFP112</v>
      </c>
      <c r="E240" s="110">
        <f t="shared" ref="E240:G241" si="78">IF(E70=0,,E70*E155/10^6)</f>
        <v>0</v>
      </c>
      <c r="F240" s="110">
        <f t="shared" si="78"/>
        <v>0</v>
      </c>
      <c r="G240" s="110">
        <f t="shared" si="78"/>
        <v>0.79999999999999982</v>
      </c>
      <c r="H240" s="110"/>
      <c r="I240" s="110"/>
      <c r="J240" s="110"/>
      <c r="K240" s="110"/>
      <c r="L240" s="110"/>
      <c r="M240" s="110"/>
      <c r="N240" s="110"/>
      <c r="O240" s="110"/>
      <c r="P240" s="110"/>
    </row>
    <row r="241" spans="1:16">
      <c r="A241" s="210" t="str">
        <f>Products!F98</f>
        <v>SMF</v>
      </c>
      <c r="B241" s="83" t="str">
        <f t="shared" si="72"/>
        <v>400G ER4</v>
      </c>
      <c r="C241" s="84" t="str">
        <f t="shared" si="72"/>
        <v>40 km</v>
      </c>
      <c r="D241" s="85" t="str">
        <f t="shared" si="72"/>
        <v>TBD</v>
      </c>
      <c r="E241" s="109">
        <f t="shared" si="78"/>
        <v>0</v>
      </c>
      <c r="F241" s="109">
        <f t="shared" si="78"/>
        <v>0</v>
      </c>
      <c r="G241" s="109">
        <f t="shared" si="78"/>
        <v>0</v>
      </c>
      <c r="H241" s="109"/>
      <c r="I241" s="109"/>
      <c r="J241" s="109"/>
      <c r="K241" s="109"/>
      <c r="L241" s="109"/>
      <c r="M241" s="109"/>
      <c r="N241" s="109"/>
      <c r="O241" s="109"/>
      <c r="P241" s="109"/>
    </row>
    <row r="242" spans="1:16" s="92" customFormat="1">
      <c r="A242" s="491" t="str">
        <f>Products!F99</f>
        <v>MMF</v>
      </c>
      <c r="B242" s="87" t="str">
        <f t="shared" si="72"/>
        <v>800G SR8</v>
      </c>
      <c r="C242" s="88" t="str">
        <f t="shared" si="72"/>
        <v>50 m</v>
      </c>
      <c r="D242" s="89" t="str">
        <f t="shared" si="72"/>
        <v>OSFP, QSFP-DD800</v>
      </c>
      <c r="E242" s="110">
        <f t="shared" ref="E242:G242" si="79">IF(E72=0,,E72*E157/10^6)</f>
        <v>0</v>
      </c>
      <c r="F242" s="110">
        <f t="shared" si="79"/>
        <v>0</v>
      </c>
      <c r="G242" s="110">
        <f t="shared" si="79"/>
        <v>0</v>
      </c>
      <c r="H242" s="110"/>
      <c r="I242" s="110"/>
      <c r="J242" s="110"/>
      <c r="K242" s="110"/>
      <c r="L242" s="110"/>
      <c r="M242" s="110"/>
      <c r="N242" s="110"/>
      <c r="O242" s="110"/>
      <c r="P242" s="110"/>
    </row>
    <row r="243" spans="1:16" s="92" customFormat="1">
      <c r="A243" s="491" t="str">
        <f>Products!F100</f>
        <v>SMF</v>
      </c>
      <c r="B243" s="87" t="str">
        <f t="shared" si="72"/>
        <v>800G DR8, DR4</v>
      </c>
      <c r="C243" s="88" t="str">
        <f t="shared" si="72"/>
        <v>500 m</v>
      </c>
      <c r="D243" s="89" t="str">
        <f t="shared" si="72"/>
        <v>OSFP, QSFP-DD800</v>
      </c>
      <c r="E243" s="110">
        <f t="shared" ref="E243:G243" si="80">IF(E73=0,,E73*E158/10^6)</f>
        <v>0</v>
      </c>
      <c r="F243" s="110">
        <f t="shared" si="80"/>
        <v>0</v>
      </c>
      <c r="G243" s="110">
        <f t="shared" si="80"/>
        <v>0</v>
      </c>
      <c r="H243" s="110"/>
      <c r="I243" s="110"/>
      <c r="J243" s="110"/>
      <c r="K243" s="110"/>
      <c r="L243" s="110"/>
      <c r="M243" s="110"/>
      <c r="N243" s="110"/>
      <c r="O243" s="110"/>
      <c r="P243" s="110"/>
    </row>
    <row r="244" spans="1:16" s="92" customFormat="1">
      <c r="A244" s="491" t="str">
        <f>Products!F101</f>
        <v>SMF</v>
      </c>
      <c r="B244" s="87" t="str">
        <f t="shared" si="72"/>
        <v>2x(400G FR4), 800G FR4</v>
      </c>
      <c r="C244" s="88" t="str">
        <f t="shared" si="72"/>
        <v>2 km</v>
      </c>
      <c r="D244" s="89" t="str">
        <f t="shared" si="72"/>
        <v>OSFP, QSFP-DD800</v>
      </c>
      <c r="E244" s="110">
        <f t="shared" ref="E244:G244" si="81">IF(E74=0,,E74*E159/10^6)</f>
        <v>0</v>
      </c>
      <c r="F244" s="110">
        <f t="shared" si="81"/>
        <v>0</v>
      </c>
      <c r="G244" s="110">
        <f t="shared" si="81"/>
        <v>0</v>
      </c>
      <c r="H244" s="110"/>
      <c r="I244" s="110"/>
      <c r="J244" s="110"/>
      <c r="K244" s="110"/>
      <c r="L244" s="110"/>
      <c r="M244" s="110"/>
      <c r="N244" s="110"/>
      <c r="O244" s="110"/>
      <c r="P244" s="110"/>
    </row>
    <row r="245" spans="1:16" s="92" customFormat="1">
      <c r="A245" s="491" t="str">
        <f>Products!F102</f>
        <v>SMF</v>
      </c>
      <c r="B245" s="87" t="str">
        <f t="shared" ref="B245:D257" si="82">B75</f>
        <v>800G LR8, LR4</v>
      </c>
      <c r="C245" s="88" t="str">
        <f t="shared" si="82"/>
        <v>6, 10 km</v>
      </c>
      <c r="D245" s="89" t="str">
        <f t="shared" si="82"/>
        <v>TBD</v>
      </c>
      <c r="E245" s="110">
        <f t="shared" ref="E245:G245" si="83">IF(E75=0,,E75*E160/10^6)</f>
        <v>0</v>
      </c>
      <c r="F245" s="110">
        <f t="shared" si="83"/>
        <v>0</v>
      </c>
      <c r="G245" s="110">
        <f t="shared" si="83"/>
        <v>0</v>
      </c>
      <c r="H245" s="110"/>
      <c r="I245" s="110"/>
      <c r="J245" s="110"/>
      <c r="K245" s="110"/>
      <c r="L245" s="110"/>
      <c r="M245" s="110"/>
      <c r="N245" s="110"/>
      <c r="O245" s="110"/>
      <c r="P245" s="110"/>
    </row>
    <row r="246" spans="1:16" s="92" customFormat="1">
      <c r="A246" s="491" t="str">
        <f>Products!F103</f>
        <v>SMF</v>
      </c>
      <c r="B246" s="87" t="str">
        <f t="shared" si="82"/>
        <v>800G ZRlite</v>
      </c>
      <c r="C246" s="88" t="str">
        <f t="shared" si="82"/>
        <v>10 km, 20 km</v>
      </c>
      <c r="D246" s="89" t="str">
        <f t="shared" si="82"/>
        <v>TBD</v>
      </c>
      <c r="E246" s="110">
        <f t="shared" ref="E246:G246" si="84">IF(E76=0,,E76*E161/10^6)</f>
        <v>0</v>
      </c>
      <c r="F246" s="110">
        <f t="shared" si="84"/>
        <v>0</v>
      </c>
      <c r="G246" s="110">
        <f t="shared" si="84"/>
        <v>0</v>
      </c>
      <c r="H246" s="110"/>
      <c r="I246" s="110"/>
      <c r="J246" s="110"/>
      <c r="K246" s="110"/>
      <c r="L246" s="110"/>
      <c r="M246" s="110"/>
      <c r="N246" s="110"/>
      <c r="O246" s="110"/>
      <c r="P246" s="110"/>
    </row>
    <row r="247" spans="1:16" s="92" customFormat="1">
      <c r="A247" s="491" t="str">
        <f>Products!F104</f>
        <v>SMF</v>
      </c>
      <c r="B247" s="83" t="str">
        <f t="shared" si="82"/>
        <v>800G ER4</v>
      </c>
      <c r="C247" s="84" t="str">
        <f t="shared" si="82"/>
        <v>40 km</v>
      </c>
      <c r="D247" s="85" t="str">
        <f t="shared" si="82"/>
        <v>TBD</v>
      </c>
      <c r="E247" s="109">
        <f t="shared" ref="E247:G247" si="85">IF(E77=0,,E77*E162/10^6)</f>
        <v>0</v>
      </c>
      <c r="F247" s="109">
        <f t="shared" si="85"/>
        <v>0</v>
      </c>
      <c r="G247" s="109">
        <f t="shared" si="85"/>
        <v>0</v>
      </c>
      <c r="H247" s="109"/>
      <c r="I247" s="109"/>
      <c r="J247" s="109"/>
      <c r="K247" s="109"/>
      <c r="L247" s="109"/>
      <c r="M247" s="109"/>
      <c r="N247" s="109"/>
      <c r="O247" s="109"/>
      <c r="P247" s="109"/>
    </row>
    <row r="248" spans="1:16" s="92" customFormat="1">
      <c r="A248" s="491"/>
      <c r="B248" s="87" t="str">
        <f t="shared" si="82"/>
        <v>1.6T SR16</v>
      </c>
      <c r="C248" s="88" t="str">
        <f t="shared" si="82"/>
        <v>100 m</v>
      </c>
      <c r="D248" s="89" t="str">
        <f t="shared" si="82"/>
        <v>OSFP-XD and TBD</v>
      </c>
      <c r="E248" s="110">
        <f t="shared" ref="E248:G248" si="86">IF(E78=0,,E78*E163/10^6)</f>
        <v>0</v>
      </c>
      <c r="F248" s="110">
        <f t="shared" si="86"/>
        <v>0</v>
      </c>
      <c r="G248" s="110">
        <f t="shared" si="86"/>
        <v>0</v>
      </c>
      <c r="H248" s="110"/>
      <c r="I248" s="110"/>
      <c r="J248" s="110"/>
      <c r="K248" s="110"/>
      <c r="L248" s="110"/>
      <c r="M248" s="110"/>
      <c r="N248" s="110"/>
      <c r="O248" s="110"/>
      <c r="P248" s="110"/>
    </row>
    <row r="249" spans="1:16" s="92" customFormat="1">
      <c r="A249" s="491"/>
      <c r="B249" s="87" t="str">
        <f t="shared" si="82"/>
        <v>1.6T DR8</v>
      </c>
      <c r="C249" s="88" t="str">
        <f t="shared" si="82"/>
        <v>500 m</v>
      </c>
      <c r="D249" s="89" t="str">
        <f t="shared" si="82"/>
        <v>OSFP-XD and TBD</v>
      </c>
      <c r="E249" s="110">
        <f t="shared" ref="E249:G249" si="87">IF(E79=0,,E79*E164/10^6)</f>
        <v>0</v>
      </c>
      <c r="F249" s="110">
        <f t="shared" si="87"/>
        <v>0</v>
      </c>
      <c r="G249" s="110">
        <f t="shared" si="87"/>
        <v>0</v>
      </c>
      <c r="H249" s="110"/>
      <c r="I249" s="110"/>
      <c r="J249" s="110"/>
      <c r="K249" s="110"/>
      <c r="L249" s="110"/>
      <c r="M249" s="110"/>
      <c r="N249" s="110"/>
      <c r="O249" s="110"/>
      <c r="P249" s="110"/>
    </row>
    <row r="250" spans="1:16" s="92" customFormat="1">
      <c r="A250" s="491"/>
      <c r="B250" s="87" t="str">
        <f t="shared" si="82"/>
        <v>1.6T FR8</v>
      </c>
      <c r="C250" s="88" t="str">
        <f t="shared" si="82"/>
        <v>2 km</v>
      </c>
      <c r="D250" s="89" t="str">
        <f t="shared" si="82"/>
        <v>OSFP-XD and TBD</v>
      </c>
      <c r="E250" s="110">
        <f t="shared" ref="E250:G250" si="88">IF(E80=0,,E80*E165/10^6)</f>
        <v>0</v>
      </c>
      <c r="F250" s="110">
        <f t="shared" si="88"/>
        <v>0</v>
      </c>
      <c r="G250" s="110">
        <f t="shared" si="88"/>
        <v>0</v>
      </c>
      <c r="H250" s="110"/>
      <c r="I250" s="110"/>
      <c r="J250" s="110"/>
      <c r="K250" s="110"/>
      <c r="L250" s="110"/>
      <c r="M250" s="110"/>
      <c r="N250" s="110"/>
      <c r="O250" s="110"/>
      <c r="P250" s="110"/>
    </row>
    <row r="251" spans="1:16" s="92" customFormat="1">
      <c r="A251" s="491"/>
      <c r="B251" s="87" t="str">
        <f t="shared" si="82"/>
        <v>1.6T LR8</v>
      </c>
      <c r="C251" s="88" t="str">
        <f t="shared" si="82"/>
        <v>10 km</v>
      </c>
      <c r="D251" s="89" t="str">
        <f t="shared" si="82"/>
        <v>OSFP-XD and TBD</v>
      </c>
      <c r="E251" s="110">
        <f t="shared" ref="E251:G251" si="89">IF(E81=0,,E81*E166/10^6)</f>
        <v>0</v>
      </c>
      <c r="F251" s="110">
        <f t="shared" si="89"/>
        <v>0</v>
      </c>
      <c r="G251" s="110">
        <f t="shared" si="89"/>
        <v>0</v>
      </c>
      <c r="H251" s="110"/>
      <c r="I251" s="110"/>
      <c r="J251" s="110"/>
      <c r="K251" s="110"/>
      <c r="L251" s="110"/>
      <c r="M251" s="110"/>
      <c r="N251" s="110"/>
      <c r="O251" s="110"/>
      <c r="P251" s="110"/>
    </row>
    <row r="252" spans="1:16" s="92" customFormat="1">
      <c r="A252" s="491"/>
      <c r="B252" s="83" t="str">
        <f t="shared" si="82"/>
        <v>1.6T ER8</v>
      </c>
      <c r="C252" s="84" t="str">
        <f t="shared" si="82"/>
        <v>&gt;10 km</v>
      </c>
      <c r="D252" s="85" t="str">
        <f t="shared" si="82"/>
        <v>OSFP-XD and TBD</v>
      </c>
      <c r="E252" s="109">
        <f t="shared" ref="E252:G252" si="90">IF(E82=0,,E82*E167/10^6)</f>
        <v>0</v>
      </c>
      <c r="F252" s="109">
        <f t="shared" si="90"/>
        <v>0</v>
      </c>
      <c r="G252" s="109">
        <f t="shared" si="90"/>
        <v>0</v>
      </c>
      <c r="H252" s="109"/>
      <c r="I252" s="109"/>
      <c r="J252" s="109"/>
      <c r="K252" s="109"/>
      <c r="L252" s="109"/>
      <c r="M252" s="109"/>
      <c r="N252" s="109"/>
      <c r="O252" s="109"/>
      <c r="P252" s="109"/>
    </row>
    <row r="253" spans="1:16" s="92" customFormat="1">
      <c r="A253" s="491"/>
      <c r="B253" s="87" t="str">
        <f t="shared" si="82"/>
        <v>3.2T SR</v>
      </c>
      <c r="C253" s="88" t="str">
        <f t="shared" si="82"/>
        <v>100 m</v>
      </c>
      <c r="D253" s="89" t="str">
        <f t="shared" si="82"/>
        <v>OSFP-XD and TBD</v>
      </c>
      <c r="E253" s="110">
        <f t="shared" ref="E253:G253" si="91">IF(E83=0,,E83*E168/10^6)</f>
        <v>0</v>
      </c>
      <c r="F253" s="110">
        <f t="shared" si="91"/>
        <v>0</v>
      </c>
      <c r="G253" s="110">
        <f t="shared" si="91"/>
        <v>0</v>
      </c>
      <c r="H253" s="110"/>
      <c r="I253" s="110"/>
      <c r="J253" s="110"/>
      <c r="K253" s="110"/>
      <c r="L253" s="110"/>
      <c r="M253" s="110"/>
      <c r="N253" s="110"/>
      <c r="O253" s="110"/>
      <c r="P253" s="110"/>
    </row>
    <row r="254" spans="1:16" s="92" customFormat="1">
      <c r="A254" s="491"/>
      <c r="B254" s="87" t="str">
        <f t="shared" si="82"/>
        <v>3.2T DR</v>
      </c>
      <c r="C254" s="88" t="str">
        <f t="shared" si="82"/>
        <v>500 m</v>
      </c>
      <c r="D254" s="89" t="str">
        <f t="shared" si="82"/>
        <v>OSFP-XD and TBD</v>
      </c>
      <c r="E254" s="110">
        <f t="shared" ref="E254:G254" si="92">IF(E84=0,,E84*E169/10^6)</f>
        <v>0</v>
      </c>
      <c r="F254" s="110">
        <f t="shared" si="92"/>
        <v>0</v>
      </c>
      <c r="G254" s="110">
        <f t="shared" si="92"/>
        <v>0</v>
      </c>
      <c r="H254" s="110"/>
      <c r="I254" s="110"/>
      <c r="J254" s="110"/>
      <c r="K254" s="110"/>
      <c r="L254" s="110"/>
      <c r="M254" s="110"/>
      <c r="N254" s="110"/>
      <c r="O254" s="110"/>
      <c r="P254" s="110"/>
    </row>
    <row r="255" spans="1:16" s="92" customFormat="1">
      <c r="A255" s="491"/>
      <c r="B255" s="87" t="str">
        <f t="shared" si="82"/>
        <v>3.2T FR</v>
      </c>
      <c r="C255" s="88" t="str">
        <f t="shared" si="82"/>
        <v>2 km</v>
      </c>
      <c r="D255" s="89" t="str">
        <f t="shared" si="82"/>
        <v>OSFP-XD and TBD</v>
      </c>
      <c r="E255" s="110">
        <f t="shared" ref="E255:G255" si="93">IF(E85=0,,E85*E170/10^6)</f>
        <v>0</v>
      </c>
      <c r="F255" s="110">
        <f t="shared" si="93"/>
        <v>0</v>
      </c>
      <c r="G255" s="110">
        <f t="shared" si="93"/>
        <v>0</v>
      </c>
      <c r="H255" s="110"/>
      <c r="I255" s="110"/>
      <c r="J255" s="110"/>
      <c r="K255" s="110"/>
      <c r="L255" s="110"/>
      <c r="M255" s="110"/>
      <c r="N255" s="110"/>
      <c r="O255" s="110"/>
      <c r="P255" s="110"/>
    </row>
    <row r="256" spans="1:16" s="92" customFormat="1">
      <c r="A256" s="491"/>
      <c r="B256" s="87" t="str">
        <f t="shared" si="82"/>
        <v>3.2T LR</v>
      </c>
      <c r="C256" s="88" t="str">
        <f t="shared" si="82"/>
        <v>10 km</v>
      </c>
      <c r="D256" s="89" t="str">
        <f t="shared" si="82"/>
        <v>OSFP-XD and TBD</v>
      </c>
      <c r="E256" s="110">
        <f t="shared" ref="E256:G256" si="94">IF(E86=0,,E86*E171/10^6)</f>
        <v>0</v>
      </c>
      <c r="F256" s="110">
        <f t="shared" si="94"/>
        <v>0</v>
      </c>
      <c r="G256" s="110">
        <f t="shared" si="94"/>
        <v>0</v>
      </c>
      <c r="H256" s="110"/>
      <c r="I256" s="110"/>
      <c r="J256" s="110"/>
      <c r="K256" s="110"/>
      <c r="L256" s="110"/>
      <c r="M256" s="110"/>
      <c r="N256" s="110"/>
      <c r="O256" s="110"/>
      <c r="P256" s="110"/>
    </row>
    <row r="257" spans="1:16" s="92" customFormat="1">
      <c r="A257" s="491"/>
      <c r="B257" s="87" t="str">
        <f t="shared" si="82"/>
        <v>3.2T ER</v>
      </c>
      <c r="C257" s="88" t="str">
        <f t="shared" si="82"/>
        <v>&gt;10 km</v>
      </c>
      <c r="D257" s="89" t="str">
        <f t="shared" si="82"/>
        <v>OSFP-XD and TBD</v>
      </c>
      <c r="E257" s="110">
        <f t="shared" ref="E257:G257" si="95">IF(E87=0,,E87*E172/10^6)</f>
        <v>0</v>
      </c>
      <c r="F257" s="110">
        <f t="shared" si="95"/>
        <v>0</v>
      </c>
      <c r="G257" s="110">
        <f t="shared" si="95"/>
        <v>0</v>
      </c>
      <c r="H257" s="110"/>
      <c r="I257" s="110"/>
      <c r="J257" s="110"/>
      <c r="K257" s="110"/>
      <c r="L257" s="110"/>
      <c r="M257" s="110"/>
      <c r="N257" s="110"/>
      <c r="O257" s="110"/>
      <c r="P257" s="110"/>
    </row>
    <row r="258" spans="1:16" s="92" customFormat="1">
      <c r="A258" s="491"/>
      <c r="B258" s="87"/>
      <c r="C258" s="88"/>
      <c r="D258" s="89"/>
      <c r="E258" s="110"/>
      <c r="F258" s="110"/>
      <c r="G258" s="110"/>
      <c r="H258" s="110"/>
      <c r="I258" s="110"/>
      <c r="J258" s="110"/>
      <c r="K258" s="110"/>
      <c r="L258" s="110"/>
      <c r="M258" s="110"/>
      <c r="N258" s="110"/>
      <c r="O258" s="110"/>
      <c r="P258" s="110"/>
    </row>
    <row r="259" spans="1:16">
      <c r="B259" s="45" t="s">
        <v>20</v>
      </c>
      <c r="C259" s="46"/>
      <c r="D259" s="47"/>
      <c r="E259" s="102">
        <f t="shared" ref="E259:G259" si="96">SUM(E179:E258)</f>
        <v>1117.8845272480094</v>
      </c>
      <c r="F259" s="102">
        <f t="shared" si="96"/>
        <v>1907.9773712813274</v>
      </c>
      <c r="G259" s="102">
        <f t="shared" si="96"/>
        <v>2284.8914104677597</v>
      </c>
      <c r="H259" s="102"/>
      <c r="I259" s="102"/>
      <c r="J259" s="102"/>
      <c r="K259" s="102"/>
      <c r="L259" s="102"/>
      <c r="M259" s="102"/>
      <c r="N259" s="102"/>
      <c r="O259" s="102"/>
      <c r="P259" s="102"/>
    </row>
  </sheetData>
  <pageMargins left="0.7" right="0.7" top="0.75" bottom="0.75" header="0.3" footer="0.3"/>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2:P341"/>
  <sheetViews>
    <sheetView showGridLines="0" zoomScale="60" zoomScaleNormal="60" zoomScalePageLayoutView="80" workbookViewId="0"/>
  </sheetViews>
  <sheetFormatPr defaultColWidth="8.77734375" defaultRowHeight="13.8" outlineLevelRow="1"/>
  <cols>
    <col min="1" max="1" width="4.44140625" style="128" customWidth="1"/>
    <col min="2" max="2" width="25.44140625" style="128" customWidth="1"/>
    <col min="3" max="3" width="13.44140625" style="128" customWidth="1"/>
    <col min="4" max="7" width="14.44140625" style="128" customWidth="1"/>
    <col min="8" max="9" width="14.44140625" style="128" bestFit="1" customWidth="1"/>
    <col min="10" max="14" width="14.44140625" style="128" customWidth="1"/>
    <col min="15" max="15" width="13.77734375" style="128" customWidth="1"/>
    <col min="16" max="16" width="10" style="128" customWidth="1"/>
    <col min="17" max="16384" width="8.77734375" style="128"/>
  </cols>
  <sheetData>
    <row r="2" spans="1:7" ht="18">
      <c r="A2" s="56"/>
      <c r="B2" s="6" t="str">
        <f>Introduction!$B$2</f>
        <v>LightCounting Ethernet Transceivers Forecast</v>
      </c>
    </row>
    <row r="3" spans="1:7" ht="15.6">
      <c r="B3" s="37" t="str">
        <f>Introduction!B3</f>
        <v>March 2022 - sample spreadsheet</v>
      </c>
    </row>
    <row r="4" spans="1:7" ht="18">
      <c r="A4" s="56"/>
      <c r="B4" s="6" t="s">
        <v>118</v>
      </c>
      <c r="C4" s="127"/>
      <c r="D4" s="127"/>
      <c r="E4" s="127"/>
      <c r="F4" s="127"/>
      <c r="G4" s="127"/>
    </row>
    <row r="5" spans="1:7" ht="21">
      <c r="A5" s="132"/>
      <c r="B5" s="197"/>
      <c r="C5" s="127"/>
      <c r="D5" s="127"/>
    </row>
    <row r="7" spans="1:7" ht="21">
      <c r="B7" s="17" t="s">
        <v>152</v>
      </c>
    </row>
    <row r="9" spans="1:7">
      <c r="A9" s="44"/>
      <c r="B9" s="44"/>
      <c r="C9" s="44"/>
      <c r="D9" s="44"/>
      <c r="E9" s="44"/>
      <c r="F9" s="44"/>
      <c r="G9" s="44"/>
    </row>
    <row r="10" spans="1:7">
      <c r="A10" s="44"/>
      <c r="B10" s="44"/>
      <c r="C10" s="44"/>
      <c r="D10" s="44"/>
      <c r="E10" s="44"/>
      <c r="F10" s="44"/>
      <c r="G10" s="44"/>
    </row>
    <row r="11" spans="1:7">
      <c r="A11" s="44"/>
      <c r="B11" s="44"/>
      <c r="C11" s="44"/>
      <c r="D11" s="44"/>
      <c r="E11" s="44"/>
      <c r="F11" s="44"/>
      <c r="G11" s="44"/>
    </row>
    <row r="12" spans="1:7">
      <c r="A12" s="44"/>
      <c r="B12" s="44"/>
      <c r="C12" s="44"/>
      <c r="D12" s="44"/>
      <c r="E12" s="44"/>
      <c r="F12" s="44"/>
      <c r="G12" s="44"/>
    </row>
    <row r="13" spans="1:7">
      <c r="A13" s="44"/>
      <c r="B13" s="44"/>
      <c r="C13" s="44"/>
      <c r="D13" s="44"/>
      <c r="E13" s="44"/>
      <c r="F13" s="44"/>
      <c r="G13" s="44"/>
    </row>
    <row r="14" spans="1:7">
      <c r="A14" s="44"/>
      <c r="B14" s="44"/>
      <c r="C14" s="44"/>
      <c r="D14" s="44"/>
      <c r="E14" s="44"/>
      <c r="F14" s="44"/>
      <c r="G14" s="44"/>
    </row>
    <row r="15" spans="1:7">
      <c r="A15" s="44"/>
      <c r="B15" s="44"/>
      <c r="C15" s="44"/>
      <c r="D15" s="44"/>
      <c r="E15" s="44"/>
      <c r="F15" s="44"/>
      <c r="G15" s="44"/>
    </row>
    <row r="16" spans="1:7">
      <c r="A16" s="44"/>
      <c r="B16" s="44"/>
      <c r="C16" s="44"/>
      <c r="D16" s="44"/>
      <c r="E16" s="44"/>
      <c r="F16" s="44"/>
      <c r="G16" s="44"/>
    </row>
    <row r="17" spans="1:15">
      <c r="A17" s="44"/>
      <c r="B17" s="44"/>
      <c r="C17" s="44"/>
      <c r="D17" s="44"/>
      <c r="E17" s="44"/>
      <c r="F17" s="44"/>
      <c r="G17" s="44"/>
    </row>
    <row r="18" spans="1:15">
      <c r="A18" s="44"/>
      <c r="B18" s="44"/>
      <c r="C18" s="44"/>
      <c r="D18" s="44"/>
      <c r="E18" s="44"/>
      <c r="F18" s="44"/>
      <c r="G18" s="44"/>
    </row>
    <row r="19" spans="1:15">
      <c r="A19" s="44"/>
      <c r="B19" s="44"/>
      <c r="C19" s="44"/>
      <c r="D19" s="44"/>
      <c r="E19" s="44"/>
      <c r="F19" s="44"/>
      <c r="G19" s="44"/>
    </row>
    <row r="20" spans="1:15">
      <c r="A20" s="44"/>
      <c r="B20" s="44"/>
      <c r="C20" s="44"/>
      <c r="D20" s="44"/>
      <c r="E20" s="44"/>
      <c r="F20" s="44"/>
      <c r="G20" s="44"/>
    </row>
    <row r="21" spans="1:15">
      <c r="A21" s="44"/>
      <c r="B21" s="44"/>
      <c r="C21" s="44"/>
      <c r="D21" s="44"/>
      <c r="E21" s="44"/>
      <c r="F21" s="44"/>
      <c r="G21" s="44"/>
    </row>
    <row r="22" spans="1:15">
      <c r="A22" s="44"/>
      <c r="B22" s="44"/>
      <c r="C22" s="44"/>
      <c r="D22" s="44"/>
      <c r="E22" s="44"/>
      <c r="F22" s="44"/>
      <c r="G22" s="44"/>
    </row>
    <row r="23" spans="1:15">
      <c r="A23" s="44"/>
      <c r="B23" s="44"/>
      <c r="C23" s="44"/>
      <c r="D23" s="44"/>
      <c r="E23" s="44"/>
      <c r="F23" s="44"/>
      <c r="G23" s="44"/>
    </row>
    <row r="24" spans="1:15">
      <c r="A24" s="44"/>
      <c r="B24" s="44"/>
      <c r="C24" s="44"/>
      <c r="D24" s="44"/>
      <c r="E24" s="44"/>
      <c r="F24" s="44"/>
      <c r="G24" s="44"/>
    </row>
    <row r="25" spans="1:15">
      <c r="A25" s="44"/>
      <c r="B25" s="44"/>
      <c r="C25" s="44"/>
      <c r="D25" s="44"/>
      <c r="E25" s="44"/>
      <c r="F25" s="44"/>
      <c r="G25" s="44"/>
    </row>
    <row r="26" spans="1:15">
      <c r="A26" s="44"/>
      <c r="B26" s="44"/>
      <c r="C26" s="44"/>
      <c r="D26" s="44"/>
      <c r="E26" s="44"/>
      <c r="F26" s="44"/>
      <c r="G26" s="44"/>
    </row>
    <row r="27" spans="1:15">
      <c r="A27" s="44"/>
      <c r="B27" s="44"/>
      <c r="C27" s="44"/>
      <c r="D27" s="44"/>
      <c r="E27" s="44"/>
      <c r="F27" s="44"/>
      <c r="G27" s="44"/>
    </row>
    <row r="28" spans="1:15">
      <c r="A28" s="44"/>
      <c r="B28" s="44"/>
      <c r="C28" s="44"/>
      <c r="D28" s="44"/>
      <c r="E28" s="44"/>
      <c r="F28" s="44"/>
      <c r="G28" s="44"/>
    </row>
    <row r="29" spans="1:15">
      <c r="A29" s="44"/>
      <c r="C29" s="44"/>
      <c r="D29" s="44"/>
      <c r="E29" s="44"/>
      <c r="F29" s="44"/>
      <c r="G29" s="44"/>
    </row>
    <row r="30" spans="1:15" ht="21">
      <c r="A30" s="44"/>
      <c r="B30" s="17" t="s">
        <v>104</v>
      </c>
      <c r="C30" s="44"/>
      <c r="D30" s="44"/>
      <c r="E30" s="44"/>
      <c r="F30" s="44"/>
      <c r="G30" s="44"/>
    </row>
    <row r="31" spans="1:15">
      <c r="C31" s="198">
        <v>2016</v>
      </c>
      <c r="D31" s="138">
        <v>2017</v>
      </c>
      <c r="E31" s="138">
        <v>2018</v>
      </c>
      <c r="F31" s="138">
        <v>2019</v>
      </c>
      <c r="G31" s="138">
        <v>2020</v>
      </c>
      <c r="H31" s="138">
        <v>2021</v>
      </c>
      <c r="I31" s="138">
        <v>2022</v>
      </c>
      <c r="J31" s="138">
        <v>2023</v>
      </c>
      <c r="K31" s="138">
        <v>2024</v>
      </c>
      <c r="L31" s="138">
        <v>2025</v>
      </c>
      <c r="M31" s="138">
        <v>2026</v>
      </c>
      <c r="N31" s="138">
        <v>2027</v>
      </c>
      <c r="O31" s="324" t="s">
        <v>415</v>
      </c>
    </row>
    <row r="32" spans="1:15">
      <c r="B32" s="195" t="s">
        <v>96</v>
      </c>
      <c r="C32" s="135">
        <f>Telecom!E89</f>
        <v>4496664.3535132017</v>
      </c>
      <c r="D32" s="136">
        <f>Telecom!F89</f>
        <v>3902185.0984692555</v>
      </c>
      <c r="E32" s="136">
        <f>Telecom!G89</f>
        <v>5876521.6602941174</v>
      </c>
      <c r="F32" s="136">
        <f>Telecom!H89</f>
        <v>0</v>
      </c>
      <c r="G32" s="136">
        <f>Telecom!I89</f>
        <v>0</v>
      </c>
      <c r="H32" s="136">
        <f>Telecom!J89</f>
        <v>0</v>
      </c>
      <c r="I32" s="136">
        <f>Telecom!K89</f>
        <v>0</v>
      </c>
      <c r="J32" s="136">
        <f>Telecom!L89</f>
        <v>0</v>
      </c>
      <c r="K32" s="136">
        <f>Telecom!M89</f>
        <v>0</v>
      </c>
      <c r="L32" s="136">
        <f>Telecom!N89</f>
        <v>0</v>
      </c>
      <c r="M32" s="136">
        <f>Telecom!O89</f>
        <v>0</v>
      </c>
      <c r="N32" s="136">
        <f>Telecom!P89</f>
        <v>0</v>
      </c>
      <c r="O32" s="127">
        <f>SUM(I32:N32)</f>
        <v>0</v>
      </c>
    </row>
    <row r="33" spans="1:16">
      <c r="B33" s="275" t="s">
        <v>145</v>
      </c>
      <c r="C33" s="133">
        <f>Cloud!E89</f>
        <v>10649308.537719864</v>
      </c>
      <c r="D33" s="134">
        <f>Cloud!F89</f>
        <v>13336049.134659462</v>
      </c>
      <c r="E33" s="134">
        <f>Cloud!G89</f>
        <v>15893347.87633656</v>
      </c>
      <c r="F33" s="134">
        <f>Cloud!H89</f>
        <v>0</v>
      </c>
      <c r="G33" s="134">
        <f>Cloud!I89</f>
        <v>0</v>
      </c>
      <c r="H33" s="134">
        <f>Cloud!J89</f>
        <v>0</v>
      </c>
      <c r="I33" s="134">
        <f>Cloud!K89</f>
        <v>0</v>
      </c>
      <c r="J33" s="134">
        <f>Cloud!L89</f>
        <v>0</v>
      </c>
      <c r="K33" s="134">
        <f>Cloud!M89</f>
        <v>0</v>
      </c>
      <c r="L33" s="134">
        <f>Cloud!N89</f>
        <v>0</v>
      </c>
      <c r="M33" s="134">
        <f>Cloud!O89</f>
        <v>0</v>
      </c>
      <c r="N33" s="134">
        <f>Cloud!P89</f>
        <v>0</v>
      </c>
      <c r="O33" s="127">
        <f>SUM(I33:N33)</f>
        <v>0</v>
      </c>
    </row>
    <row r="34" spans="1:16" ht="13.5" customHeight="1">
      <c r="B34" s="275" t="s">
        <v>114</v>
      </c>
      <c r="C34" s="133">
        <f>Enterprise!E89</f>
        <v>21287441.14376694</v>
      </c>
      <c r="D34" s="134">
        <f>Enterprise!F89</f>
        <v>20863877.916871279</v>
      </c>
      <c r="E34" s="134">
        <f>Enterprise!G89</f>
        <v>24290440.800063994</v>
      </c>
      <c r="F34" s="134">
        <f>Enterprise!H89</f>
        <v>0</v>
      </c>
      <c r="G34" s="134">
        <f>Enterprise!I89</f>
        <v>0</v>
      </c>
      <c r="H34" s="134">
        <f>Enterprise!J89</f>
        <v>0</v>
      </c>
      <c r="I34" s="134">
        <f>Enterprise!K89</f>
        <v>0</v>
      </c>
      <c r="J34" s="134">
        <f>Enterprise!L89</f>
        <v>0</v>
      </c>
      <c r="K34" s="134">
        <f>Enterprise!M89</f>
        <v>0</v>
      </c>
      <c r="L34" s="134">
        <f>Enterprise!N89</f>
        <v>0</v>
      </c>
      <c r="M34" s="134">
        <f>Enterprise!O89</f>
        <v>0</v>
      </c>
      <c r="N34" s="134">
        <f>Enterprise!P89</f>
        <v>0</v>
      </c>
      <c r="O34" s="127">
        <f>SUM(I34:N34)</f>
        <v>0</v>
      </c>
    </row>
    <row r="35" spans="1:16">
      <c r="B35" s="139" t="s">
        <v>13</v>
      </c>
      <c r="C35" s="152">
        <f t="shared" ref="C35:L35" si="0">SUM(C32:C34)</f>
        <v>36433414.035000004</v>
      </c>
      <c r="D35" s="153">
        <f t="shared" si="0"/>
        <v>38102112.149999999</v>
      </c>
      <c r="E35" s="153">
        <f t="shared" si="0"/>
        <v>46060310.336694673</v>
      </c>
      <c r="F35" s="153">
        <f t="shared" si="0"/>
        <v>0</v>
      </c>
      <c r="G35" s="153">
        <f t="shared" si="0"/>
        <v>0</v>
      </c>
      <c r="H35" s="153">
        <f t="shared" si="0"/>
        <v>0</v>
      </c>
      <c r="I35" s="153">
        <f t="shared" si="0"/>
        <v>0</v>
      </c>
      <c r="J35" s="153">
        <f t="shared" si="0"/>
        <v>0</v>
      </c>
      <c r="K35" s="153">
        <f t="shared" si="0"/>
        <v>0</v>
      </c>
      <c r="L35" s="153">
        <f t="shared" si="0"/>
        <v>0</v>
      </c>
      <c r="M35" s="153">
        <f t="shared" ref="M35:N35" si="1">SUM(M32:M34)</f>
        <v>0</v>
      </c>
      <c r="N35" s="153">
        <f t="shared" si="1"/>
        <v>0</v>
      </c>
    </row>
    <row r="36" spans="1:16">
      <c r="B36" s="173" t="s">
        <v>90</v>
      </c>
      <c r="C36" s="174"/>
      <c r="D36" s="174">
        <f t="shared" ref="D36:L36" si="2">D35/C35-1</f>
        <v>4.5801310670390283E-2</v>
      </c>
      <c r="E36" s="174">
        <f t="shared" si="2"/>
        <v>0.20886501397520751</v>
      </c>
      <c r="F36" s="174">
        <f t="shared" si="2"/>
        <v>-1</v>
      </c>
      <c r="G36" s="174" t="e">
        <f t="shared" si="2"/>
        <v>#DIV/0!</v>
      </c>
      <c r="H36" s="174" t="e">
        <f t="shared" si="2"/>
        <v>#DIV/0!</v>
      </c>
      <c r="I36" s="174" t="e">
        <f t="shared" si="2"/>
        <v>#DIV/0!</v>
      </c>
      <c r="J36" s="174" t="e">
        <f t="shared" si="2"/>
        <v>#DIV/0!</v>
      </c>
      <c r="K36" s="174" t="e">
        <f t="shared" si="2"/>
        <v>#DIV/0!</v>
      </c>
      <c r="L36" s="174" t="e">
        <f t="shared" si="2"/>
        <v>#DIV/0!</v>
      </c>
      <c r="M36" s="174" t="e">
        <f t="shared" ref="M36" si="3">M35/L35-1</f>
        <v>#DIV/0!</v>
      </c>
      <c r="N36" s="174" t="e">
        <f t="shared" ref="N36" si="4">N35/M35-1</f>
        <v>#DIV/0!</v>
      </c>
      <c r="O36" s="62"/>
    </row>
    <row r="37" spans="1:16" ht="14.4">
      <c r="C37" s="16"/>
      <c r="D37" s="16"/>
      <c r="E37" s="16"/>
      <c r="F37" s="16"/>
      <c r="G37" s="16"/>
      <c r="H37" s="16"/>
      <c r="I37" s="16"/>
      <c r="J37" s="16"/>
      <c r="K37" s="16"/>
      <c r="L37" s="16"/>
      <c r="M37" s="16"/>
      <c r="N37" s="16"/>
      <c r="O37" s="16"/>
    </row>
    <row r="38" spans="1:16" ht="14.4">
      <c r="B38" s="16"/>
      <c r="O38" s="62"/>
    </row>
    <row r="39" spans="1:16" ht="21">
      <c r="A39" s="44"/>
      <c r="B39" s="17" t="s">
        <v>105</v>
      </c>
    </row>
    <row r="40" spans="1:16">
      <c r="C40" s="198">
        <v>2016</v>
      </c>
      <c r="D40" s="138">
        <v>2017</v>
      </c>
      <c r="E40" s="138">
        <v>2018</v>
      </c>
      <c r="F40" s="138">
        <v>2019</v>
      </c>
      <c r="G40" s="138">
        <v>2020</v>
      </c>
      <c r="H40" s="138">
        <v>2021</v>
      </c>
      <c r="I40" s="138">
        <v>2022</v>
      </c>
      <c r="J40" s="138">
        <v>2023</v>
      </c>
      <c r="K40" s="138">
        <v>2024</v>
      </c>
      <c r="L40" s="138">
        <v>2025</v>
      </c>
      <c r="M40" s="138">
        <v>2026</v>
      </c>
      <c r="N40" s="138">
        <v>2027</v>
      </c>
      <c r="O40" s="324" t="str">
        <f>O31</f>
        <v>6-yr total</v>
      </c>
    </row>
    <row r="41" spans="1:16">
      <c r="B41" s="195" t="str">
        <f>B32</f>
        <v>Telecom</v>
      </c>
      <c r="C41" s="141">
        <f>Telecom!E259</f>
        <v>970.95883262807854</v>
      </c>
      <c r="D41" s="142">
        <f>Telecom!F259</f>
        <v>686.97300036965203</v>
      </c>
      <c r="E41" s="142">
        <f>Telecom!G259</f>
        <v>515.46297620496682</v>
      </c>
      <c r="F41" s="142">
        <f>Telecom!H259</f>
        <v>0</v>
      </c>
      <c r="G41" s="142">
        <f>Telecom!I259</f>
        <v>0</v>
      </c>
      <c r="H41" s="142">
        <f>Telecom!J259</f>
        <v>0</v>
      </c>
      <c r="I41" s="142">
        <f>Telecom!K259</f>
        <v>0</v>
      </c>
      <c r="J41" s="142">
        <f>Telecom!L259</f>
        <v>0</v>
      </c>
      <c r="K41" s="142">
        <f>Telecom!M259</f>
        <v>0</v>
      </c>
      <c r="L41" s="142">
        <f>Telecom!N259</f>
        <v>0</v>
      </c>
      <c r="M41" s="142">
        <f>Telecom!O259</f>
        <v>0</v>
      </c>
      <c r="N41" s="142">
        <f>Telecom!P259</f>
        <v>0</v>
      </c>
      <c r="O41" s="130">
        <f>SUM(I41:N41)</f>
        <v>0</v>
      </c>
    </row>
    <row r="42" spans="1:16">
      <c r="B42" s="196" t="str">
        <f>B33</f>
        <v>Cloud</v>
      </c>
      <c r="C42" s="143">
        <f>Cloud!E259</f>
        <v>1117.8845272480094</v>
      </c>
      <c r="D42" s="144">
        <f>Cloud!F259</f>
        <v>1907.9773712813274</v>
      </c>
      <c r="E42" s="144">
        <f>Cloud!G259</f>
        <v>2284.8914104677597</v>
      </c>
      <c r="F42" s="144">
        <f>Cloud!H259</f>
        <v>0</v>
      </c>
      <c r="G42" s="144">
        <f>Cloud!I259</f>
        <v>0</v>
      </c>
      <c r="H42" s="144">
        <f>Cloud!J259</f>
        <v>0</v>
      </c>
      <c r="I42" s="144">
        <f>Cloud!K259</f>
        <v>0</v>
      </c>
      <c r="J42" s="144">
        <f>Cloud!L259</f>
        <v>0</v>
      </c>
      <c r="K42" s="144">
        <f>Cloud!M259</f>
        <v>0</v>
      </c>
      <c r="L42" s="144">
        <f>Cloud!N259</f>
        <v>0</v>
      </c>
      <c r="M42" s="144">
        <f>Cloud!O259</f>
        <v>0</v>
      </c>
      <c r="N42" s="144">
        <f>Cloud!P259</f>
        <v>0</v>
      </c>
      <c r="O42" s="130">
        <f>SUM(I42:N42)</f>
        <v>0</v>
      </c>
    </row>
    <row r="43" spans="1:16">
      <c r="B43" s="196" t="str">
        <f>B34</f>
        <v>Enterprise</v>
      </c>
      <c r="C43" s="143">
        <f>Enterprise!E259</f>
        <v>598.77204776909878</v>
      </c>
      <c r="D43" s="144">
        <f>Enterprise!F259</f>
        <v>583.36292043779542</v>
      </c>
      <c r="E43" s="144">
        <f>Enterprise!G259</f>
        <v>587.66314114080285</v>
      </c>
      <c r="F43" s="144">
        <f>Enterprise!H259</f>
        <v>0</v>
      </c>
      <c r="G43" s="144">
        <f>Enterprise!I259</f>
        <v>0</v>
      </c>
      <c r="H43" s="144">
        <f>Enterprise!J259</f>
        <v>0</v>
      </c>
      <c r="I43" s="144">
        <f>Enterprise!K259</f>
        <v>0</v>
      </c>
      <c r="J43" s="144">
        <f>Enterprise!L259</f>
        <v>0</v>
      </c>
      <c r="K43" s="144">
        <f>Enterprise!M259</f>
        <v>0</v>
      </c>
      <c r="L43" s="144">
        <f>Enterprise!N259</f>
        <v>0</v>
      </c>
      <c r="M43" s="144">
        <f>Enterprise!O259</f>
        <v>0</v>
      </c>
      <c r="N43" s="144">
        <f>Enterprise!P259</f>
        <v>0</v>
      </c>
      <c r="O43" s="130">
        <f>SUM(I43:N43)</f>
        <v>0</v>
      </c>
    </row>
    <row r="44" spans="1:16">
      <c r="B44" s="139" t="str">
        <f>B35</f>
        <v>Total</v>
      </c>
      <c r="C44" s="154">
        <f t="shared" ref="C44:L44" si="5">SUM(C41:C43)</f>
        <v>2687.6154076451867</v>
      </c>
      <c r="D44" s="155">
        <f t="shared" si="5"/>
        <v>3178.3132920887747</v>
      </c>
      <c r="E44" s="155">
        <f t="shared" si="5"/>
        <v>3388.0175278135293</v>
      </c>
      <c r="F44" s="155">
        <f t="shared" si="5"/>
        <v>0</v>
      </c>
      <c r="G44" s="155">
        <f t="shared" si="5"/>
        <v>0</v>
      </c>
      <c r="H44" s="155">
        <f t="shared" si="5"/>
        <v>0</v>
      </c>
      <c r="I44" s="155">
        <f t="shared" si="5"/>
        <v>0</v>
      </c>
      <c r="J44" s="155">
        <f t="shared" si="5"/>
        <v>0</v>
      </c>
      <c r="K44" s="155">
        <f t="shared" si="5"/>
        <v>0</v>
      </c>
      <c r="L44" s="155">
        <f t="shared" si="5"/>
        <v>0</v>
      </c>
      <c r="M44" s="155">
        <f t="shared" ref="M44:N44" si="6">SUM(M41:M43)</f>
        <v>0</v>
      </c>
      <c r="N44" s="155">
        <f t="shared" si="6"/>
        <v>0</v>
      </c>
      <c r="O44" s="130">
        <f>SUM(I44:N44)</f>
        <v>0</v>
      </c>
      <c r="P44" s="620"/>
    </row>
    <row r="45" spans="1:16">
      <c r="B45" s="173" t="s">
        <v>90</v>
      </c>
      <c r="C45" s="174"/>
      <c r="D45" s="174">
        <f>D44/C44-1</f>
        <v>0.18257741901901192</v>
      </c>
      <c r="E45" s="174">
        <f>E44/D44-1</f>
        <v>6.5979724606361145E-2</v>
      </c>
      <c r="F45" s="174">
        <f t="shared" ref="F45:L45" si="7">F44/E44-1</f>
        <v>-1</v>
      </c>
      <c r="G45" s="174" t="e">
        <f t="shared" si="7"/>
        <v>#DIV/0!</v>
      </c>
      <c r="H45" s="174" t="e">
        <f t="shared" si="7"/>
        <v>#DIV/0!</v>
      </c>
      <c r="I45" s="174" t="e">
        <f t="shared" si="7"/>
        <v>#DIV/0!</v>
      </c>
      <c r="J45" s="174" t="e">
        <f t="shared" si="7"/>
        <v>#DIV/0!</v>
      </c>
      <c r="K45" s="174" t="e">
        <f t="shared" si="7"/>
        <v>#DIV/0!</v>
      </c>
      <c r="L45" s="174" t="e">
        <f t="shared" si="7"/>
        <v>#DIV/0!</v>
      </c>
      <c r="M45" s="174" t="e">
        <f t="shared" ref="M45" si="8">M44/L44-1</f>
        <v>#DIV/0!</v>
      </c>
      <c r="N45" s="174" t="e">
        <f t="shared" ref="N45" si="9">N44/M44-1</f>
        <v>#DIV/0!</v>
      </c>
      <c r="O45" s="151"/>
    </row>
    <row r="46" spans="1:16">
      <c r="B46" s="151"/>
      <c r="C46" s="151"/>
      <c r="D46" s="151"/>
      <c r="E46" s="151"/>
      <c r="F46" s="151"/>
      <c r="G46" s="151"/>
      <c r="H46" s="151"/>
      <c r="I46" s="151"/>
      <c r="J46" s="151"/>
      <c r="K46" s="151"/>
      <c r="L46" s="151"/>
      <c r="M46" s="151"/>
      <c r="N46" s="151"/>
      <c r="O46" s="151"/>
    </row>
    <row r="47" spans="1:16">
      <c r="O47" s="151"/>
    </row>
    <row r="48" spans="1:16" outlineLevel="1"/>
    <row r="49" outlineLevel="1"/>
    <row r="50" outlineLevel="1"/>
    <row r="51" outlineLevel="1"/>
    <row r="52" outlineLevel="1"/>
    <row r="53" outlineLevel="1"/>
    <row r="54" outlineLevel="1"/>
    <row r="55" outlineLevel="1"/>
    <row r="56" outlineLevel="1"/>
    <row r="57" outlineLevel="1"/>
    <row r="58" outlineLevel="1"/>
    <row r="59" outlineLevel="1"/>
    <row r="60" outlineLevel="1"/>
    <row r="61" outlineLevel="1"/>
    <row r="62" outlineLevel="1"/>
    <row r="63" outlineLevel="1"/>
    <row r="64" outlineLevel="1"/>
    <row r="65" outlineLevel="1"/>
    <row r="66" outlineLevel="1"/>
    <row r="67" outlineLevel="1"/>
    <row r="68" outlineLevel="1"/>
    <row r="69" outlineLevel="1"/>
    <row r="70" outlineLevel="1"/>
    <row r="71" outlineLevel="1"/>
    <row r="72" outlineLevel="1"/>
    <row r="73" outlineLevel="1"/>
    <row r="74" outlineLevel="1"/>
    <row r="75" outlineLevel="1"/>
    <row r="76" outlineLevel="1"/>
    <row r="77" outlineLevel="1"/>
    <row r="78" outlineLevel="1"/>
    <row r="79" outlineLevel="1"/>
    <row r="80" outlineLevel="1"/>
    <row r="81" spans="1:7" outlineLevel="1"/>
    <row r="82" spans="1:7" outlineLevel="1"/>
    <row r="83" spans="1:7" outlineLevel="1"/>
    <row r="84" spans="1:7" outlineLevel="1"/>
    <row r="85" spans="1:7" outlineLevel="1"/>
    <row r="86" spans="1:7" outlineLevel="1"/>
    <row r="87" spans="1:7" outlineLevel="1"/>
    <row r="88" spans="1:7" outlineLevel="1"/>
    <row r="89" spans="1:7" outlineLevel="1"/>
    <row r="90" spans="1:7" outlineLevel="1"/>
    <row r="91" spans="1:7" outlineLevel="1"/>
    <row r="93" spans="1:7" ht="21">
      <c r="B93" s="17" t="s">
        <v>61</v>
      </c>
    </row>
    <row r="95" spans="1:7">
      <c r="A95" s="44"/>
      <c r="B95" s="44"/>
      <c r="C95" s="44"/>
      <c r="D95" s="44"/>
      <c r="E95" s="44"/>
      <c r="F95" s="44"/>
      <c r="G95" s="44"/>
    </row>
    <row r="96" spans="1:7">
      <c r="A96" s="44"/>
      <c r="B96" s="44"/>
      <c r="C96" s="44"/>
      <c r="D96" s="44"/>
      <c r="E96" s="44"/>
      <c r="F96" s="44"/>
      <c r="G96" s="44"/>
    </row>
    <row r="97" spans="1:7">
      <c r="A97" s="44"/>
      <c r="B97" s="44"/>
      <c r="C97" s="44"/>
      <c r="D97" s="44"/>
      <c r="E97" s="44"/>
      <c r="F97" s="44"/>
      <c r="G97" s="44"/>
    </row>
    <row r="98" spans="1:7">
      <c r="A98" s="44"/>
      <c r="B98" s="44"/>
      <c r="C98" s="44"/>
      <c r="D98" s="44"/>
      <c r="E98" s="44"/>
      <c r="F98" s="44"/>
      <c r="G98" s="44"/>
    </row>
    <row r="99" spans="1:7">
      <c r="A99" s="44"/>
      <c r="B99" s="44"/>
      <c r="C99" s="44"/>
      <c r="D99" s="44"/>
      <c r="E99" s="44"/>
      <c r="F99" s="44"/>
      <c r="G99" s="44"/>
    </row>
    <row r="100" spans="1:7">
      <c r="A100" s="44"/>
      <c r="B100" s="44"/>
      <c r="C100" s="44"/>
      <c r="D100" s="44"/>
      <c r="E100" s="44"/>
      <c r="F100" s="44"/>
      <c r="G100" s="44"/>
    </row>
    <row r="101" spans="1:7">
      <c r="A101" s="44"/>
      <c r="B101" s="44"/>
      <c r="C101" s="44"/>
      <c r="D101" s="44"/>
      <c r="E101" s="44"/>
      <c r="F101" s="44"/>
      <c r="G101" s="44"/>
    </row>
    <row r="102" spans="1:7">
      <c r="A102" s="44"/>
      <c r="B102" s="44"/>
      <c r="C102" s="44"/>
      <c r="D102" s="44"/>
      <c r="E102" s="44"/>
      <c r="F102" s="44"/>
      <c r="G102" s="44"/>
    </row>
    <row r="103" spans="1:7">
      <c r="A103" s="44"/>
      <c r="B103" s="44"/>
      <c r="C103" s="44"/>
      <c r="D103" s="44"/>
      <c r="E103" s="44"/>
      <c r="F103" s="44"/>
      <c r="G103" s="44"/>
    </row>
    <row r="104" spans="1:7">
      <c r="A104" s="44"/>
      <c r="B104" s="44"/>
      <c r="C104" s="44"/>
      <c r="D104" s="44"/>
      <c r="E104" s="44"/>
      <c r="F104" s="44"/>
      <c r="G104" s="44"/>
    </row>
    <row r="105" spans="1:7">
      <c r="A105" s="44"/>
      <c r="B105" s="44"/>
      <c r="C105" s="44"/>
      <c r="D105" s="44"/>
      <c r="E105" s="44"/>
      <c r="F105" s="44"/>
      <c r="G105" s="44"/>
    </row>
    <row r="106" spans="1:7">
      <c r="A106" s="44"/>
      <c r="B106" s="44"/>
      <c r="C106" s="44"/>
      <c r="D106" s="44"/>
      <c r="E106" s="44"/>
      <c r="F106" s="44"/>
      <c r="G106" s="44"/>
    </row>
    <row r="107" spans="1:7">
      <c r="A107" s="44"/>
      <c r="B107" s="44"/>
      <c r="C107" s="44"/>
      <c r="D107" s="44"/>
      <c r="E107" s="44"/>
      <c r="F107" s="44"/>
      <c r="G107" s="44"/>
    </row>
    <row r="108" spans="1:7">
      <c r="A108" s="44"/>
      <c r="B108" s="44"/>
      <c r="C108" s="44"/>
      <c r="D108" s="44"/>
      <c r="E108" s="44"/>
      <c r="F108" s="44"/>
      <c r="G108" s="44"/>
    </row>
    <row r="109" spans="1:7">
      <c r="A109" s="44"/>
      <c r="B109" s="44"/>
      <c r="C109" s="44"/>
      <c r="D109" s="44"/>
      <c r="E109" s="44"/>
      <c r="F109" s="44"/>
      <c r="G109" s="44"/>
    </row>
    <row r="110" spans="1:7">
      <c r="A110" s="44"/>
      <c r="B110" s="44"/>
      <c r="C110" s="44"/>
      <c r="D110" s="44"/>
      <c r="E110" s="44"/>
      <c r="F110" s="44"/>
      <c r="G110" s="44"/>
    </row>
    <row r="111" spans="1:7">
      <c r="A111" s="44"/>
      <c r="B111" s="44"/>
      <c r="C111" s="44"/>
      <c r="D111" s="44"/>
      <c r="E111" s="44"/>
      <c r="F111" s="44"/>
      <c r="G111" s="44"/>
    </row>
    <row r="112" spans="1:7">
      <c r="A112" s="44"/>
      <c r="B112" s="44"/>
      <c r="C112" s="44"/>
      <c r="D112" s="44"/>
      <c r="E112" s="44"/>
      <c r="F112" s="44"/>
      <c r="G112" s="44"/>
    </row>
    <row r="113" spans="1:14">
      <c r="A113" s="44"/>
      <c r="B113" s="44"/>
      <c r="C113" s="44"/>
      <c r="D113" s="44"/>
      <c r="E113" s="44"/>
      <c r="F113" s="44"/>
      <c r="G113" s="44"/>
    </row>
    <row r="114" spans="1:14">
      <c r="A114" s="44"/>
      <c r="B114" s="44"/>
      <c r="C114" s="44"/>
      <c r="D114" s="44"/>
      <c r="E114" s="44"/>
      <c r="F114" s="44"/>
      <c r="G114" s="44"/>
    </row>
    <row r="115" spans="1:14">
      <c r="A115" s="44"/>
      <c r="C115" s="44"/>
      <c r="D115" s="44"/>
      <c r="E115" s="44"/>
      <c r="F115" s="44"/>
      <c r="G115" s="44"/>
    </row>
    <row r="116" spans="1:14" ht="21">
      <c r="A116" s="44"/>
      <c r="B116" s="17" t="s">
        <v>525</v>
      </c>
      <c r="C116" s="44"/>
      <c r="D116" s="44"/>
      <c r="E116" s="44"/>
      <c r="F116" s="44"/>
      <c r="G116" s="44"/>
    </row>
    <row r="117" spans="1:14">
      <c r="C117" s="137">
        <v>2016</v>
      </c>
      <c r="D117" s="138">
        <v>2017</v>
      </c>
      <c r="E117" s="138">
        <v>2018</v>
      </c>
      <c r="F117" s="138">
        <v>2019</v>
      </c>
      <c r="G117" s="138">
        <v>2020</v>
      </c>
      <c r="H117" s="138">
        <v>2021</v>
      </c>
      <c r="I117" s="138">
        <v>2022</v>
      </c>
      <c r="J117" s="138">
        <v>2023</v>
      </c>
      <c r="K117" s="138">
        <v>2024</v>
      </c>
      <c r="L117" s="138">
        <v>2025</v>
      </c>
      <c r="M117" s="138">
        <v>2026</v>
      </c>
      <c r="N117" s="138">
        <v>2027</v>
      </c>
    </row>
    <row r="118" spans="1:14">
      <c r="B118" s="205" t="s">
        <v>96</v>
      </c>
      <c r="C118" s="135">
        <f>SUM(Telecom!E41:E59)</f>
        <v>245415.4</v>
      </c>
      <c r="D118" s="136">
        <f>SUM(Telecom!F41:F59)</f>
        <v>271656.19999999995</v>
      </c>
      <c r="E118" s="136">
        <f>SUM(Telecom!G41:G59)</f>
        <v>285370.67529411765</v>
      </c>
      <c r="F118" s="136">
        <f>SUM(Telecom!H41:H59)</f>
        <v>0</v>
      </c>
      <c r="G118" s="136">
        <f>SUM(Telecom!I41:I59)</f>
        <v>0</v>
      </c>
      <c r="H118" s="136">
        <f>SUM(Telecom!J41:J59)</f>
        <v>0</v>
      </c>
      <c r="I118" s="136">
        <f>SUM(Telecom!K41:K59)</f>
        <v>0</v>
      </c>
      <c r="J118" s="136">
        <f>SUM(Telecom!L41:L59)</f>
        <v>0</v>
      </c>
      <c r="K118" s="136">
        <f>SUM(Telecom!M41:M59)</f>
        <v>0</v>
      </c>
      <c r="L118" s="136">
        <f>SUM(Telecom!N41:N59)</f>
        <v>0</v>
      </c>
      <c r="M118" s="136">
        <f>SUM(Telecom!O41:O59)</f>
        <v>0</v>
      </c>
      <c r="N118" s="136">
        <f>SUM(Telecom!P41:P59)</f>
        <v>0</v>
      </c>
    </row>
    <row r="119" spans="1:14">
      <c r="B119" s="286" t="s">
        <v>145</v>
      </c>
      <c r="C119" s="133">
        <f>SUM(Cloud!E41:E59)</f>
        <v>672463.4</v>
      </c>
      <c r="D119" s="134">
        <f>SUM(Cloud!F41:F59)</f>
        <v>2603279.4</v>
      </c>
      <c r="E119" s="134">
        <f>SUM(Cloud!G41:G59)</f>
        <v>5563468.1455182061</v>
      </c>
      <c r="F119" s="134">
        <f>SUM(Cloud!H41:H59)</f>
        <v>0</v>
      </c>
      <c r="G119" s="134">
        <f>SUM(Cloud!I41:I59)</f>
        <v>0</v>
      </c>
      <c r="H119" s="134">
        <f>SUM(Cloud!J41:J59)</f>
        <v>0</v>
      </c>
      <c r="I119" s="134">
        <f>SUM(Cloud!K41:K59)</f>
        <v>0</v>
      </c>
      <c r="J119" s="134">
        <f>SUM(Cloud!L41:L59)</f>
        <v>0</v>
      </c>
      <c r="K119" s="134">
        <f>SUM(Cloud!M41:M59)</f>
        <v>0</v>
      </c>
      <c r="L119" s="134">
        <f>SUM(Cloud!N41:N59)</f>
        <v>0</v>
      </c>
      <c r="M119" s="134">
        <f>SUM(Cloud!O41:O59)</f>
        <v>0</v>
      </c>
      <c r="N119" s="134">
        <f>SUM(Cloud!P41:P59)</f>
        <v>0</v>
      </c>
    </row>
    <row r="120" spans="1:14" ht="13.5" customHeight="1">
      <c r="B120" s="372" t="s">
        <v>114</v>
      </c>
      <c r="C120" s="212">
        <f>SUM(Enterprise!E41:E59)</f>
        <v>1491.1999999999996</v>
      </c>
      <c r="D120" s="213">
        <f>SUM(Enterprise!F41:F59)</f>
        <v>6554.3999999999987</v>
      </c>
      <c r="E120" s="213">
        <f>SUM(Enterprise!G41:G59)</f>
        <v>338179.91588235291</v>
      </c>
      <c r="F120" s="213">
        <f>SUM(Enterprise!H41:H59)</f>
        <v>0</v>
      </c>
      <c r="G120" s="213">
        <f>SUM(Enterprise!I41:I59)</f>
        <v>0</v>
      </c>
      <c r="H120" s="213">
        <f>SUM(Enterprise!J41:J59)</f>
        <v>0</v>
      </c>
      <c r="I120" s="213">
        <f>SUM(Enterprise!K41:K59)</f>
        <v>0</v>
      </c>
      <c r="J120" s="213">
        <f>SUM(Enterprise!L41:L59)</f>
        <v>0</v>
      </c>
      <c r="K120" s="213">
        <f>SUM(Enterprise!M41:M59)</f>
        <v>0</v>
      </c>
      <c r="L120" s="213">
        <f>SUM(Enterprise!N41:N59)</f>
        <v>0</v>
      </c>
      <c r="M120" s="213">
        <f>SUM(Enterprise!O41:O59)</f>
        <v>0</v>
      </c>
      <c r="N120" s="213">
        <f>SUM(Enterprise!P41:P59)</f>
        <v>0</v>
      </c>
    </row>
    <row r="121" spans="1:14">
      <c r="B121" s="139" t="s">
        <v>13</v>
      </c>
      <c r="C121" s="152">
        <f t="shared" ref="C121:I121" si="10">SUM(C118:C120)</f>
        <v>919370</v>
      </c>
      <c r="D121" s="153">
        <f t="shared" si="10"/>
        <v>2881489.9999999995</v>
      </c>
      <c r="E121" s="153">
        <f t="shared" si="10"/>
        <v>6187018.7366946768</v>
      </c>
      <c r="F121" s="153">
        <f t="shared" si="10"/>
        <v>0</v>
      </c>
      <c r="G121" s="153">
        <f t="shared" si="10"/>
        <v>0</v>
      </c>
      <c r="H121" s="153">
        <f t="shared" si="10"/>
        <v>0</v>
      </c>
      <c r="I121" s="153">
        <f t="shared" si="10"/>
        <v>0</v>
      </c>
      <c r="J121" s="153">
        <f>SUM(J118:J120)</f>
        <v>0</v>
      </c>
      <c r="K121" s="153">
        <f>SUM(K118:K120)</f>
        <v>0</v>
      </c>
      <c r="L121" s="153">
        <f>SUM(L118:L120)</f>
        <v>0</v>
      </c>
      <c r="M121" s="153">
        <f t="shared" ref="M121:N121" si="11">SUM(M118:M120)</f>
        <v>0</v>
      </c>
      <c r="N121" s="153">
        <f t="shared" si="11"/>
        <v>0</v>
      </c>
    </row>
    <row r="122" spans="1:14">
      <c r="B122" s="173" t="s">
        <v>90</v>
      </c>
      <c r="C122" s="174"/>
      <c r="D122" s="174">
        <f t="shared" ref="D122:L122" si="12">D121/C121-1</f>
        <v>2.1342005938849424</v>
      </c>
      <c r="E122" s="174">
        <f t="shared" si="12"/>
        <v>1.1471595378414214</v>
      </c>
      <c r="F122" s="174">
        <f t="shared" si="12"/>
        <v>-1</v>
      </c>
      <c r="G122" s="174" t="e">
        <f t="shared" si="12"/>
        <v>#DIV/0!</v>
      </c>
      <c r="H122" s="174" t="e">
        <f t="shared" si="12"/>
        <v>#DIV/0!</v>
      </c>
      <c r="I122" s="174" t="e">
        <f t="shared" si="12"/>
        <v>#DIV/0!</v>
      </c>
      <c r="J122" s="174" t="e">
        <f t="shared" si="12"/>
        <v>#DIV/0!</v>
      </c>
      <c r="K122" s="174" t="e">
        <f t="shared" si="12"/>
        <v>#DIV/0!</v>
      </c>
      <c r="L122" s="174" t="e">
        <f t="shared" si="12"/>
        <v>#DIV/0!</v>
      </c>
      <c r="M122" s="174" t="e">
        <f t="shared" ref="M122" si="13">M121/L121-1</f>
        <v>#DIV/0!</v>
      </c>
      <c r="N122" s="174" t="e">
        <f t="shared" ref="N122" si="14">N121/M121-1</f>
        <v>#DIV/0!</v>
      </c>
    </row>
    <row r="125" spans="1:14" ht="21">
      <c r="A125" s="44"/>
      <c r="B125" s="17" t="s">
        <v>526</v>
      </c>
    </row>
    <row r="126" spans="1:14">
      <c r="C126" s="137">
        <v>2016</v>
      </c>
      <c r="D126" s="138">
        <v>2017</v>
      </c>
      <c r="E126" s="138">
        <v>2018</v>
      </c>
      <c r="F126" s="138">
        <v>2019</v>
      </c>
      <c r="G126" s="138">
        <v>2020</v>
      </c>
      <c r="H126" s="138">
        <v>2021</v>
      </c>
      <c r="I126" s="138">
        <v>2022</v>
      </c>
      <c r="J126" s="138">
        <v>2023</v>
      </c>
      <c r="K126" s="138">
        <v>2024</v>
      </c>
      <c r="L126" s="138">
        <v>2025</v>
      </c>
      <c r="M126" s="138">
        <v>2026</v>
      </c>
      <c r="N126" s="138">
        <v>2027</v>
      </c>
    </row>
    <row r="127" spans="1:14">
      <c r="B127" s="205" t="str">
        <f>B118</f>
        <v>Telecom</v>
      </c>
      <c r="C127" s="135">
        <f>SUM(Telecom!E211:E229)</f>
        <v>768.76898354972968</v>
      </c>
      <c r="D127" s="136">
        <f>SUM(Telecom!F211:F229)</f>
        <v>545.28903131270965</v>
      </c>
      <c r="E127" s="136">
        <f>SUM(Telecom!G211:G229)</f>
        <v>324.8260233063321</v>
      </c>
      <c r="F127" s="136">
        <f>SUM(Telecom!H211:H229)</f>
        <v>0</v>
      </c>
      <c r="G127" s="136">
        <f>SUM(Telecom!I211:I229)</f>
        <v>0</v>
      </c>
      <c r="H127" s="136">
        <f>SUM(Telecom!J211:J229)</f>
        <v>0</v>
      </c>
      <c r="I127" s="136">
        <f>SUM(Telecom!K211:K229)</f>
        <v>0</v>
      </c>
      <c r="J127" s="136">
        <f>SUM(Telecom!L211:L229)</f>
        <v>0</v>
      </c>
      <c r="K127" s="136">
        <f>SUM(Telecom!M211:M229)</f>
        <v>0</v>
      </c>
      <c r="L127" s="136">
        <f>SUM(Telecom!N211:N229)</f>
        <v>0</v>
      </c>
      <c r="M127" s="136">
        <f>SUM(Telecom!O211:O229)</f>
        <v>0</v>
      </c>
      <c r="N127" s="136">
        <f>SUM(Telecom!P211:P229)</f>
        <v>0</v>
      </c>
    </row>
    <row r="128" spans="1:14">
      <c r="B128" s="436" t="str">
        <f>B119</f>
        <v>Cloud</v>
      </c>
      <c r="C128" s="133">
        <f>SUM(Cloud!E211:E229)</f>
        <v>360.98057201309041</v>
      </c>
      <c r="D128" s="134">
        <f>SUM(Cloud!F211:F229)</f>
        <v>1093.99654038072</v>
      </c>
      <c r="E128" s="134">
        <f>SUM(Cloud!G211:G229)</f>
        <v>1759.7492989149343</v>
      </c>
      <c r="F128" s="134">
        <f>SUM(Cloud!H211:H229)</f>
        <v>0</v>
      </c>
      <c r="G128" s="134">
        <f>SUM(Cloud!I211:I229)</f>
        <v>0</v>
      </c>
      <c r="H128" s="134">
        <f>SUM(Cloud!J211:J229)</f>
        <v>0</v>
      </c>
      <c r="I128" s="134">
        <f>SUM(Cloud!K211:K229)</f>
        <v>0</v>
      </c>
      <c r="J128" s="134">
        <f>SUM(Cloud!L211:L229)</f>
        <v>0</v>
      </c>
      <c r="K128" s="134">
        <f>SUM(Cloud!M211:M229)</f>
        <v>0</v>
      </c>
      <c r="L128" s="134">
        <f>SUM(Cloud!N211:N229)</f>
        <v>0</v>
      </c>
      <c r="M128" s="134">
        <f>SUM(Cloud!O211:O229)</f>
        <v>0</v>
      </c>
      <c r="N128" s="134">
        <f>SUM(Cloud!P211:P229)</f>
        <v>0</v>
      </c>
    </row>
    <row r="129" spans="1:14">
      <c r="B129" s="206" t="str">
        <f>B120</f>
        <v>Enterprise</v>
      </c>
      <c r="C129" s="212">
        <f>SUM(Enterprise!E211:E229)</f>
        <v>13.409407906828156</v>
      </c>
      <c r="D129" s="213">
        <f>SUM(Enterprise!F211:F229)</f>
        <v>14.688820280724084</v>
      </c>
      <c r="E129" s="213">
        <f>SUM(Enterprise!G211:G229)</f>
        <v>71.029944883907376</v>
      </c>
      <c r="F129" s="213">
        <f>SUM(Enterprise!H211:H229)</f>
        <v>0</v>
      </c>
      <c r="G129" s="213">
        <f>SUM(Enterprise!I211:I229)</f>
        <v>0</v>
      </c>
      <c r="H129" s="213">
        <f>SUM(Enterprise!J211:J229)</f>
        <v>0</v>
      </c>
      <c r="I129" s="213">
        <f>SUM(Enterprise!K211:K229)</f>
        <v>0</v>
      </c>
      <c r="J129" s="213">
        <f>SUM(Enterprise!L211:L229)</f>
        <v>0</v>
      </c>
      <c r="K129" s="213">
        <f>SUM(Enterprise!M211:M229)</f>
        <v>0</v>
      </c>
      <c r="L129" s="213">
        <f>SUM(Enterprise!N211:N229)</f>
        <v>0</v>
      </c>
      <c r="M129" s="213">
        <f>SUM(Enterprise!O211:O229)</f>
        <v>0</v>
      </c>
      <c r="N129" s="213">
        <f>SUM(Enterprise!P211:P229)</f>
        <v>0</v>
      </c>
    </row>
    <row r="130" spans="1:14">
      <c r="B130" s="139" t="str">
        <f>B121</f>
        <v>Total</v>
      </c>
      <c r="C130" s="154">
        <f t="shared" ref="C130:L130" si="15">SUM(C127:C129)</f>
        <v>1143.1589634696484</v>
      </c>
      <c r="D130" s="155">
        <f t="shared" si="15"/>
        <v>1653.9743919741536</v>
      </c>
      <c r="E130" s="155">
        <f t="shared" si="15"/>
        <v>2155.6052671051739</v>
      </c>
      <c r="F130" s="155">
        <f t="shared" si="15"/>
        <v>0</v>
      </c>
      <c r="G130" s="155">
        <f t="shared" si="15"/>
        <v>0</v>
      </c>
      <c r="H130" s="155">
        <f t="shared" si="15"/>
        <v>0</v>
      </c>
      <c r="I130" s="155">
        <f t="shared" si="15"/>
        <v>0</v>
      </c>
      <c r="J130" s="155">
        <f t="shared" si="15"/>
        <v>0</v>
      </c>
      <c r="K130" s="155">
        <f t="shared" si="15"/>
        <v>0</v>
      </c>
      <c r="L130" s="155">
        <f t="shared" si="15"/>
        <v>0</v>
      </c>
      <c r="M130" s="155">
        <f t="shared" ref="M130:N130" si="16">SUM(M127:M129)</f>
        <v>0</v>
      </c>
      <c r="N130" s="155">
        <f t="shared" si="16"/>
        <v>0</v>
      </c>
    </row>
    <row r="131" spans="1:14">
      <c r="B131" s="173" t="s">
        <v>90</v>
      </c>
      <c r="C131" s="174"/>
      <c r="D131" s="174">
        <f t="shared" ref="D131:L131" si="17">D130/C130-1</f>
        <v>0.44684549115908467</v>
      </c>
      <c r="E131" s="174">
        <f t="shared" si="17"/>
        <v>0.30328817517681328</v>
      </c>
      <c r="F131" s="174">
        <f t="shared" si="17"/>
        <v>-1</v>
      </c>
      <c r="G131" s="174" t="e">
        <f t="shared" si="17"/>
        <v>#DIV/0!</v>
      </c>
      <c r="H131" s="174" t="e">
        <f t="shared" si="17"/>
        <v>#DIV/0!</v>
      </c>
      <c r="I131" s="174" t="e">
        <f t="shared" si="17"/>
        <v>#DIV/0!</v>
      </c>
      <c r="J131" s="174" t="e">
        <f t="shared" si="17"/>
        <v>#DIV/0!</v>
      </c>
      <c r="K131" s="174" t="e">
        <f t="shared" si="17"/>
        <v>#DIV/0!</v>
      </c>
      <c r="L131" s="174" t="e">
        <f t="shared" si="17"/>
        <v>#DIV/0!</v>
      </c>
      <c r="M131" s="174" t="e">
        <f t="shared" ref="M131" si="18">M130/L130-1</f>
        <v>#DIV/0!</v>
      </c>
      <c r="N131" s="174" t="e">
        <f t="shared" ref="N131" si="19">N130/M130-1</f>
        <v>#DIV/0!</v>
      </c>
    </row>
    <row r="135" spans="1:14" ht="21">
      <c r="B135" s="17" t="s">
        <v>137</v>
      </c>
    </row>
    <row r="137" spans="1:14">
      <c r="A137" s="44"/>
      <c r="B137" s="44"/>
      <c r="C137" s="44"/>
      <c r="D137" s="44"/>
      <c r="E137" s="44"/>
      <c r="F137" s="44"/>
      <c r="G137" s="44"/>
    </row>
    <row r="138" spans="1:14">
      <c r="A138" s="44"/>
      <c r="B138" s="44"/>
      <c r="C138" s="44"/>
      <c r="D138" s="44"/>
      <c r="E138" s="44"/>
      <c r="F138" s="44"/>
      <c r="G138" s="44"/>
    </row>
    <row r="139" spans="1:14">
      <c r="A139" s="44"/>
      <c r="B139" s="44"/>
      <c r="C139" s="44"/>
      <c r="D139" s="44"/>
      <c r="E139" s="44"/>
      <c r="F139" s="44"/>
      <c r="G139" s="44"/>
    </row>
    <row r="140" spans="1:14">
      <c r="A140" s="44"/>
      <c r="B140" s="44"/>
      <c r="C140" s="44"/>
      <c r="D140" s="44"/>
      <c r="E140" s="44"/>
      <c r="F140" s="44"/>
      <c r="G140" s="44"/>
    </row>
    <row r="141" spans="1:14">
      <c r="A141" s="44"/>
      <c r="B141" s="44"/>
      <c r="C141" s="44"/>
      <c r="D141" s="44"/>
      <c r="E141" s="44"/>
      <c r="F141" s="44"/>
      <c r="G141" s="44"/>
    </row>
    <row r="142" spans="1:14">
      <c r="A142" s="44"/>
      <c r="B142" s="44"/>
      <c r="C142" s="44"/>
      <c r="D142" s="44"/>
      <c r="E142" s="44"/>
      <c r="F142" s="44"/>
      <c r="G142" s="44"/>
    </row>
    <row r="143" spans="1:14">
      <c r="A143" s="44"/>
      <c r="B143" s="44"/>
      <c r="C143" s="44"/>
      <c r="D143" s="44"/>
      <c r="E143" s="44"/>
      <c r="F143" s="44"/>
      <c r="G143" s="44"/>
    </row>
    <row r="144" spans="1:14">
      <c r="A144" s="44"/>
      <c r="B144" s="44"/>
      <c r="C144" s="44"/>
      <c r="D144" s="44"/>
      <c r="E144" s="44"/>
      <c r="F144" s="44"/>
      <c r="G144" s="44"/>
    </row>
    <row r="145" spans="1:14">
      <c r="A145" s="44"/>
      <c r="B145" s="44"/>
      <c r="C145" s="44"/>
      <c r="D145" s="44"/>
      <c r="E145" s="44"/>
      <c r="F145" s="44"/>
      <c r="G145" s="44"/>
    </row>
    <row r="146" spans="1:14">
      <c r="A146" s="44"/>
      <c r="B146" s="44"/>
      <c r="C146" s="44"/>
      <c r="D146" s="44"/>
      <c r="E146" s="44"/>
      <c r="F146" s="44"/>
      <c r="G146" s="44"/>
    </row>
    <row r="147" spans="1:14">
      <c r="A147" s="44"/>
      <c r="B147" s="44"/>
      <c r="C147" s="44"/>
      <c r="D147" s="44"/>
      <c r="E147" s="44"/>
      <c r="F147" s="44"/>
      <c r="G147" s="44"/>
    </row>
    <row r="148" spans="1:14">
      <c r="A148" s="44"/>
      <c r="B148" s="44"/>
      <c r="C148" s="44"/>
      <c r="D148" s="44"/>
      <c r="E148" s="44"/>
      <c r="F148" s="44"/>
      <c r="G148" s="44"/>
    </row>
    <row r="149" spans="1:14">
      <c r="A149" s="44"/>
      <c r="B149" s="44"/>
      <c r="C149" s="44"/>
      <c r="D149" s="44"/>
      <c r="E149" s="44"/>
      <c r="F149" s="44"/>
      <c r="G149" s="44"/>
    </row>
    <row r="150" spans="1:14">
      <c r="A150" s="44"/>
      <c r="B150" s="44"/>
      <c r="C150" s="44"/>
      <c r="D150" s="44"/>
      <c r="E150" s="44"/>
      <c r="F150" s="44"/>
      <c r="G150" s="44"/>
    </row>
    <row r="151" spans="1:14">
      <c r="A151" s="44"/>
      <c r="B151" s="44"/>
      <c r="C151" s="44"/>
      <c r="D151" s="44"/>
      <c r="E151" s="44"/>
      <c r="F151" s="44"/>
      <c r="G151" s="44"/>
    </row>
    <row r="152" spans="1:14">
      <c r="A152" s="44"/>
      <c r="B152" s="44"/>
      <c r="C152" s="44"/>
      <c r="D152" s="44"/>
      <c r="E152" s="44"/>
      <c r="F152" s="44"/>
      <c r="G152" s="44"/>
    </row>
    <row r="153" spans="1:14">
      <c r="A153" s="44"/>
      <c r="B153" s="44"/>
      <c r="C153" s="44"/>
      <c r="D153" s="44"/>
      <c r="E153" s="44"/>
      <c r="F153" s="44"/>
      <c r="G153" s="44"/>
    </row>
    <row r="154" spans="1:14">
      <c r="A154" s="44"/>
      <c r="B154" s="44"/>
      <c r="C154" s="44"/>
      <c r="D154" s="44"/>
      <c r="E154" s="44"/>
      <c r="F154" s="44"/>
      <c r="G154" s="44"/>
    </row>
    <row r="155" spans="1:14">
      <c r="A155" s="44"/>
      <c r="B155" s="44"/>
      <c r="C155" s="44"/>
      <c r="D155" s="44"/>
      <c r="E155" s="44"/>
      <c r="F155" s="44"/>
      <c r="G155" s="44"/>
    </row>
    <row r="156" spans="1:14">
      <c r="A156" s="44"/>
      <c r="B156" s="44"/>
      <c r="C156" s="44"/>
      <c r="D156" s="44"/>
      <c r="E156" s="44"/>
      <c r="F156" s="44"/>
      <c r="G156" s="44"/>
    </row>
    <row r="157" spans="1:14">
      <c r="A157" s="44"/>
      <c r="C157" s="44"/>
      <c r="D157" s="44"/>
      <c r="E157" s="44"/>
      <c r="F157" s="44"/>
      <c r="G157" s="44"/>
    </row>
    <row r="158" spans="1:14" ht="21">
      <c r="A158" s="44"/>
      <c r="B158" s="17" t="s">
        <v>523</v>
      </c>
      <c r="C158" s="44"/>
      <c r="D158" s="44"/>
      <c r="E158" s="44"/>
      <c r="F158" s="44"/>
      <c r="G158" s="44"/>
    </row>
    <row r="159" spans="1:14">
      <c r="C159" s="198">
        <v>2016</v>
      </c>
      <c r="D159" s="199">
        <v>2017</v>
      </c>
      <c r="E159" s="199">
        <v>2018</v>
      </c>
      <c r="F159" s="199">
        <v>2019</v>
      </c>
      <c r="G159" s="199">
        <v>2020</v>
      </c>
      <c r="H159" s="199">
        <v>2021</v>
      </c>
      <c r="I159" s="199">
        <v>2022</v>
      </c>
      <c r="J159" s="199">
        <v>2023</v>
      </c>
      <c r="K159" s="199">
        <v>2024</v>
      </c>
      <c r="L159" s="199">
        <v>2025</v>
      </c>
      <c r="M159" s="199">
        <v>2026</v>
      </c>
      <c r="N159" s="199">
        <v>2027</v>
      </c>
    </row>
    <row r="160" spans="1:14">
      <c r="B160" s="205" t="s">
        <v>96</v>
      </c>
      <c r="C160" s="135">
        <f>SUM(Telecom!E60:E68)</f>
        <v>0</v>
      </c>
      <c r="D160" s="136">
        <f>SUM(Telecom!F60:F68)</f>
        <v>0</v>
      </c>
      <c r="E160" s="129">
        <f>SUM(Telecom!G60:G68)</f>
        <v>0</v>
      </c>
      <c r="F160" s="129">
        <f>SUM(Telecom!H60:H68)</f>
        <v>0</v>
      </c>
      <c r="G160" s="129">
        <f>SUM(Telecom!I60:I68)</f>
        <v>0</v>
      </c>
      <c r="H160" s="129">
        <f>SUM(Telecom!J60:J68)</f>
        <v>0</v>
      </c>
      <c r="I160" s="129">
        <f>SUM(Telecom!K60:K68)</f>
        <v>0</v>
      </c>
      <c r="J160" s="129">
        <f>SUM(Telecom!L60:L68)</f>
        <v>0</v>
      </c>
      <c r="K160" s="129">
        <f>SUM(Telecom!M60:M68)</f>
        <v>0</v>
      </c>
      <c r="L160" s="129">
        <f>SUM(Telecom!N60:N68)</f>
        <v>0</v>
      </c>
      <c r="M160" s="129">
        <f>SUM(Telecom!O60:O68)</f>
        <v>0</v>
      </c>
      <c r="N160" s="129">
        <f>SUM(Telecom!P60:P68)</f>
        <v>0</v>
      </c>
    </row>
    <row r="161" spans="1:14">
      <c r="B161" s="286" t="s">
        <v>145</v>
      </c>
      <c r="C161" s="133">
        <f>SUM(Cloud!E60:E68)</f>
        <v>0</v>
      </c>
      <c r="D161" s="134">
        <f>SUM(Cloud!F60:F68)</f>
        <v>0</v>
      </c>
      <c r="E161" s="129">
        <f>SUM(Cloud!G60:G68)</f>
        <v>38000</v>
      </c>
      <c r="F161" s="129">
        <f>SUM(Cloud!H60:H68)</f>
        <v>0</v>
      </c>
      <c r="G161" s="129">
        <f>SUM(Cloud!I60:I68)</f>
        <v>0</v>
      </c>
      <c r="H161" s="129">
        <f>SUM(Cloud!J60:J68)</f>
        <v>0</v>
      </c>
      <c r="I161" s="129">
        <f>SUM(Cloud!K60:K68)</f>
        <v>0</v>
      </c>
      <c r="J161" s="129">
        <f>SUM(Cloud!L60:L68)</f>
        <v>0</v>
      </c>
      <c r="K161" s="129">
        <f>SUM(Cloud!M60:M68)</f>
        <v>0</v>
      </c>
      <c r="L161" s="129">
        <f>SUM(Cloud!N60:N68)</f>
        <v>0</v>
      </c>
      <c r="M161" s="129">
        <f>SUM(Cloud!O60:O68)</f>
        <v>0</v>
      </c>
      <c r="N161" s="129">
        <f>SUM(Cloud!P60:P68)</f>
        <v>0</v>
      </c>
    </row>
    <row r="162" spans="1:14" ht="13.5" customHeight="1">
      <c r="B162" s="372" t="s">
        <v>114</v>
      </c>
      <c r="C162" s="212">
        <f>SUM(Enterprise!E60:E68)</f>
        <v>0</v>
      </c>
      <c r="D162" s="213">
        <f>SUM(Enterprise!F60:F68)</f>
        <v>0</v>
      </c>
      <c r="E162" s="129">
        <f>SUM(Enterprise!G60:G68)</f>
        <v>0</v>
      </c>
      <c r="F162" s="129">
        <f>SUM(Enterprise!H60:H68)</f>
        <v>0</v>
      </c>
      <c r="G162" s="129">
        <f>SUM(Enterprise!I60:I68)</f>
        <v>0</v>
      </c>
      <c r="H162" s="129">
        <f>SUM(Enterprise!J60:J68)</f>
        <v>0</v>
      </c>
      <c r="I162" s="129">
        <f>SUM(Enterprise!K60:K68)</f>
        <v>0</v>
      </c>
      <c r="J162" s="129">
        <f>SUM(Enterprise!L60:L68)</f>
        <v>0</v>
      </c>
      <c r="K162" s="129">
        <f>SUM(Enterprise!M60:M68)</f>
        <v>0</v>
      </c>
      <c r="L162" s="129">
        <f>SUM(Enterprise!N60:N68)</f>
        <v>0</v>
      </c>
      <c r="M162" s="129">
        <f>SUM(Enterprise!O60:O68)</f>
        <v>0</v>
      </c>
      <c r="N162" s="129">
        <f>SUM(Enterprise!P60:P68)</f>
        <v>0</v>
      </c>
    </row>
    <row r="163" spans="1:14">
      <c r="B163" s="139" t="s">
        <v>13</v>
      </c>
      <c r="C163" s="152">
        <f t="shared" ref="C163:I163" si="20">SUM(C160:C162)</f>
        <v>0</v>
      </c>
      <c r="D163" s="153">
        <f t="shared" si="20"/>
        <v>0</v>
      </c>
      <c r="E163" s="153">
        <f t="shared" si="20"/>
        <v>38000</v>
      </c>
      <c r="F163" s="153">
        <f t="shared" si="20"/>
        <v>0</v>
      </c>
      <c r="G163" s="153">
        <f t="shared" si="20"/>
        <v>0</v>
      </c>
      <c r="H163" s="153">
        <f t="shared" si="20"/>
        <v>0</v>
      </c>
      <c r="I163" s="153">
        <f t="shared" si="20"/>
        <v>0</v>
      </c>
      <c r="J163" s="153">
        <f>SUM(J160:J162)</f>
        <v>0</v>
      </c>
      <c r="K163" s="153">
        <f>SUM(K160:K162)</f>
        <v>0</v>
      </c>
      <c r="L163" s="153">
        <f>SUM(L160:L162)</f>
        <v>0</v>
      </c>
      <c r="M163" s="153">
        <f t="shared" ref="M163:N163" si="21">SUM(M160:M162)</f>
        <v>0</v>
      </c>
      <c r="N163" s="153">
        <f t="shared" si="21"/>
        <v>0</v>
      </c>
    </row>
    <row r="164" spans="1:14">
      <c r="B164" s="173" t="s">
        <v>90</v>
      </c>
      <c r="C164" s="174"/>
      <c r="D164" s="174"/>
      <c r="E164" s="174"/>
      <c r="F164" s="174">
        <f t="shared" ref="F164:L164" si="22">F163/E163-1</f>
        <v>-1</v>
      </c>
      <c r="G164" s="174" t="e">
        <f t="shared" si="22"/>
        <v>#DIV/0!</v>
      </c>
      <c r="H164" s="174" t="e">
        <f t="shared" si="22"/>
        <v>#DIV/0!</v>
      </c>
      <c r="I164" s="174" t="e">
        <f t="shared" si="22"/>
        <v>#DIV/0!</v>
      </c>
      <c r="J164" s="174" t="e">
        <f t="shared" si="22"/>
        <v>#DIV/0!</v>
      </c>
      <c r="K164" s="174" t="e">
        <f t="shared" si="22"/>
        <v>#DIV/0!</v>
      </c>
      <c r="L164" s="174" t="e">
        <f t="shared" si="22"/>
        <v>#DIV/0!</v>
      </c>
      <c r="M164" s="174" t="e">
        <f t="shared" ref="M164" si="23">M163/L163-1</f>
        <v>#DIV/0!</v>
      </c>
      <c r="N164" s="174" t="e">
        <f t="shared" ref="N164" si="24">N163/M163-1</f>
        <v>#DIV/0!</v>
      </c>
    </row>
    <row r="167" spans="1:14" ht="21">
      <c r="A167" s="44"/>
      <c r="B167" s="17" t="s">
        <v>524</v>
      </c>
    </row>
    <row r="168" spans="1:14">
      <c r="C168" s="137">
        <v>2016</v>
      </c>
      <c r="D168" s="138">
        <v>2017</v>
      </c>
      <c r="E168" s="138">
        <v>2018</v>
      </c>
      <c r="F168" s="138">
        <v>2019</v>
      </c>
      <c r="G168" s="138">
        <v>2020</v>
      </c>
      <c r="H168" s="138">
        <v>2021</v>
      </c>
      <c r="I168" s="138">
        <v>2022</v>
      </c>
      <c r="J168" s="138">
        <v>2023</v>
      </c>
      <c r="K168" s="138">
        <v>2024</v>
      </c>
      <c r="L168" s="138">
        <v>2025</v>
      </c>
      <c r="M168" s="138">
        <v>2026</v>
      </c>
      <c r="N168" s="138">
        <v>2027</v>
      </c>
    </row>
    <row r="169" spans="1:14">
      <c r="B169" s="205" t="str">
        <f>B160</f>
        <v>Telecom</v>
      </c>
      <c r="C169" s="141">
        <f>SUM(Telecom!E230:E238)</f>
        <v>0</v>
      </c>
      <c r="D169" s="142">
        <f>SUM(Telecom!F230:F238)</f>
        <v>0</v>
      </c>
      <c r="E169" s="142">
        <f>SUM(Telecom!G230:G238)</f>
        <v>0</v>
      </c>
      <c r="F169" s="142">
        <f>SUM(Telecom!H230:H238)</f>
        <v>0</v>
      </c>
      <c r="G169" s="142">
        <f>SUM(Telecom!I230:I238)</f>
        <v>0</v>
      </c>
      <c r="H169" s="142">
        <f>SUM(Telecom!J230:J238)</f>
        <v>0</v>
      </c>
      <c r="I169" s="142">
        <f>SUM(Telecom!K230:K238)</f>
        <v>0</v>
      </c>
      <c r="J169" s="142">
        <f>SUM(Telecom!L230:L238)</f>
        <v>0</v>
      </c>
      <c r="K169" s="142">
        <f>SUM(Telecom!M230:M238)</f>
        <v>0</v>
      </c>
      <c r="L169" s="142">
        <f>SUM(Telecom!N230:N238)</f>
        <v>0</v>
      </c>
      <c r="M169" s="142">
        <f>SUM(Telecom!O230:O238)</f>
        <v>0</v>
      </c>
      <c r="N169" s="142">
        <f>SUM(Telecom!P230:P238)</f>
        <v>0</v>
      </c>
    </row>
    <row r="170" spans="1:14">
      <c r="B170" s="436" t="str">
        <f>B161</f>
        <v>Cloud</v>
      </c>
      <c r="C170" s="143">
        <f>SUM(Cloud!E230:E238)</f>
        <v>0</v>
      </c>
      <c r="D170" s="144">
        <f>SUM(Cloud!F230:F238)</f>
        <v>0</v>
      </c>
      <c r="E170" s="144">
        <f>SUM(Cloud!G230:G238)</f>
        <v>40.311999999999998</v>
      </c>
      <c r="F170" s="144">
        <f>SUM(Cloud!H230:H238)</f>
        <v>0</v>
      </c>
      <c r="G170" s="144">
        <f>SUM(Cloud!I230:I238)</f>
        <v>0</v>
      </c>
      <c r="H170" s="144">
        <f>SUM(Cloud!J230:J238)</f>
        <v>0</v>
      </c>
      <c r="I170" s="144">
        <f>SUM(Cloud!K230:K238)</f>
        <v>0</v>
      </c>
      <c r="J170" s="144">
        <f>SUM(Cloud!L230:L238)</f>
        <v>0</v>
      </c>
      <c r="K170" s="144">
        <f>SUM(Cloud!M230:M238)</f>
        <v>0</v>
      </c>
      <c r="L170" s="144">
        <f>SUM(Cloud!N230:N238)</f>
        <v>0</v>
      </c>
      <c r="M170" s="144">
        <f>SUM(Cloud!O230:O238)</f>
        <v>0</v>
      </c>
      <c r="N170" s="144">
        <f>SUM(Cloud!P230:P238)</f>
        <v>0</v>
      </c>
    </row>
    <row r="171" spans="1:14">
      <c r="B171" s="206" t="str">
        <f>B162</f>
        <v>Enterprise</v>
      </c>
      <c r="C171" s="538">
        <f>SUM(Enterprise!E230:E238)</f>
        <v>0</v>
      </c>
      <c r="D171" s="437">
        <f>SUM(Enterprise!F230:F238)</f>
        <v>0</v>
      </c>
      <c r="E171" s="437">
        <f>SUM(Enterprise!G230:G238)</f>
        <v>0</v>
      </c>
      <c r="F171" s="437">
        <f>SUM(Enterprise!H230:H238)</f>
        <v>0</v>
      </c>
      <c r="G171" s="437">
        <f>SUM(Enterprise!I230:I238)</f>
        <v>0</v>
      </c>
      <c r="H171" s="437">
        <f>SUM(Enterprise!J230:J238)</f>
        <v>0</v>
      </c>
      <c r="I171" s="437">
        <f>SUM(Enterprise!K230:K238)</f>
        <v>0</v>
      </c>
      <c r="J171" s="437">
        <f>SUM(Enterprise!L230:L238)</f>
        <v>0</v>
      </c>
      <c r="K171" s="437">
        <f>SUM(Enterprise!M230:M238)</f>
        <v>0</v>
      </c>
      <c r="L171" s="437">
        <f>SUM(Enterprise!N230:N238)</f>
        <v>0</v>
      </c>
      <c r="M171" s="437">
        <f>SUM(Enterprise!O230:O238)</f>
        <v>0</v>
      </c>
      <c r="N171" s="437">
        <f>SUM(Enterprise!P230:P238)</f>
        <v>0</v>
      </c>
    </row>
    <row r="172" spans="1:14">
      <c r="B172" s="139" t="str">
        <f>B163</f>
        <v>Total</v>
      </c>
      <c r="C172" s="154">
        <f t="shared" ref="C172:I172" si="25">SUM(C169:C171)</f>
        <v>0</v>
      </c>
      <c r="D172" s="155">
        <f t="shared" si="25"/>
        <v>0</v>
      </c>
      <c r="E172" s="155">
        <f t="shared" si="25"/>
        <v>40.311999999999998</v>
      </c>
      <c r="F172" s="155">
        <f t="shared" si="25"/>
        <v>0</v>
      </c>
      <c r="G172" s="155">
        <f t="shared" si="25"/>
        <v>0</v>
      </c>
      <c r="H172" s="155">
        <f t="shared" si="25"/>
        <v>0</v>
      </c>
      <c r="I172" s="155">
        <f t="shared" si="25"/>
        <v>0</v>
      </c>
      <c r="J172" s="155">
        <f>SUM(J169:J171)</f>
        <v>0</v>
      </c>
      <c r="K172" s="155">
        <f>SUM(K169:K171)</f>
        <v>0</v>
      </c>
      <c r="L172" s="155">
        <f>SUM(L169:L171)</f>
        <v>0</v>
      </c>
      <c r="M172" s="155">
        <f t="shared" ref="M172:N172" si="26">SUM(M169:M171)</f>
        <v>0</v>
      </c>
      <c r="N172" s="155">
        <f t="shared" si="26"/>
        <v>0</v>
      </c>
    </row>
    <row r="173" spans="1:14">
      <c r="B173" s="173" t="s">
        <v>90</v>
      </c>
      <c r="C173" s="174"/>
      <c r="D173" s="174"/>
      <c r="E173" s="174"/>
      <c r="F173" s="174">
        <f t="shared" ref="F173:L173" si="27">F172/E172-1</f>
        <v>-1</v>
      </c>
      <c r="G173" s="174" t="e">
        <f t="shared" si="27"/>
        <v>#DIV/0!</v>
      </c>
      <c r="H173" s="174" t="e">
        <f t="shared" si="27"/>
        <v>#DIV/0!</v>
      </c>
      <c r="I173" s="174" t="e">
        <f t="shared" si="27"/>
        <v>#DIV/0!</v>
      </c>
      <c r="J173" s="174" t="e">
        <f t="shared" si="27"/>
        <v>#DIV/0!</v>
      </c>
      <c r="K173" s="174" t="e">
        <f t="shared" si="27"/>
        <v>#DIV/0!</v>
      </c>
      <c r="L173" s="174" t="e">
        <f t="shared" si="27"/>
        <v>#DIV/0!</v>
      </c>
      <c r="M173" s="174" t="e">
        <f t="shared" ref="M173" si="28">M172/L172-1</f>
        <v>#DIV/0!</v>
      </c>
      <c r="N173" s="174" t="e">
        <f t="shared" ref="N173" si="29">N172/M172-1</f>
        <v>#DIV/0!</v>
      </c>
    </row>
    <row r="174" spans="1:14" ht="14.4">
      <c r="B174" s="16"/>
    </row>
    <row r="177" spans="1:7" ht="21">
      <c r="B177" s="17" t="s">
        <v>127</v>
      </c>
    </row>
    <row r="179" spans="1:7">
      <c r="A179" s="44"/>
      <c r="B179" s="44"/>
      <c r="C179" s="44"/>
      <c r="D179" s="44"/>
      <c r="E179" s="44"/>
      <c r="F179" s="44"/>
      <c r="G179" s="44"/>
    </row>
    <row r="180" spans="1:7">
      <c r="A180" s="44"/>
      <c r="B180" s="44"/>
      <c r="C180" s="44"/>
      <c r="D180" s="44"/>
      <c r="E180" s="44"/>
      <c r="F180" s="44"/>
      <c r="G180" s="44"/>
    </row>
    <row r="181" spans="1:7">
      <c r="A181" s="44"/>
      <c r="B181" s="44"/>
      <c r="C181" s="44"/>
      <c r="D181" s="44"/>
      <c r="E181" s="44"/>
      <c r="F181" s="44"/>
      <c r="G181" s="44"/>
    </row>
    <row r="182" spans="1:7">
      <c r="A182" s="44"/>
      <c r="B182" s="44"/>
      <c r="C182" s="44"/>
      <c r="D182" s="44"/>
      <c r="E182" s="44"/>
      <c r="F182" s="44"/>
      <c r="G182" s="44"/>
    </row>
    <row r="183" spans="1:7">
      <c r="A183" s="44"/>
      <c r="B183" s="44"/>
      <c r="C183" s="44"/>
      <c r="D183" s="44"/>
      <c r="E183" s="44"/>
      <c r="F183" s="44"/>
      <c r="G183" s="44"/>
    </row>
    <row r="184" spans="1:7">
      <c r="A184" s="44"/>
      <c r="B184" s="44"/>
      <c r="C184" s="44"/>
      <c r="D184" s="44"/>
      <c r="E184" s="44"/>
      <c r="F184" s="44"/>
      <c r="G184" s="44"/>
    </row>
    <row r="185" spans="1:7">
      <c r="A185" s="44"/>
      <c r="B185" s="44"/>
      <c r="C185" s="44"/>
      <c r="D185" s="44"/>
      <c r="E185" s="44"/>
      <c r="F185" s="44"/>
      <c r="G185" s="44"/>
    </row>
    <row r="186" spans="1:7">
      <c r="A186" s="44"/>
      <c r="B186" s="44"/>
      <c r="C186" s="44"/>
      <c r="D186" s="44"/>
      <c r="E186" s="44"/>
      <c r="F186" s="44"/>
      <c r="G186" s="44"/>
    </row>
    <row r="187" spans="1:7">
      <c r="A187" s="44"/>
      <c r="B187" s="44"/>
      <c r="C187" s="44"/>
      <c r="D187" s="44"/>
      <c r="E187" s="44"/>
      <c r="F187" s="44"/>
      <c r="G187" s="44"/>
    </row>
    <row r="188" spans="1:7">
      <c r="A188" s="44"/>
      <c r="B188" s="44"/>
      <c r="C188" s="44"/>
      <c r="D188" s="44"/>
      <c r="E188" s="44"/>
      <c r="F188" s="44"/>
      <c r="G188" s="44"/>
    </row>
    <row r="189" spans="1:7">
      <c r="A189" s="44"/>
      <c r="B189" s="44"/>
      <c r="C189" s="44"/>
      <c r="D189" s="44"/>
      <c r="E189" s="44"/>
      <c r="F189" s="44"/>
      <c r="G189" s="44"/>
    </row>
    <row r="190" spans="1:7">
      <c r="A190" s="44"/>
      <c r="B190" s="44"/>
      <c r="C190" s="44"/>
      <c r="D190" s="44"/>
      <c r="E190" s="44"/>
      <c r="F190" s="44"/>
      <c r="G190" s="44"/>
    </row>
    <row r="191" spans="1:7">
      <c r="A191" s="44"/>
      <c r="B191" s="44"/>
      <c r="C191" s="44"/>
      <c r="D191" s="44"/>
      <c r="E191" s="44"/>
      <c r="F191" s="44"/>
      <c r="G191" s="44"/>
    </row>
    <row r="192" spans="1:7">
      <c r="A192" s="44"/>
      <c r="B192" s="44"/>
      <c r="C192" s="44"/>
      <c r="D192" s="44"/>
      <c r="E192" s="44"/>
      <c r="F192" s="44"/>
      <c r="G192" s="44"/>
    </row>
    <row r="193" spans="1:14">
      <c r="A193" s="44"/>
      <c r="B193" s="44"/>
      <c r="C193" s="44"/>
      <c r="D193" s="44"/>
      <c r="E193" s="44"/>
      <c r="F193" s="44"/>
      <c r="G193" s="44"/>
    </row>
    <row r="194" spans="1:14">
      <c r="A194" s="44"/>
      <c r="B194" s="44"/>
      <c r="C194" s="44"/>
      <c r="D194" s="44"/>
      <c r="E194" s="44"/>
      <c r="F194" s="44"/>
      <c r="G194" s="44"/>
    </row>
    <row r="195" spans="1:14">
      <c r="A195" s="44"/>
      <c r="B195" s="44"/>
      <c r="C195" s="44"/>
      <c r="D195" s="44"/>
      <c r="E195" s="44"/>
      <c r="F195" s="44"/>
      <c r="G195" s="44"/>
    </row>
    <row r="196" spans="1:14">
      <c r="A196" s="44"/>
      <c r="B196" s="44"/>
      <c r="C196" s="44"/>
      <c r="D196" s="44"/>
      <c r="E196" s="44"/>
      <c r="F196" s="44"/>
      <c r="G196" s="44"/>
    </row>
    <row r="197" spans="1:14">
      <c r="A197" s="44"/>
      <c r="B197" s="44"/>
      <c r="C197" s="44"/>
      <c r="D197" s="44"/>
      <c r="E197" s="44"/>
      <c r="F197" s="44"/>
      <c r="G197" s="44"/>
    </row>
    <row r="198" spans="1:14">
      <c r="A198" s="44"/>
      <c r="B198" s="44"/>
      <c r="C198" s="44"/>
      <c r="D198" s="44"/>
      <c r="E198" s="44"/>
      <c r="F198" s="44"/>
      <c r="G198" s="44"/>
    </row>
    <row r="199" spans="1:14">
      <c r="A199" s="44"/>
      <c r="C199" s="44"/>
      <c r="D199" s="44"/>
      <c r="E199" s="44"/>
      <c r="F199" s="44"/>
      <c r="G199" s="44"/>
    </row>
    <row r="200" spans="1:14" ht="21">
      <c r="A200" s="44"/>
      <c r="B200" s="17" t="s">
        <v>521</v>
      </c>
      <c r="C200" s="44"/>
      <c r="D200" s="44"/>
      <c r="E200" s="44"/>
      <c r="F200" s="44"/>
      <c r="G200" s="44"/>
    </row>
    <row r="201" spans="1:14">
      <c r="C201" s="137">
        <v>2016</v>
      </c>
      <c r="D201" s="138">
        <v>2017</v>
      </c>
      <c r="E201" s="138">
        <v>2018</v>
      </c>
      <c r="F201" s="138">
        <v>2019</v>
      </c>
      <c r="G201" s="138">
        <v>2020</v>
      </c>
      <c r="H201" s="138">
        <v>2021</v>
      </c>
      <c r="I201" s="138">
        <v>2022</v>
      </c>
      <c r="J201" s="138">
        <v>2023</v>
      </c>
      <c r="K201" s="138">
        <v>2024</v>
      </c>
      <c r="L201" s="138">
        <v>2025</v>
      </c>
      <c r="M201" s="138">
        <v>2026</v>
      </c>
      <c r="N201" s="138">
        <v>2027</v>
      </c>
    </row>
    <row r="202" spans="1:14">
      <c r="B202" s="205" t="s">
        <v>96</v>
      </c>
      <c r="C202" s="135">
        <f>SUM(Telecom!E66:E70)</f>
        <v>0</v>
      </c>
      <c r="D202" s="136">
        <f>SUM(Telecom!F66:F70)</f>
        <v>82</v>
      </c>
      <c r="E202" s="136">
        <f>SUM(Telecom!G66:G70)</f>
        <v>900</v>
      </c>
      <c r="F202" s="136">
        <f>SUM(Telecom!H66:H70)</f>
        <v>0</v>
      </c>
      <c r="G202" s="136">
        <f>SUM(Telecom!I66:I70)</f>
        <v>0</v>
      </c>
      <c r="H202" s="136">
        <f>SUM(Telecom!J66:J70)</f>
        <v>0</v>
      </c>
      <c r="I202" s="136">
        <f>SUM(Telecom!K66:K70)</f>
        <v>0</v>
      </c>
      <c r="J202" s="136">
        <f>SUM(Telecom!L66:L70)</f>
        <v>0</v>
      </c>
      <c r="K202" s="136">
        <f>SUM(Telecom!M66:M70)</f>
        <v>0</v>
      </c>
      <c r="L202" s="136">
        <f>SUM(Telecom!N66:N70)</f>
        <v>0</v>
      </c>
      <c r="M202" s="136">
        <f>SUM(Telecom!O66:O70)</f>
        <v>0</v>
      </c>
      <c r="N202" s="136">
        <f>SUM(Telecom!P66:P70)</f>
        <v>0</v>
      </c>
    </row>
    <row r="203" spans="1:14">
      <c r="B203" s="286" t="s">
        <v>145</v>
      </c>
      <c r="C203" s="133">
        <f>SUM(Cloud!E66:E70)</f>
        <v>0</v>
      </c>
      <c r="D203" s="134">
        <f>SUM(Cloud!F66:F70)</f>
        <v>7</v>
      </c>
      <c r="E203" s="134">
        <f>SUM(Cloud!G66:G70)</f>
        <v>15100</v>
      </c>
      <c r="F203" s="134">
        <f>SUM(Cloud!H66:H70)</f>
        <v>0</v>
      </c>
      <c r="G203" s="134">
        <f>SUM(Cloud!I66:I70)</f>
        <v>0</v>
      </c>
      <c r="H203" s="134">
        <f>SUM(Cloud!J66:J70)</f>
        <v>0</v>
      </c>
      <c r="I203" s="134">
        <f>SUM(Cloud!K66:K70)</f>
        <v>0</v>
      </c>
      <c r="J203" s="134">
        <f>SUM(Cloud!L66:L70)</f>
        <v>0</v>
      </c>
      <c r="K203" s="134">
        <f>SUM(Cloud!M66:M70)</f>
        <v>0</v>
      </c>
      <c r="L203" s="134">
        <f>SUM(Cloud!N66:N70)</f>
        <v>0</v>
      </c>
      <c r="M203" s="134">
        <f>SUM(Cloud!O66:O70)</f>
        <v>0</v>
      </c>
      <c r="N203" s="134">
        <f>SUM(Cloud!P66:P70)</f>
        <v>0</v>
      </c>
    </row>
    <row r="204" spans="1:14" ht="13.5" customHeight="1">
      <c r="B204" s="372" t="s">
        <v>114</v>
      </c>
      <c r="C204" s="212">
        <f>SUM(Enterprise!E66:E70)</f>
        <v>0</v>
      </c>
      <c r="D204" s="213">
        <f>SUM(Enterprise!F66:F70)</f>
        <v>0</v>
      </c>
      <c r="E204" s="213">
        <f>SUM(Enterprise!G66:G70)</f>
        <v>0</v>
      </c>
      <c r="F204" s="213">
        <f>SUM(Enterprise!H66:H70)</f>
        <v>0</v>
      </c>
      <c r="G204" s="213">
        <f>SUM(Enterprise!I66:I70)</f>
        <v>0</v>
      </c>
      <c r="H204" s="213">
        <f>SUM(Enterprise!J66:J70)</f>
        <v>0</v>
      </c>
      <c r="I204" s="213">
        <f>SUM(Enterprise!K66:K70)</f>
        <v>0</v>
      </c>
      <c r="J204" s="213">
        <f>SUM(Enterprise!L66:L70)</f>
        <v>0</v>
      </c>
      <c r="K204" s="213">
        <f>SUM(Enterprise!M66:M70)</f>
        <v>0</v>
      </c>
      <c r="L204" s="213">
        <f>SUM(Enterprise!N66:N70)</f>
        <v>0</v>
      </c>
      <c r="M204" s="213">
        <f>SUM(Enterprise!O66:O70)</f>
        <v>0</v>
      </c>
      <c r="N204" s="213">
        <f>SUM(Enterprise!P66:P70)</f>
        <v>0</v>
      </c>
    </row>
    <row r="205" spans="1:14">
      <c r="B205" s="139" t="s">
        <v>13</v>
      </c>
      <c r="C205" s="152">
        <f t="shared" ref="C205:I205" si="30">SUM(C202:C204)</f>
        <v>0</v>
      </c>
      <c r="D205" s="153">
        <f t="shared" si="30"/>
        <v>89</v>
      </c>
      <c r="E205" s="153">
        <f t="shared" si="30"/>
        <v>16000</v>
      </c>
      <c r="F205" s="153">
        <f t="shared" si="30"/>
        <v>0</v>
      </c>
      <c r="G205" s="153">
        <f t="shared" si="30"/>
        <v>0</v>
      </c>
      <c r="H205" s="153">
        <f t="shared" si="30"/>
        <v>0</v>
      </c>
      <c r="I205" s="153">
        <f t="shared" si="30"/>
        <v>0</v>
      </c>
      <c r="J205" s="153">
        <f>SUM(J202:J204)</f>
        <v>0</v>
      </c>
      <c r="K205" s="153">
        <f>SUM(K202:K204)</f>
        <v>0</v>
      </c>
      <c r="L205" s="153">
        <f>SUM(L202:L204)</f>
        <v>0</v>
      </c>
      <c r="M205" s="153">
        <f t="shared" ref="M205:N205" si="31">SUM(M202:M204)</f>
        <v>0</v>
      </c>
      <c r="N205" s="153">
        <f t="shared" si="31"/>
        <v>0</v>
      </c>
    </row>
    <row r="206" spans="1:14">
      <c r="B206" s="173" t="s">
        <v>90</v>
      </c>
      <c r="C206" s="174"/>
      <c r="D206" s="174"/>
      <c r="E206" s="174"/>
      <c r="F206" s="174">
        <f t="shared" ref="F206:L206" si="32">F205/E205-1</f>
        <v>-1</v>
      </c>
      <c r="G206" s="174" t="e">
        <f t="shared" si="32"/>
        <v>#DIV/0!</v>
      </c>
      <c r="H206" s="174" t="e">
        <f t="shared" si="32"/>
        <v>#DIV/0!</v>
      </c>
      <c r="I206" s="174" t="e">
        <f t="shared" si="32"/>
        <v>#DIV/0!</v>
      </c>
      <c r="J206" s="174" t="e">
        <f t="shared" si="32"/>
        <v>#DIV/0!</v>
      </c>
      <c r="K206" s="174" t="e">
        <f t="shared" si="32"/>
        <v>#DIV/0!</v>
      </c>
      <c r="L206" s="174" t="e">
        <f t="shared" si="32"/>
        <v>#DIV/0!</v>
      </c>
      <c r="M206" s="174" t="e">
        <f t="shared" ref="M206" si="33">M205/L205-1</f>
        <v>#DIV/0!</v>
      </c>
      <c r="N206" s="174" t="e">
        <f t="shared" ref="N206" si="34">N205/M205-1</f>
        <v>#DIV/0!</v>
      </c>
    </row>
    <row r="209" spans="1:14" ht="21">
      <c r="A209" s="44"/>
      <c r="B209" s="17" t="s">
        <v>522</v>
      </c>
    </row>
    <row r="210" spans="1:14">
      <c r="C210" s="137">
        <v>2016</v>
      </c>
      <c r="D210" s="138">
        <v>2017</v>
      </c>
      <c r="E210" s="138">
        <v>2018</v>
      </c>
      <c r="F210" s="138">
        <v>2019</v>
      </c>
      <c r="G210" s="138">
        <v>2020</v>
      </c>
      <c r="H210" s="138">
        <v>2021</v>
      </c>
      <c r="I210" s="138">
        <v>2022</v>
      </c>
      <c r="J210" s="138">
        <v>2023</v>
      </c>
      <c r="K210" s="138">
        <v>2024</v>
      </c>
      <c r="L210" s="138">
        <v>2025</v>
      </c>
      <c r="M210" s="138">
        <v>2026</v>
      </c>
      <c r="N210" s="138">
        <v>2027</v>
      </c>
    </row>
    <row r="211" spans="1:14">
      <c r="B211" s="205" t="str">
        <f>B202</f>
        <v>Telecom</v>
      </c>
      <c r="C211" s="135">
        <f>SUM(Telecom!E236:E240)</f>
        <v>0</v>
      </c>
      <c r="D211" s="136">
        <f>SUM(Telecom!F236:F240)</f>
        <v>1.2669999999999999</v>
      </c>
      <c r="E211" s="136">
        <f>SUM(Telecom!G236:G240)</f>
        <v>7.2</v>
      </c>
      <c r="F211" s="136">
        <f>SUM(Telecom!H236:H240)</f>
        <v>0</v>
      </c>
      <c r="G211" s="136">
        <f>SUM(Telecom!I236:I240)</f>
        <v>0</v>
      </c>
      <c r="H211" s="136">
        <f>SUM(Telecom!J236:J240)</f>
        <v>0</v>
      </c>
      <c r="I211" s="136">
        <f>SUM(Telecom!K236:K240)</f>
        <v>0</v>
      </c>
      <c r="J211" s="136">
        <f>SUM(Telecom!L236:L240)</f>
        <v>0</v>
      </c>
      <c r="K211" s="136">
        <f>SUM(Telecom!M236:M240)</f>
        <v>0</v>
      </c>
      <c r="L211" s="136">
        <f>SUM(Telecom!N236:N240)</f>
        <v>0</v>
      </c>
      <c r="M211" s="136">
        <f>SUM(Telecom!O236:O240)</f>
        <v>0</v>
      </c>
      <c r="N211" s="136">
        <f>SUM(Telecom!P236:P240)</f>
        <v>0</v>
      </c>
    </row>
    <row r="212" spans="1:14">
      <c r="B212" s="436" t="str">
        <f>B203</f>
        <v>Cloud</v>
      </c>
      <c r="C212" s="133">
        <f>SUM(Cloud!E236:E240)</f>
        <v>0</v>
      </c>
      <c r="D212" s="134">
        <f>SUM(Cloud!F236:F240)</f>
        <v>8.1299999999999997E-2</v>
      </c>
      <c r="E212" s="134">
        <f>SUM(Cloud!G236:G240)</f>
        <v>27.2</v>
      </c>
      <c r="F212" s="134">
        <f>SUM(Cloud!H236:H240)</f>
        <v>0</v>
      </c>
      <c r="G212" s="134">
        <f>SUM(Cloud!I236:I240)</f>
        <v>0</v>
      </c>
      <c r="H212" s="134">
        <f>SUM(Cloud!J236:J240)</f>
        <v>0</v>
      </c>
      <c r="I212" s="134">
        <f>SUM(Cloud!K236:K240)</f>
        <v>0</v>
      </c>
      <c r="J212" s="134">
        <f>SUM(Cloud!L236:L240)</f>
        <v>0</v>
      </c>
      <c r="K212" s="134">
        <f>SUM(Cloud!M236:M240)</f>
        <v>0</v>
      </c>
      <c r="L212" s="134">
        <f>SUM(Cloud!N236:N240)</f>
        <v>0</v>
      </c>
      <c r="M212" s="134">
        <f>SUM(Cloud!O236:O240)</f>
        <v>0</v>
      </c>
      <c r="N212" s="134">
        <f>SUM(Cloud!P236:P240)</f>
        <v>0</v>
      </c>
    </row>
    <row r="213" spans="1:14">
      <c r="B213" s="206" t="str">
        <f>B204</f>
        <v>Enterprise</v>
      </c>
      <c r="C213" s="212">
        <f>SUM(Enterprise!E236:E240)</f>
        <v>0</v>
      </c>
      <c r="D213" s="213">
        <f>SUM(Enterprise!F236:F240)</f>
        <v>0</v>
      </c>
      <c r="E213" s="213">
        <f>SUM(Enterprise!G236:G240)</f>
        <v>0</v>
      </c>
      <c r="F213" s="213">
        <f>SUM(Enterprise!H236:H240)</f>
        <v>0</v>
      </c>
      <c r="G213" s="213">
        <f>SUM(Enterprise!I236:I240)</f>
        <v>0</v>
      </c>
      <c r="H213" s="213">
        <f>SUM(Enterprise!J236:J240)</f>
        <v>0</v>
      </c>
      <c r="I213" s="213">
        <f>SUM(Enterprise!K236:K240)</f>
        <v>0</v>
      </c>
      <c r="J213" s="213">
        <f>SUM(Enterprise!L236:L240)</f>
        <v>0</v>
      </c>
      <c r="K213" s="213">
        <f>SUM(Enterprise!M236:M240)</f>
        <v>0</v>
      </c>
      <c r="L213" s="213">
        <f>SUM(Enterprise!N236:N240)</f>
        <v>0</v>
      </c>
      <c r="M213" s="213">
        <f>SUM(Enterprise!O236:O240)</f>
        <v>0</v>
      </c>
      <c r="N213" s="213">
        <f>SUM(Enterprise!P236:P240)</f>
        <v>0</v>
      </c>
    </row>
    <row r="214" spans="1:14">
      <c r="B214" s="139" t="str">
        <f>B205</f>
        <v>Total</v>
      </c>
      <c r="C214" s="154">
        <f t="shared" ref="C214:L214" si="35">SUM(C211:C213)</f>
        <v>0</v>
      </c>
      <c r="D214" s="155">
        <f t="shared" si="35"/>
        <v>1.3482999999999998</v>
      </c>
      <c r="E214" s="155">
        <f t="shared" si="35"/>
        <v>34.4</v>
      </c>
      <c r="F214" s="155">
        <f t="shared" si="35"/>
        <v>0</v>
      </c>
      <c r="G214" s="155">
        <f t="shared" si="35"/>
        <v>0</v>
      </c>
      <c r="H214" s="155">
        <f t="shared" si="35"/>
        <v>0</v>
      </c>
      <c r="I214" s="155">
        <f t="shared" si="35"/>
        <v>0</v>
      </c>
      <c r="J214" s="155">
        <f t="shared" si="35"/>
        <v>0</v>
      </c>
      <c r="K214" s="155">
        <f t="shared" si="35"/>
        <v>0</v>
      </c>
      <c r="L214" s="155">
        <f t="shared" si="35"/>
        <v>0</v>
      </c>
      <c r="M214" s="155">
        <f t="shared" ref="M214:N214" si="36">SUM(M211:M213)</f>
        <v>0</v>
      </c>
      <c r="N214" s="155">
        <f t="shared" si="36"/>
        <v>0</v>
      </c>
    </row>
    <row r="215" spans="1:14">
      <c r="B215" s="173" t="s">
        <v>90</v>
      </c>
      <c r="C215" s="174"/>
      <c r="D215" s="174"/>
      <c r="E215" s="174"/>
      <c r="F215" s="174">
        <f t="shared" ref="F215:L215" si="37">F214/E214-1</f>
        <v>-1</v>
      </c>
      <c r="G215" s="174" t="e">
        <f t="shared" si="37"/>
        <v>#DIV/0!</v>
      </c>
      <c r="H215" s="174" t="e">
        <f t="shared" si="37"/>
        <v>#DIV/0!</v>
      </c>
      <c r="I215" s="174" t="e">
        <f t="shared" si="37"/>
        <v>#DIV/0!</v>
      </c>
      <c r="J215" s="174" t="e">
        <f t="shared" si="37"/>
        <v>#DIV/0!</v>
      </c>
      <c r="K215" s="174" t="e">
        <f t="shared" si="37"/>
        <v>#DIV/0!</v>
      </c>
      <c r="L215" s="174" t="e">
        <f t="shared" si="37"/>
        <v>#DIV/0!</v>
      </c>
      <c r="M215" s="174" t="e">
        <f t="shared" ref="M215" si="38">M214/L214-1</f>
        <v>#DIV/0!</v>
      </c>
      <c r="N215" s="174" t="e">
        <f t="shared" ref="N215" si="39">N214/M214-1</f>
        <v>#DIV/0!</v>
      </c>
    </row>
    <row r="220" spans="1:14" ht="21">
      <c r="B220" s="17" t="s">
        <v>112</v>
      </c>
    </row>
    <row r="222" spans="1:14">
      <c r="A222" s="44"/>
      <c r="B222" s="44"/>
      <c r="C222" s="44"/>
      <c r="D222" s="44"/>
      <c r="E222" s="44"/>
      <c r="F222" s="44"/>
      <c r="G222" s="44"/>
    </row>
    <row r="223" spans="1:14">
      <c r="A223" s="44"/>
      <c r="B223" s="44"/>
      <c r="C223" s="44"/>
      <c r="D223" s="44"/>
      <c r="E223" s="44"/>
      <c r="F223" s="44"/>
      <c r="G223" s="44"/>
    </row>
    <row r="224" spans="1:14">
      <c r="A224" s="44"/>
      <c r="B224" s="44"/>
      <c r="C224" s="44"/>
      <c r="D224" s="44"/>
      <c r="E224" s="44"/>
      <c r="F224" s="44"/>
      <c r="G224" s="44"/>
    </row>
    <row r="225" spans="1:7">
      <c r="A225" s="44"/>
      <c r="B225" s="44"/>
      <c r="C225" s="44"/>
      <c r="D225" s="44"/>
      <c r="E225" s="44"/>
      <c r="F225" s="44"/>
      <c r="G225" s="44"/>
    </row>
    <row r="226" spans="1:7">
      <c r="A226" s="44"/>
      <c r="B226" s="44"/>
      <c r="C226" s="44"/>
      <c r="D226" s="44"/>
      <c r="E226" s="44"/>
      <c r="F226" s="44"/>
      <c r="G226" s="44"/>
    </row>
    <row r="227" spans="1:7">
      <c r="A227" s="44"/>
      <c r="B227" s="44"/>
      <c r="C227" s="44"/>
      <c r="D227" s="44"/>
      <c r="E227" s="44"/>
      <c r="F227" s="44"/>
      <c r="G227" s="44"/>
    </row>
    <row r="228" spans="1:7">
      <c r="A228" s="44"/>
      <c r="B228" s="44"/>
      <c r="C228" s="44"/>
      <c r="D228" s="44"/>
      <c r="E228" s="44"/>
      <c r="F228" s="44"/>
      <c r="G228" s="44"/>
    </row>
    <row r="229" spans="1:7">
      <c r="A229" s="44"/>
      <c r="B229" s="44"/>
      <c r="C229" s="44"/>
      <c r="D229" s="44"/>
      <c r="E229" s="44"/>
      <c r="F229" s="44"/>
      <c r="G229" s="44"/>
    </row>
    <row r="230" spans="1:7">
      <c r="A230" s="44"/>
      <c r="B230" s="44"/>
      <c r="C230" s="44"/>
      <c r="D230" s="44"/>
      <c r="E230" s="44"/>
      <c r="F230" s="44"/>
      <c r="G230" s="44"/>
    </row>
    <row r="231" spans="1:7">
      <c r="A231" s="44"/>
      <c r="B231" s="44"/>
      <c r="C231" s="44"/>
      <c r="D231" s="44"/>
      <c r="E231" s="44"/>
      <c r="F231" s="44"/>
      <c r="G231" s="44"/>
    </row>
    <row r="232" spans="1:7">
      <c r="A232" s="44"/>
      <c r="B232" s="44"/>
      <c r="C232" s="44"/>
      <c r="D232" s="44"/>
      <c r="E232" s="44"/>
      <c r="F232" s="44"/>
      <c r="G232" s="44"/>
    </row>
    <row r="233" spans="1:7">
      <c r="A233" s="44"/>
      <c r="B233" s="44"/>
      <c r="C233" s="44"/>
      <c r="D233" s="44"/>
      <c r="E233" s="44"/>
      <c r="F233" s="44"/>
      <c r="G233" s="44"/>
    </row>
    <row r="234" spans="1:7">
      <c r="A234" s="44"/>
      <c r="B234" s="44"/>
      <c r="C234" s="44"/>
      <c r="D234" s="44"/>
      <c r="E234" s="44"/>
      <c r="F234" s="44"/>
      <c r="G234" s="44"/>
    </row>
    <row r="235" spans="1:7">
      <c r="A235" s="44"/>
      <c r="B235" s="44"/>
      <c r="C235" s="44"/>
      <c r="D235" s="44"/>
      <c r="E235" s="44"/>
      <c r="F235" s="44"/>
      <c r="G235" s="44"/>
    </row>
    <row r="236" spans="1:7">
      <c r="A236" s="44"/>
      <c r="B236" s="44"/>
      <c r="C236" s="44"/>
      <c r="D236" s="44"/>
      <c r="E236" s="44"/>
      <c r="F236" s="44"/>
      <c r="G236" s="44"/>
    </row>
    <row r="237" spans="1:7">
      <c r="A237" s="44"/>
      <c r="B237" s="44"/>
      <c r="C237" s="44"/>
      <c r="D237" s="44"/>
      <c r="E237" s="44"/>
      <c r="F237" s="44"/>
      <c r="G237" s="44"/>
    </row>
    <row r="238" spans="1:7">
      <c r="A238" s="44"/>
      <c r="B238" s="44"/>
      <c r="C238" s="44"/>
      <c r="D238" s="44"/>
      <c r="E238" s="44"/>
      <c r="F238" s="44"/>
      <c r="G238" s="44"/>
    </row>
    <row r="239" spans="1:7">
      <c r="A239" s="44"/>
      <c r="B239" s="44"/>
      <c r="C239" s="44"/>
      <c r="D239" s="44"/>
      <c r="E239" s="44"/>
      <c r="F239" s="44"/>
      <c r="G239" s="44"/>
    </row>
    <row r="240" spans="1:7">
      <c r="A240" s="44"/>
      <c r="B240" s="44"/>
      <c r="C240" s="44"/>
      <c r="D240" s="44"/>
      <c r="E240" s="44"/>
      <c r="F240" s="44"/>
      <c r="G240" s="44"/>
    </row>
    <row r="241" spans="1:15">
      <c r="A241" s="44"/>
      <c r="B241" s="44"/>
      <c r="C241" s="44"/>
      <c r="D241" s="44"/>
      <c r="E241" s="44"/>
      <c r="F241" s="44"/>
      <c r="G241" s="44"/>
    </row>
    <row r="242" spans="1:15">
      <c r="A242" s="44"/>
      <c r="C242" s="44"/>
      <c r="D242" s="44"/>
      <c r="E242" s="44"/>
      <c r="F242" s="44"/>
      <c r="G242" s="44"/>
    </row>
    <row r="243" spans="1:15" ht="21">
      <c r="A243" s="44"/>
      <c r="B243" s="17" t="s">
        <v>22</v>
      </c>
      <c r="C243" s="44"/>
      <c r="D243" s="44"/>
      <c r="E243" s="44"/>
      <c r="F243" s="44"/>
      <c r="G243" s="44"/>
    </row>
    <row r="244" spans="1:15">
      <c r="C244" s="198">
        <v>2016</v>
      </c>
      <c r="D244" s="199">
        <v>2017</v>
      </c>
      <c r="E244" s="199">
        <v>2018</v>
      </c>
      <c r="F244" s="199">
        <v>2019</v>
      </c>
      <c r="G244" s="199">
        <v>2020</v>
      </c>
      <c r="H244" s="199">
        <v>2021</v>
      </c>
      <c r="I244" s="199">
        <v>2022</v>
      </c>
      <c r="J244" s="199">
        <v>2023</v>
      </c>
      <c r="K244" s="199">
        <v>2024</v>
      </c>
      <c r="L244" s="199">
        <v>2025</v>
      </c>
      <c r="M244" s="199">
        <v>2026</v>
      </c>
      <c r="N244" s="199">
        <v>2027</v>
      </c>
    </row>
    <row r="245" spans="1:15">
      <c r="B245" s="205" t="s">
        <v>102</v>
      </c>
      <c r="C245" s="134" t="e">
        <f xml:space="preserve"> SUMIF(#REF!, "MMF",#REF!)</f>
        <v>#REF!</v>
      </c>
      <c r="D245" s="134" t="e">
        <f xml:space="preserve"> SUMIF(#REF!, "MMF",#REF!)</f>
        <v>#REF!</v>
      </c>
      <c r="E245" s="134" t="e">
        <f xml:space="preserve"> SUMIF(#REF!, "MMF",#REF!)</f>
        <v>#REF!</v>
      </c>
      <c r="F245" s="134" t="e">
        <f xml:space="preserve"> SUMIF(#REF!, "MMF",#REF!)</f>
        <v>#REF!</v>
      </c>
      <c r="G245" s="134" t="e">
        <f xml:space="preserve"> SUMIF(#REF!, "MMF",#REF!)</f>
        <v>#REF!</v>
      </c>
      <c r="H245" s="134" t="e">
        <f xml:space="preserve"> SUMIF(#REF!, "MMF",#REF!)</f>
        <v>#REF!</v>
      </c>
      <c r="I245" s="134" t="e">
        <f xml:space="preserve"> SUMIF(#REF!, "MMF",#REF!)</f>
        <v>#REF!</v>
      </c>
      <c r="J245" s="134" t="e">
        <f xml:space="preserve"> SUMIF(#REF!, "MMF",#REF!)</f>
        <v>#REF!</v>
      </c>
      <c r="K245" s="134" t="e">
        <f xml:space="preserve"> SUMIF(#REF!, "MMF",#REF!)</f>
        <v>#REF!</v>
      </c>
      <c r="L245" s="134" t="e">
        <f xml:space="preserve"> SUMIF(#REF!, "MMF",#REF!)</f>
        <v>#REF!</v>
      </c>
      <c r="M245" s="134" t="e">
        <f xml:space="preserve"> SUMIF(#REF!, "MMF",#REF!)</f>
        <v>#REF!</v>
      </c>
      <c r="N245" s="134" t="e">
        <f xml:space="preserve"> SUMIF(#REF!, "MMF",#REF!)</f>
        <v>#REF!</v>
      </c>
    </row>
    <row r="246" spans="1:15">
      <c r="B246" s="206" t="s">
        <v>103</v>
      </c>
      <c r="C246" s="213" t="e">
        <f xml:space="preserve"> SUMIF(#REF!, "SMF",#REF!)</f>
        <v>#REF!</v>
      </c>
      <c r="D246" s="213" t="e">
        <f xml:space="preserve"> SUMIF(#REF!, "SMF",#REF!)</f>
        <v>#REF!</v>
      </c>
      <c r="E246" s="213" t="e">
        <f xml:space="preserve"> SUMIF(#REF!, "SMF",#REF!)</f>
        <v>#REF!</v>
      </c>
      <c r="F246" s="213" t="e">
        <f xml:space="preserve"> SUMIF(#REF!, "SMF",#REF!)</f>
        <v>#REF!</v>
      </c>
      <c r="G246" s="213" t="e">
        <f xml:space="preserve"> SUMIF(#REF!, "SMF",#REF!)</f>
        <v>#REF!</v>
      </c>
      <c r="H246" s="213" t="e">
        <f xml:space="preserve"> SUMIF(#REF!, "SMF",#REF!)</f>
        <v>#REF!</v>
      </c>
      <c r="I246" s="213" t="e">
        <f xml:space="preserve"> SUMIF(#REF!, "SMF",#REF!)</f>
        <v>#REF!</v>
      </c>
      <c r="J246" s="213" t="e">
        <f xml:space="preserve"> SUMIF(#REF!, "SMF",#REF!)</f>
        <v>#REF!</v>
      </c>
      <c r="K246" s="213" t="e">
        <f xml:space="preserve"> SUMIF(#REF!, "SMF",#REF!)</f>
        <v>#REF!</v>
      </c>
      <c r="L246" s="213" t="e">
        <f xml:space="preserve"> SUMIF(#REF!, "SMF",#REF!)</f>
        <v>#REF!</v>
      </c>
      <c r="M246" s="213" t="e">
        <f xml:space="preserve"> SUMIF(#REF!, "SMF",#REF!)</f>
        <v>#REF!</v>
      </c>
      <c r="N246" s="213" t="e">
        <f xml:space="preserve"> SUMIF(#REF!, "SMF",#REF!)</f>
        <v>#REF!</v>
      </c>
    </row>
    <row r="247" spans="1:15">
      <c r="B247" s="139" t="s">
        <v>13</v>
      </c>
      <c r="C247" s="152" t="e">
        <f t="shared" ref="C247:L247" si="40">SUM(C245:C246)</f>
        <v>#REF!</v>
      </c>
      <c r="D247" s="213" t="e">
        <f t="shared" si="40"/>
        <v>#REF!</v>
      </c>
      <c r="E247" s="213" t="e">
        <f t="shared" si="40"/>
        <v>#REF!</v>
      </c>
      <c r="F247" s="213" t="e">
        <f t="shared" si="40"/>
        <v>#REF!</v>
      </c>
      <c r="G247" s="213" t="e">
        <f t="shared" si="40"/>
        <v>#REF!</v>
      </c>
      <c r="H247" s="213" t="e">
        <f t="shared" si="40"/>
        <v>#REF!</v>
      </c>
      <c r="I247" s="213" t="e">
        <f t="shared" si="40"/>
        <v>#REF!</v>
      </c>
      <c r="J247" s="213" t="e">
        <f t="shared" si="40"/>
        <v>#REF!</v>
      </c>
      <c r="K247" s="213" t="e">
        <f t="shared" si="40"/>
        <v>#REF!</v>
      </c>
      <c r="L247" s="213" t="e">
        <f t="shared" si="40"/>
        <v>#REF!</v>
      </c>
      <c r="M247" s="213" t="e">
        <f t="shared" ref="M247:N247" si="41">SUM(M245:M246)</f>
        <v>#REF!</v>
      </c>
      <c r="N247" s="213" t="e">
        <f t="shared" si="41"/>
        <v>#REF!</v>
      </c>
    </row>
    <row r="248" spans="1:15">
      <c r="B248" s="173" t="s">
        <v>90</v>
      </c>
      <c r="C248" s="174"/>
      <c r="D248" s="174" t="e">
        <f t="shared" ref="D248:L248" si="42">D247/C247-1</f>
        <v>#REF!</v>
      </c>
      <c r="E248" s="174" t="e">
        <f t="shared" si="42"/>
        <v>#REF!</v>
      </c>
      <c r="F248" s="174" t="e">
        <f t="shared" si="42"/>
        <v>#REF!</v>
      </c>
      <c r="G248" s="174" t="e">
        <f t="shared" si="42"/>
        <v>#REF!</v>
      </c>
      <c r="H248" s="174" t="e">
        <f t="shared" si="42"/>
        <v>#REF!</v>
      </c>
      <c r="I248" s="174" t="e">
        <f t="shared" si="42"/>
        <v>#REF!</v>
      </c>
      <c r="J248" s="174" t="e">
        <f t="shared" si="42"/>
        <v>#REF!</v>
      </c>
      <c r="K248" s="174" t="e">
        <f t="shared" si="42"/>
        <v>#REF!</v>
      </c>
      <c r="L248" s="174" t="e">
        <f t="shared" si="42"/>
        <v>#REF!</v>
      </c>
      <c r="M248" s="174" t="e">
        <f t="shared" ref="M248" si="43">M247/L247-1</f>
        <v>#REF!</v>
      </c>
      <c r="N248" s="174" t="e">
        <f t="shared" ref="N248" si="44">N247/M247-1</f>
        <v>#REF!</v>
      </c>
    </row>
    <row r="251" spans="1:15" ht="21">
      <c r="A251" s="44"/>
      <c r="B251" s="17" t="s">
        <v>15</v>
      </c>
    </row>
    <row r="252" spans="1:15">
      <c r="C252" s="198">
        <v>2016</v>
      </c>
      <c r="D252" s="199">
        <v>2017</v>
      </c>
      <c r="E252" s="199">
        <v>2018</v>
      </c>
      <c r="F252" s="199">
        <v>2019</v>
      </c>
      <c r="G252" s="199">
        <v>2020</v>
      </c>
      <c r="H252" s="199">
        <v>2021</v>
      </c>
      <c r="I252" s="199">
        <v>2022</v>
      </c>
      <c r="J252" s="199">
        <v>2023</v>
      </c>
      <c r="K252" s="199">
        <v>2024</v>
      </c>
      <c r="L252" s="199">
        <v>2025</v>
      </c>
      <c r="M252" s="199">
        <v>2026</v>
      </c>
      <c r="N252" s="199">
        <v>2027</v>
      </c>
    </row>
    <row r="253" spans="1:15">
      <c r="B253" s="195" t="str">
        <f>B245</f>
        <v>MMF</v>
      </c>
      <c r="C253" s="143" t="e">
        <f xml:space="preserve"> SUMIF(#REF!, "MMF",#REF!)</f>
        <v>#REF!</v>
      </c>
      <c r="D253" s="144" t="e">
        <f xml:space="preserve"> SUMIF(#REF!, "MMF",#REF!)</f>
        <v>#REF!</v>
      </c>
      <c r="E253" s="144" t="e">
        <f xml:space="preserve"> SUMIF(#REF!, "MMF",#REF!)</f>
        <v>#REF!</v>
      </c>
      <c r="F253" s="144" t="e">
        <f xml:space="preserve"> SUMIF(#REF!, "MMF",#REF!)</f>
        <v>#REF!</v>
      </c>
      <c r="G253" s="144" t="e">
        <f xml:space="preserve"> SUMIF(#REF!, "MMF",#REF!)</f>
        <v>#REF!</v>
      </c>
      <c r="H253" s="144" t="e">
        <f xml:space="preserve"> SUMIF(#REF!, "MMF",#REF!)</f>
        <v>#REF!</v>
      </c>
      <c r="I253" s="144" t="e">
        <f xml:space="preserve"> SUMIF(#REF!, "MMF",#REF!)</f>
        <v>#REF!</v>
      </c>
      <c r="J253" s="144" t="e">
        <f xml:space="preserve"> SUMIF(#REF!, "MMF",#REF!)</f>
        <v>#REF!</v>
      </c>
      <c r="K253" s="144" t="e">
        <f xml:space="preserve"> SUMIF(#REF!, "MMF",#REF!)</f>
        <v>#REF!</v>
      </c>
      <c r="L253" s="144" t="e">
        <f xml:space="preserve"> SUMIF(#REF!, "MMF",#REF!)</f>
        <v>#REF!</v>
      </c>
      <c r="M253" s="144" t="e">
        <f xml:space="preserve"> SUMIF(#REF!, "MMF",#REF!)</f>
        <v>#REF!</v>
      </c>
      <c r="N253" s="144" t="e">
        <f xml:space="preserve"> SUMIF(#REF!, "MMF",#REF!)</f>
        <v>#REF!</v>
      </c>
    </row>
    <row r="254" spans="1:15">
      <c r="B254" s="196" t="str">
        <f>B246</f>
        <v>SMF</v>
      </c>
      <c r="C254" s="143" t="e">
        <f xml:space="preserve"> SUMIF(#REF!, "SMF",#REF!)</f>
        <v>#REF!</v>
      </c>
      <c r="D254" s="144" t="e">
        <f xml:space="preserve"> SUMIF(#REF!, "SMF",#REF!)</f>
        <v>#REF!</v>
      </c>
      <c r="E254" s="144" t="e">
        <f xml:space="preserve"> SUMIF(#REF!, "SMF",#REF!)</f>
        <v>#REF!</v>
      </c>
      <c r="F254" s="144" t="e">
        <f xml:space="preserve"> SUMIF(#REF!, "SMF",#REF!)</f>
        <v>#REF!</v>
      </c>
      <c r="G254" s="144" t="e">
        <f xml:space="preserve"> SUMIF(#REF!, "SMF",#REF!)</f>
        <v>#REF!</v>
      </c>
      <c r="H254" s="144" t="e">
        <f xml:space="preserve"> SUMIF(#REF!, "SMF",#REF!)</f>
        <v>#REF!</v>
      </c>
      <c r="I254" s="144" t="e">
        <f xml:space="preserve"> SUMIF(#REF!, "SMF",#REF!)</f>
        <v>#REF!</v>
      </c>
      <c r="J254" s="144" t="e">
        <f xml:space="preserve"> SUMIF(#REF!, "SMF",#REF!)</f>
        <v>#REF!</v>
      </c>
      <c r="K254" s="144" t="e">
        <f xml:space="preserve"> SUMIF(#REF!, "SMF",#REF!)</f>
        <v>#REF!</v>
      </c>
      <c r="L254" s="144" t="e">
        <f xml:space="preserve"> SUMIF(#REF!, "SMF",#REF!)</f>
        <v>#REF!</v>
      </c>
      <c r="M254" s="144" t="e">
        <f xml:space="preserve"> SUMIF(#REF!, "SMF",#REF!)</f>
        <v>#REF!</v>
      </c>
      <c r="N254" s="144" t="e">
        <f xml:space="preserve"> SUMIF(#REF!, "SMF",#REF!)</f>
        <v>#REF!</v>
      </c>
    </row>
    <row r="255" spans="1:15">
      <c r="B255" s="139" t="str">
        <f>B247</f>
        <v>Total</v>
      </c>
      <c r="C255" s="154" t="e">
        <f t="shared" ref="C255:L255" si="45">SUM(C253:C254)</f>
        <v>#REF!</v>
      </c>
      <c r="D255" s="155" t="e">
        <f t="shared" si="45"/>
        <v>#REF!</v>
      </c>
      <c r="E255" s="155" t="e">
        <f t="shared" si="45"/>
        <v>#REF!</v>
      </c>
      <c r="F255" s="155" t="e">
        <f t="shared" si="45"/>
        <v>#REF!</v>
      </c>
      <c r="G255" s="155" t="e">
        <f t="shared" si="45"/>
        <v>#REF!</v>
      </c>
      <c r="H255" s="155" t="e">
        <f t="shared" si="45"/>
        <v>#REF!</v>
      </c>
      <c r="I255" s="155" t="e">
        <f t="shared" si="45"/>
        <v>#REF!</v>
      </c>
      <c r="J255" s="155" t="e">
        <f t="shared" si="45"/>
        <v>#REF!</v>
      </c>
      <c r="K255" s="155" t="e">
        <f t="shared" si="45"/>
        <v>#REF!</v>
      </c>
      <c r="L255" s="155" t="e">
        <f t="shared" si="45"/>
        <v>#REF!</v>
      </c>
      <c r="M255" s="155" t="e">
        <f t="shared" ref="M255:N255" si="46">SUM(M253:M254)</f>
        <v>#REF!</v>
      </c>
      <c r="N255" s="155" t="e">
        <f t="shared" si="46"/>
        <v>#REF!</v>
      </c>
    </row>
    <row r="256" spans="1:15">
      <c r="B256" s="173" t="s">
        <v>90</v>
      </c>
      <c r="C256" s="174"/>
      <c r="D256" s="174" t="e">
        <f t="shared" ref="D256:L256" si="47">D255/C255-1</f>
        <v>#REF!</v>
      </c>
      <c r="E256" s="174" t="e">
        <f t="shared" si="47"/>
        <v>#REF!</v>
      </c>
      <c r="F256" s="174" t="e">
        <f t="shared" si="47"/>
        <v>#REF!</v>
      </c>
      <c r="G256" s="174" t="e">
        <f t="shared" si="47"/>
        <v>#REF!</v>
      </c>
      <c r="H256" s="174" t="e">
        <f t="shared" si="47"/>
        <v>#REF!</v>
      </c>
      <c r="I256" s="174" t="e">
        <f t="shared" si="47"/>
        <v>#REF!</v>
      </c>
      <c r="J256" s="174" t="e">
        <f t="shared" si="47"/>
        <v>#REF!</v>
      </c>
      <c r="K256" s="174" t="e">
        <f t="shared" si="47"/>
        <v>#REF!</v>
      </c>
      <c r="L256" s="174" t="e">
        <f t="shared" si="47"/>
        <v>#REF!</v>
      </c>
      <c r="M256" s="174" t="e">
        <f t="shared" ref="M256" si="48">M255/L255-1</f>
        <v>#REF!</v>
      </c>
      <c r="N256" s="174" t="e">
        <f t="shared" ref="N256" si="49">N255/M255-1</f>
        <v>#REF!</v>
      </c>
      <c r="O256" s="214"/>
    </row>
    <row r="257" spans="1:15">
      <c r="A257" s="208"/>
      <c r="B257" s="208"/>
      <c r="C257" s="208"/>
      <c r="D257" s="208"/>
      <c r="E257" s="208"/>
      <c r="F257" s="208"/>
      <c r="G257" s="208"/>
      <c r="H257" s="208"/>
      <c r="I257" s="208"/>
      <c r="J257" s="208"/>
      <c r="K257" s="208"/>
      <c r="L257" s="208"/>
      <c r="M257" s="208"/>
      <c r="N257" s="208"/>
      <c r="O257" s="208"/>
    </row>
    <row r="259" spans="1:15" ht="21">
      <c r="B259" s="17" t="s">
        <v>98</v>
      </c>
    </row>
    <row r="281" spans="2:14">
      <c r="B281" s="193" t="s">
        <v>99</v>
      </c>
      <c r="C281" s="198">
        <v>2016</v>
      </c>
      <c r="D281" s="138">
        <v>2017</v>
      </c>
      <c r="E281" s="138">
        <v>2018</v>
      </c>
      <c r="F281" s="138">
        <v>2019</v>
      </c>
      <c r="G281" s="138">
        <v>2020</v>
      </c>
      <c r="H281" s="138">
        <v>2021</v>
      </c>
      <c r="I281" s="138">
        <v>2022</v>
      </c>
      <c r="J281" s="138">
        <v>2023</v>
      </c>
      <c r="K281" s="138">
        <v>2024</v>
      </c>
      <c r="L281" s="138">
        <v>2025</v>
      </c>
      <c r="M281" s="138">
        <v>2026</v>
      </c>
      <c r="N281" s="138">
        <v>2027</v>
      </c>
    </row>
    <row r="282" spans="2:14">
      <c r="B282" s="140" t="str">
        <f>B33</f>
        <v>Cloud</v>
      </c>
      <c r="C282" s="216">
        <f>SUM(Cloud!E9:E12)+10*SUM(Cloud!E14:E22)+25*SUM(Cloud!E24:E25)+40*SUM(Cloud!E27:E35)+50*SUM(Cloud!E36:E38)+100*SUM(Cloud!E41:E59)+200*SUM(Cloud!E60:E68)+400*SUM(Cloud!E66:E70)</f>
        <v>232995621.73119861</v>
      </c>
      <c r="D282" s="215">
        <f>SUM(Cloud!F9:F12)+10*SUM(Cloud!F14:F22)+25*SUM(Cloud!F24:F25)+40*SUM(Cloud!F27:F35)+50*SUM(Cloud!F36:F38)+100*SUM(Cloud!F41:F59)+200*SUM(Cloud!F60:F68)+400*SUM(Cloud!F66:F70)</f>
        <v>450326122.48659462</v>
      </c>
      <c r="E282" s="215">
        <f>SUM(Cloud!G9:G12)+10*SUM(Cloud!G14:G22)+25*SUM(Cloud!G24:G25)+40*SUM(Cloud!G27:G35)+50*SUM(Cloud!G36:G38)+100*SUM(Cloud!G41:G59)+200*SUM(Cloud!G60:G68)+400*SUM(Cloud!G66:G70)</f>
        <v>737556599.14000416</v>
      </c>
      <c r="F282" s="215">
        <f>SUM(Cloud!H9:H12)+10*SUM(Cloud!H14:H22)+25*SUM(Cloud!H24:H25)+40*SUM(Cloud!H27:H35)+50*SUM(Cloud!H36:H38)+100*SUM(Cloud!H41:H59)+200*SUM(Cloud!H60:H68)+400*SUM(Cloud!H66:H70)</f>
        <v>0</v>
      </c>
      <c r="G282" s="215">
        <f>SUM(Cloud!I9:I12)+10*SUM(Cloud!I14:I22)+25*SUM(Cloud!I24:I25)+40*SUM(Cloud!I27:I35)+50*SUM(Cloud!I36:I38)+100*SUM(Cloud!I41:I59)+200*SUM(Cloud!I60:I68)+400*SUM(Cloud!I66:I70)</f>
        <v>0</v>
      </c>
      <c r="H282" s="215">
        <f>SUM(Cloud!J9:J12)+10*SUM(Cloud!J14:J22)+25*SUM(Cloud!J24:J25)+40*SUM(Cloud!J27:J35)+50*SUM(Cloud!J36:J38)+100*SUM(Cloud!J41:J59)+200*SUM(Cloud!J60:J68)+400*SUM(Cloud!J66:J70)</f>
        <v>0</v>
      </c>
      <c r="I282" s="215">
        <f>SUM(Cloud!K9:K12)+10*SUM(Cloud!K14:K22)+25*SUM(Cloud!K24:K25)+40*SUM(Cloud!K27:K35)+50*SUM(Cloud!K36:K38)+100*SUM(Cloud!K41:K59)+200*SUM(Cloud!K60:K68)+400*SUM(Cloud!K66:K70)</f>
        <v>0</v>
      </c>
      <c r="J282" s="215">
        <f>SUM(Cloud!L9:L12)+10*SUM(Cloud!L14:L22)+25*SUM(Cloud!L24:L25)+40*SUM(Cloud!L27:L35)+50*SUM(Cloud!L36:L38)+100*SUM(Cloud!L41:L59)+200*SUM(Cloud!L60:L68)+400*SUM(Cloud!L66:L70)</f>
        <v>0</v>
      </c>
      <c r="K282" s="215">
        <f>SUM(Cloud!M9:M12)+10*SUM(Cloud!M14:M22)+25*SUM(Cloud!M24:M25)+40*SUM(Cloud!M27:M35)+50*SUM(Cloud!M36:M38)+100*SUM(Cloud!M41:M59)+200*SUM(Cloud!M60:M68)+400*SUM(Cloud!M66:M70)</f>
        <v>0</v>
      </c>
      <c r="L282" s="215">
        <f>SUM(Cloud!N9:N12)+10*SUM(Cloud!N14:N22)+25*SUM(Cloud!N24:N25)+40*SUM(Cloud!N27:N35)+50*SUM(Cloud!N36:N38)+100*SUM(Cloud!N41:N59)+200*SUM(Cloud!N60:N68)+400*SUM(Cloud!N66:N70)</f>
        <v>0</v>
      </c>
      <c r="M282" s="215">
        <f>SUM(Cloud!O9:O12)+10*SUM(Cloud!O14:O22)+25*SUM(Cloud!O24:O25)+40*SUM(Cloud!O27:O35)+50*SUM(Cloud!O36:O38)+100*SUM(Cloud!O41:O59)+200*SUM(Cloud!O60:O68)+400*SUM(Cloud!O66:O70)</f>
        <v>0</v>
      </c>
      <c r="N282" s="215">
        <f>SUM(Cloud!P9:P12)+10*SUM(Cloud!P14:P22)+25*SUM(Cloud!P24:P25)+40*SUM(Cloud!P27:P35)+50*SUM(Cloud!P36:P38)+100*SUM(Cloud!P41:P59)+200*SUM(Cloud!P60:P68)+400*SUM(Cloud!P66:P70)</f>
        <v>0</v>
      </c>
    </row>
    <row r="283" spans="2:14">
      <c r="B283" s="203" t="str">
        <f>B34</f>
        <v>Enterprise</v>
      </c>
      <c r="C283" s="200">
        <f>SUM(Enterprise!E9:E12)+10*SUM(Enterprise!E14:E22)+25*SUM(Enterprise!E24:E25)+40*SUM(Enterprise!E27:E35)+50*SUM(Enterprise!E38:E38)+100*SUM(Enterprise!E41:E59)+200*SUM(Enterprise!E60:E68)+400*SUM(Enterprise!E66:E70)</f>
        <v>137655219.92276934</v>
      </c>
      <c r="D283" s="201">
        <f>SUM(Enterprise!F9:F12)+10*SUM(Enterprise!F14:F22)+25*SUM(Enterprise!F24:F25)+40*SUM(Enterprise!F27:F35)+50*SUM(Enterprise!F38:F38)+100*SUM(Enterprise!F41:F59)+200*SUM(Enterprise!F60:F68)+400*SUM(Enterprise!F66:F70)</f>
        <v>157450008.08871284</v>
      </c>
      <c r="E283" s="201">
        <f>SUM(Enterprise!G9:G12)+10*SUM(Enterprise!G14:G22)+25*SUM(Enterprise!G24:G25)+40*SUM(Enterprise!G27:G35)+50*SUM(Enterprise!G38:G38)+100*SUM(Enterprise!G41:G59)+200*SUM(Enterprise!G60:G68)+400*SUM(Enterprise!G66:G70)</f>
        <v>202580473.45005178</v>
      </c>
      <c r="F283" s="201">
        <f>SUM(Enterprise!H9:H12)+10*SUM(Enterprise!H14:H22)+25*SUM(Enterprise!H24:H25)+40*SUM(Enterprise!H27:H35)+50*SUM(Enterprise!H38:H38)+100*SUM(Enterprise!H41:H59)+200*SUM(Enterprise!H60:H68)+400*SUM(Enterprise!H66:H70)</f>
        <v>0</v>
      </c>
      <c r="G283" s="201">
        <f>SUM(Enterprise!I9:I12)+10*SUM(Enterprise!I14:I22)+25*SUM(Enterprise!I24:I25)+40*SUM(Enterprise!I27:I35)+50*SUM(Enterprise!I38:I38)+100*SUM(Enterprise!I41:I59)+200*SUM(Enterprise!I60:I68)+400*SUM(Enterprise!I66:I70)</f>
        <v>0</v>
      </c>
      <c r="H283" s="201">
        <f>SUM(Enterprise!J9:J12)+10*SUM(Enterprise!J14:J22)+25*SUM(Enterprise!J24:J25)+40*SUM(Enterprise!J27:J35)+50*SUM(Enterprise!J38:J38)+100*SUM(Enterprise!J41:J59)+200*SUM(Enterprise!J60:J68)+400*SUM(Enterprise!J66:J70)</f>
        <v>0</v>
      </c>
      <c r="I283" s="201">
        <f>SUM(Enterprise!K9:K12)+10*SUM(Enterprise!K14:K22)+25*SUM(Enterprise!K24:K25)+40*SUM(Enterprise!K27:K35)+50*SUM(Enterprise!K38:K38)+100*SUM(Enterprise!K41:K59)+200*SUM(Enterprise!K60:K68)+400*SUM(Enterprise!K66:K70)</f>
        <v>0</v>
      </c>
      <c r="J283" s="201">
        <f>SUM(Enterprise!L9:L12)+10*SUM(Enterprise!L14:L22)+25*SUM(Enterprise!L24:L25)+40*SUM(Enterprise!L27:L35)+50*SUM(Enterprise!L38:L38)+100*SUM(Enterprise!L41:L59)+200*SUM(Enterprise!L60:L68)+400*SUM(Enterprise!L66:L70)</f>
        <v>0</v>
      </c>
      <c r="K283" s="201">
        <f>SUM(Enterprise!M9:M12)+10*SUM(Enterprise!M14:M22)+25*SUM(Enterprise!M24:M25)+40*SUM(Enterprise!M27:M35)+50*SUM(Enterprise!M38:M38)+100*SUM(Enterprise!M41:M59)+200*SUM(Enterprise!M60:M68)+400*SUM(Enterprise!M66:M70)</f>
        <v>0</v>
      </c>
      <c r="L283" s="201">
        <f>SUM(Enterprise!N9:N12)+10*SUM(Enterprise!N14:N22)+25*SUM(Enterprise!N24:N25)+40*SUM(Enterprise!N27:N35)+50*SUM(Enterprise!N38:N38)+100*SUM(Enterprise!N41:N59)+200*SUM(Enterprise!N60:N68)+400*SUM(Enterprise!N66:N70)</f>
        <v>0</v>
      </c>
      <c r="M283" s="201">
        <f>SUM(Enterprise!O9:O12)+10*SUM(Enterprise!O14:O22)+25*SUM(Enterprise!O24:O25)+40*SUM(Enterprise!O27:O35)+50*SUM(Enterprise!O38:O38)+100*SUM(Enterprise!O41:O59)+200*SUM(Enterprise!O60:O68)+400*SUM(Enterprise!O66:O70)</f>
        <v>0</v>
      </c>
      <c r="N283" s="201">
        <f>SUM(Enterprise!P9:P12)+10*SUM(Enterprise!P14:P22)+25*SUM(Enterprise!P24:P25)+40*SUM(Enterprise!P27:P35)+50*SUM(Enterprise!P38:P38)+100*SUM(Enterprise!P41:P59)+200*SUM(Enterprise!P60:P68)+400*SUM(Enterprise!P66:P70)</f>
        <v>0</v>
      </c>
    </row>
    <row r="285" spans="2:14">
      <c r="B285" s="193" t="s">
        <v>100</v>
      </c>
      <c r="C285" s="198">
        <v>2016</v>
      </c>
      <c r="D285" s="199">
        <v>2017</v>
      </c>
      <c r="E285" s="199">
        <v>2018</v>
      </c>
      <c r="F285" s="199">
        <v>2019</v>
      </c>
      <c r="G285" s="199">
        <v>2020</v>
      </c>
      <c r="H285" s="199">
        <v>2021</v>
      </c>
      <c r="I285" s="199">
        <v>2022</v>
      </c>
      <c r="J285" s="199">
        <v>2023</v>
      </c>
      <c r="K285" s="199">
        <v>2024</v>
      </c>
      <c r="L285" s="199">
        <v>2025</v>
      </c>
      <c r="M285" s="199">
        <v>2026</v>
      </c>
      <c r="N285" s="199">
        <v>2027</v>
      </c>
    </row>
    <row r="286" spans="2:14">
      <c r="B286" s="145" t="str">
        <f>B282</f>
        <v>Cloud</v>
      </c>
      <c r="C286" s="215">
        <v>634874062.28922606</v>
      </c>
      <c r="D286" s="215">
        <f t="shared" ref="D286:L286" si="50">C286+D282</f>
        <v>1085200184.7758207</v>
      </c>
      <c r="E286" s="215">
        <f t="shared" si="50"/>
        <v>1822756783.9158249</v>
      </c>
      <c r="F286" s="215">
        <f t="shared" si="50"/>
        <v>1822756783.9158249</v>
      </c>
      <c r="G286" s="215">
        <f t="shared" si="50"/>
        <v>1822756783.9158249</v>
      </c>
      <c r="H286" s="215">
        <f t="shared" si="50"/>
        <v>1822756783.9158249</v>
      </c>
      <c r="I286" s="215">
        <f t="shared" si="50"/>
        <v>1822756783.9158249</v>
      </c>
      <c r="J286" s="215">
        <f t="shared" si="50"/>
        <v>1822756783.9158249</v>
      </c>
      <c r="K286" s="215">
        <f t="shared" si="50"/>
        <v>1822756783.9158249</v>
      </c>
      <c r="L286" s="215">
        <f t="shared" si="50"/>
        <v>1822756783.9158249</v>
      </c>
      <c r="M286" s="215">
        <f t="shared" ref="M286:M287" si="51">L286+M282</f>
        <v>1822756783.9158249</v>
      </c>
      <c r="N286" s="215">
        <f t="shared" ref="N286:N287" si="52">M286+N282</f>
        <v>1822756783.9158249</v>
      </c>
    </row>
    <row r="287" spans="2:14">
      <c r="B287" s="149" t="str">
        <f>B283</f>
        <v>Enterprise</v>
      </c>
      <c r="C287" s="201">
        <v>599460852.37719667</v>
      </c>
      <c r="D287" s="201">
        <f t="shared" ref="D287:L287" si="53">C287+D283</f>
        <v>756910860.46590948</v>
      </c>
      <c r="E287" s="201">
        <f t="shared" si="53"/>
        <v>959491333.91596127</v>
      </c>
      <c r="F287" s="201">
        <f t="shared" si="53"/>
        <v>959491333.91596127</v>
      </c>
      <c r="G287" s="201">
        <f t="shared" si="53"/>
        <v>959491333.91596127</v>
      </c>
      <c r="H287" s="201">
        <f t="shared" si="53"/>
        <v>959491333.91596127</v>
      </c>
      <c r="I287" s="201">
        <f t="shared" si="53"/>
        <v>959491333.91596127</v>
      </c>
      <c r="J287" s="201">
        <f t="shared" si="53"/>
        <v>959491333.91596127</v>
      </c>
      <c r="K287" s="201">
        <f t="shared" si="53"/>
        <v>959491333.91596127</v>
      </c>
      <c r="L287" s="201">
        <f t="shared" si="53"/>
        <v>959491333.91596127</v>
      </c>
      <c r="M287" s="201">
        <f t="shared" si="51"/>
        <v>959491333.91596127</v>
      </c>
      <c r="N287" s="201">
        <f t="shared" si="52"/>
        <v>959491333.91596127</v>
      </c>
    </row>
    <row r="289" spans="2:15">
      <c r="B289" s="193" t="s">
        <v>101</v>
      </c>
      <c r="C289" s="198">
        <v>2016</v>
      </c>
      <c r="D289" s="199">
        <v>2017</v>
      </c>
      <c r="E289" s="199">
        <v>2018</v>
      </c>
      <c r="F289" s="199">
        <v>2019</v>
      </c>
      <c r="G289" s="199">
        <v>2020</v>
      </c>
      <c r="H289" s="199">
        <v>2021</v>
      </c>
      <c r="I289" s="199">
        <v>2022</v>
      </c>
      <c r="J289" s="199">
        <v>2023</v>
      </c>
      <c r="K289" s="199">
        <v>2024</v>
      </c>
      <c r="L289" s="199">
        <v>2025</v>
      </c>
      <c r="M289" s="199">
        <v>2026</v>
      </c>
      <c r="N289" s="199">
        <v>2027</v>
      </c>
    </row>
    <row r="290" spans="2:15">
      <c r="B290" s="145" t="str">
        <f>B282</f>
        <v>Cloud</v>
      </c>
      <c r="C290" s="202">
        <v>0.57976641246958427</v>
      </c>
      <c r="D290" s="202">
        <f t="shared" ref="D290:L291" si="54">D286/C286-1</f>
        <v>0.70931567256474581</v>
      </c>
      <c r="E290" s="202">
        <f t="shared" si="54"/>
        <v>0.67965027050964588</v>
      </c>
      <c r="F290" s="202">
        <f t="shared" si="54"/>
        <v>0</v>
      </c>
      <c r="G290" s="202">
        <f t="shared" si="54"/>
        <v>0</v>
      </c>
      <c r="H290" s="202">
        <f t="shared" si="54"/>
        <v>0</v>
      </c>
      <c r="I290" s="202">
        <f t="shared" si="54"/>
        <v>0</v>
      </c>
      <c r="J290" s="202">
        <f t="shared" si="54"/>
        <v>0</v>
      </c>
      <c r="K290" s="202">
        <f t="shared" si="54"/>
        <v>0</v>
      </c>
      <c r="L290" s="202">
        <f t="shared" si="54"/>
        <v>0</v>
      </c>
      <c r="M290" s="202">
        <f t="shared" ref="M290:M291" si="55">M286/L286-1</f>
        <v>0</v>
      </c>
      <c r="N290" s="202">
        <f t="shared" ref="N290:N291" si="56">N286/M286-1</f>
        <v>0</v>
      </c>
      <c r="O290" s="269" t="s">
        <v>220</v>
      </c>
    </row>
    <row r="291" spans="2:15">
      <c r="B291" s="149" t="str">
        <f>B283</f>
        <v>Enterprise</v>
      </c>
      <c r="C291" s="204">
        <v>0.29766140339975111</v>
      </c>
      <c r="D291" s="204">
        <f t="shared" si="54"/>
        <v>0.26265269444090578</v>
      </c>
      <c r="E291" s="204">
        <f t="shared" si="54"/>
        <v>0.2676411239830212</v>
      </c>
      <c r="F291" s="204">
        <f t="shared" si="54"/>
        <v>0</v>
      </c>
      <c r="G291" s="204">
        <f t="shared" si="54"/>
        <v>0</v>
      </c>
      <c r="H291" s="204">
        <f t="shared" si="54"/>
        <v>0</v>
      </c>
      <c r="I291" s="204">
        <f t="shared" si="54"/>
        <v>0</v>
      </c>
      <c r="J291" s="204">
        <f t="shared" si="54"/>
        <v>0</v>
      </c>
      <c r="K291" s="204">
        <f t="shared" si="54"/>
        <v>0</v>
      </c>
      <c r="L291" s="204">
        <f t="shared" si="54"/>
        <v>0</v>
      </c>
      <c r="M291" s="204">
        <f t="shared" si="55"/>
        <v>0</v>
      </c>
      <c r="N291" s="204">
        <f t="shared" si="56"/>
        <v>0</v>
      </c>
      <c r="O291" s="269" t="s">
        <v>221</v>
      </c>
    </row>
    <row r="323" s="193" customFormat="1"/>
    <row r="324" s="193" customFormat="1"/>
    <row r="325" s="193" customFormat="1"/>
    <row r="326" s="193" customFormat="1"/>
    <row r="327" s="193" customFormat="1"/>
    <row r="328" s="193" customFormat="1"/>
    <row r="329" s="193" customFormat="1"/>
    <row r="330" s="193" customFormat="1"/>
    <row r="331" s="193" customFormat="1"/>
    <row r="332" s="193" customFormat="1"/>
    <row r="333" s="193" customFormat="1"/>
    <row r="334" s="193" customFormat="1"/>
    <row r="335" s="193" customFormat="1"/>
    <row r="336" s="193" customFormat="1"/>
    <row r="337" s="193" customFormat="1"/>
    <row r="338" s="193" customFormat="1"/>
    <row r="339" s="193" customFormat="1"/>
    <row r="340" s="193" customFormat="1"/>
    <row r="341" s="193" customFormat="1"/>
  </sheetData>
  <pageMargins left="0.7" right="0.7" top="0.75" bottom="0.75" header="0.3" footer="0.3"/>
  <pageSetup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1:BU49"/>
  <sheetViews>
    <sheetView showGridLines="0" zoomScale="70" zoomScaleNormal="70" zoomScalePageLayoutView="70" workbookViewId="0"/>
  </sheetViews>
  <sheetFormatPr defaultColWidth="8.77734375" defaultRowHeight="13.2" outlineLevelCol="1"/>
  <cols>
    <col min="1" max="1" width="4.44140625" customWidth="1"/>
    <col min="2" max="2" width="22" customWidth="1"/>
    <col min="5" max="10" width="13.77734375" customWidth="1"/>
    <col min="11" max="12" width="11.44140625" customWidth="1"/>
    <col min="13" max="15" width="11" customWidth="1"/>
    <col min="16" max="16" width="11" style="4" customWidth="1"/>
    <col min="17" max="19" width="11" style="4" hidden="1" customWidth="1" outlineLevel="1"/>
    <col min="20" max="20" width="8.77734375" collapsed="1"/>
  </cols>
  <sheetData>
    <row r="1" spans="1:10" s="128" customFormat="1" ht="13.8"/>
    <row r="2" spans="1:10" s="128" customFormat="1" ht="18">
      <c r="A2" s="56"/>
      <c r="B2" s="6" t="str">
        <f>Introduction!$B$2</f>
        <v>LightCounting Ethernet Transceivers Forecast</v>
      </c>
    </row>
    <row r="3" spans="1:10" s="128" customFormat="1" ht="15.6">
      <c r="B3" s="37" t="str">
        <f>Introduction!B3</f>
        <v>March 2022 - sample spreadsheet</v>
      </c>
    </row>
    <row r="4" spans="1:10" s="128" customFormat="1" ht="18.75" customHeight="1">
      <c r="A4" s="56"/>
      <c r="B4" s="6" t="s">
        <v>190</v>
      </c>
    </row>
    <row r="5" spans="1:10" s="128" customFormat="1" ht="18.75" customHeight="1">
      <c r="A5" s="56"/>
      <c r="B5" s="6"/>
    </row>
    <row r="6" spans="1:10" s="128" customFormat="1" ht="21">
      <c r="A6" s="132"/>
      <c r="B6" s="197"/>
      <c r="E6" s="710" t="s">
        <v>191</v>
      </c>
      <c r="F6" s="710"/>
      <c r="G6" s="710"/>
      <c r="H6" s="710"/>
      <c r="I6" s="711"/>
      <c r="J6" s="224" t="s">
        <v>109</v>
      </c>
    </row>
    <row r="7" spans="1:10" ht="15.6">
      <c r="E7" s="712" t="s">
        <v>20</v>
      </c>
      <c r="F7" s="713"/>
      <c r="G7" s="713"/>
      <c r="H7" s="713"/>
      <c r="I7" s="714"/>
      <c r="J7" s="225">
        <f>MATCH(E7,Telecom!Q9:Q89,0)</f>
        <v>81</v>
      </c>
    </row>
    <row r="27" spans="1:21">
      <c r="M27" s="4"/>
      <c r="N27" s="4"/>
    </row>
    <row r="28" spans="1:21" s="4" customFormat="1" ht="14.4">
      <c r="A28" s="10"/>
      <c r="B28" s="178" t="s">
        <v>106</v>
      </c>
      <c r="C28" s="179"/>
      <c r="D28" s="179"/>
      <c r="E28" s="190">
        <v>2016</v>
      </c>
      <c r="F28" s="190">
        <v>2017</v>
      </c>
      <c r="G28" s="190">
        <v>2018</v>
      </c>
      <c r="H28" s="190">
        <v>2019</v>
      </c>
      <c r="I28" s="190">
        <v>2020</v>
      </c>
      <c r="J28" s="190">
        <v>2021</v>
      </c>
      <c r="K28" s="190">
        <v>2022</v>
      </c>
      <c r="L28" s="190">
        <v>2023</v>
      </c>
      <c r="M28" s="190">
        <v>2024</v>
      </c>
      <c r="N28" s="227">
        <v>2025</v>
      </c>
      <c r="O28" s="227">
        <v>2026</v>
      </c>
      <c r="P28" s="227">
        <v>2027</v>
      </c>
      <c r="Q28" s="227">
        <v>2028</v>
      </c>
      <c r="R28" s="227">
        <v>2029</v>
      </c>
      <c r="S28" s="227">
        <v>2030</v>
      </c>
    </row>
    <row r="29" spans="1:21" s="4" customFormat="1" ht="17.25" customHeight="1">
      <c r="A29" s="10"/>
      <c r="B29" s="180" t="s">
        <v>18</v>
      </c>
      <c r="C29" s="63"/>
      <c r="D29" s="217" t="str">
        <f>'Products x segment'!B32</f>
        <v>Telecom</v>
      </c>
      <c r="E29" s="21">
        <f>INDEX((VolTEL),$J$7,MATCH(E$28,$E$28:$N$28,0)+3)</f>
        <v>4496664.3535132017</v>
      </c>
      <c r="F29" s="21">
        <f>INDEX((VolTEL),$J$7,MATCH(F$28,$E$28:$N$28,0)+3)</f>
        <v>3902185.0984692555</v>
      </c>
      <c r="G29" s="21">
        <f>INDEX((VolTEL),$J$7,MATCH(G$28,$E$28:$N$28,0)+3)</f>
        <v>5876521.6602941174</v>
      </c>
      <c r="H29" s="21">
        <f>INDEX((VolTEL),$J$7,MATCH(H$28,$E$28:$N$28,0)+3)</f>
        <v>0</v>
      </c>
      <c r="I29" s="21">
        <f>INDEX((VolTEL),$J$7,MATCH(I$28,$E$28:$N$28,0)+3)</f>
        <v>0</v>
      </c>
      <c r="J29" s="21">
        <f>INDEX((VolTEL),$J$7,MATCH(J$28,$E$28:$N$28,0)+3)</f>
        <v>0</v>
      </c>
      <c r="K29" s="21">
        <f>INDEX((VolTEL),$J$7,MATCH(K$28,$E$28:$N$28,0)+3)</f>
        <v>0</v>
      </c>
      <c r="L29" s="21">
        <f>INDEX((VolTEL),$J$7,MATCH(L$28,$E$28:$N$28,0)+3)</f>
        <v>0</v>
      </c>
      <c r="M29" s="21">
        <f>INDEX((VolTEL),$J$7,MATCH(M$28,$E$28:$N$28,0)+3)</f>
        <v>0</v>
      </c>
      <c r="N29" s="21">
        <f>INDEX((VolTEL),$J$7,MATCH(N$28,$E$28:$S$28,0)+3)</f>
        <v>0</v>
      </c>
      <c r="O29" s="21">
        <f>INDEX((VolTEL),$J$7,MATCH(O$28,$E$28:$S$28,0)+3)</f>
        <v>0</v>
      </c>
      <c r="P29" s="21">
        <f>INDEX((VolTEL),$J$7,MATCH(P$28,$E$28:$S$28,0)+3)</f>
        <v>0</v>
      </c>
      <c r="Q29" s="21" t="e">
        <f>INDEX((VolTEL),$J$7,MATCH(Q$28,$E$28:$S$28,0)+3)</f>
        <v>#REF!</v>
      </c>
      <c r="R29" s="21" t="e">
        <f>INDEX((VolTEL),$J$7,MATCH(R$28,$E$28:$S$28,0)+3)</f>
        <v>#REF!</v>
      </c>
      <c r="S29" s="21" t="e">
        <f>INDEX((VolTEL),$J$7,MATCH(S$28,$E$28:$S$28,0)+3)</f>
        <v>#REF!</v>
      </c>
    </row>
    <row r="30" spans="1:21" s="4" customFormat="1" ht="14.55" customHeight="1">
      <c r="A30" s="10"/>
      <c r="B30" s="183"/>
      <c r="C30" s="61"/>
      <c r="D30" s="218" t="str">
        <f>'Products x segment'!B33</f>
        <v>Cloud</v>
      </c>
      <c r="E30" s="21">
        <f>INDEX((VolDCM),$J$7,MATCH(E$28,$E$28:$N$28,0)+3)</f>
        <v>10649308.537719864</v>
      </c>
      <c r="F30" s="21">
        <f>INDEX((VolDCM),$J$7,MATCH(F$28,$E$28:$N$28,0)+3)</f>
        <v>13336049.134659462</v>
      </c>
      <c r="G30" s="21">
        <f>INDEX((VolDCM),$J$7,MATCH(G$28,$E$28:$N$28,0)+3)</f>
        <v>15893347.87633656</v>
      </c>
      <c r="H30" s="21">
        <f>INDEX((VolDCM),$J$7,MATCH(H$28,$E$28:$N$28,0)+3)</f>
        <v>0</v>
      </c>
      <c r="I30" s="21">
        <f>INDEX((VolDCM),$J$7,MATCH(I$28,$E$28:$N$28,0)+3)</f>
        <v>0</v>
      </c>
      <c r="J30" s="21">
        <f>INDEX((VolDCM),$J$7,MATCH(J$28,$E$28:$N$28,0)+3)</f>
        <v>0</v>
      </c>
      <c r="K30" s="21">
        <f>INDEX((VolDCM),$J$7,MATCH(K$28,$E$28:$N$28,0)+3)</f>
        <v>0</v>
      </c>
      <c r="L30" s="21">
        <f>INDEX((VolDCM),$J$7,MATCH(L$28,$E$28:$N$28,0)+3)</f>
        <v>0</v>
      </c>
      <c r="M30" s="21">
        <f>INDEX((VolDCM),$J$7,MATCH(M$28,$E$28:$N$28,0)+3)</f>
        <v>0</v>
      </c>
      <c r="N30" s="21">
        <f>INDEX((VolDCM),$J$7,MATCH(N$28,$E$28:$S$28,0)+3)</f>
        <v>0</v>
      </c>
      <c r="O30" s="21">
        <f>INDEX((VolDCM),$J$7,MATCH(O$28,$E$28:$S$28,0)+3)</f>
        <v>0</v>
      </c>
      <c r="P30" s="21">
        <f>INDEX((VolDCM),$J$7,MATCH(P$28,$E$28:$S$28,0)+3)</f>
        <v>0</v>
      </c>
      <c r="Q30" s="21" t="e">
        <f>INDEX((VolDCM),$J$7,MATCH(Q$28,$E$28:$S$28,0)+3)</f>
        <v>#REF!</v>
      </c>
      <c r="R30" s="21" t="e">
        <f>INDEX((VolDCM),$J$7,MATCH(R$28,$E$28:$S$28,0)+3)</f>
        <v>#REF!</v>
      </c>
      <c r="S30" s="21" t="e">
        <f>INDEX((VolDCM),$J$7,MATCH(S$28,$E$28:$S$28,0)+3)</f>
        <v>#REF!</v>
      </c>
      <c r="U30" s="72"/>
    </row>
    <row r="31" spans="1:21" s="4" customFormat="1" ht="15.6">
      <c r="B31" s="66"/>
      <c r="C31" s="19"/>
      <c r="D31" s="219" t="str">
        <f>'Products x segment'!B34</f>
        <v>Enterprise</v>
      </c>
      <c r="E31" s="55">
        <f>INDEX((VolDCE),$J$7,MATCH(E$28,$E$28:$N$28,0)+3)</f>
        <v>21287441.14376694</v>
      </c>
      <c r="F31" s="55">
        <f>INDEX((VolDCE),$J$7,MATCH(F$28,$E$28:$N$28,0)+3)</f>
        <v>20863877.916871279</v>
      </c>
      <c r="G31" s="55">
        <f>INDEX((VolDCE),$J$7,MATCH(G$28,$E$28:$N$28,0)+3)</f>
        <v>24290440.800063994</v>
      </c>
      <c r="H31" s="55">
        <f>INDEX((VolDCE),$J$7,MATCH(H$28,$E$28:$N$28,0)+3)</f>
        <v>0</v>
      </c>
      <c r="I31" s="55">
        <f>INDEX((VolDCE),$J$7,MATCH(I$28,$E$28:$N$28,0)+3)</f>
        <v>0</v>
      </c>
      <c r="J31" s="55">
        <f>INDEX((VolDCE),$J$7,MATCH(J$28,$E$28:$N$28,0)+3)</f>
        <v>0</v>
      </c>
      <c r="K31" s="55">
        <f>INDEX((VolDCE),$J$7,MATCH(K$28,$E$28:$N$28,0)+3)</f>
        <v>0</v>
      </c>
      <c r="L31" s="55">
        <f>INDEX((VolDCE),$J$7,MATCH(L$28,$E$28:$N$28,0)+3)</f>
        <v>0</v>
      </c>
      <c r="M31" s="55">
        <f>INDEX((VolDCE),$J$7,MATCH(M$28,$E$28:$N$28,0)+3)</f>
        <v>0</v>
      </c>
      <c r="N31" s="55">
        <f>INDEX((VolDCE),$J$7,MATCH(N$28,$E$28:$S$28,0)+3)</f>
        <v>0</v>
      </c>
      <c r="O31" s="55">
        <f>INDEX((VolDCE),$J$7,MATCH(O$28,$E$28:$S$28,0)+3)</f>
        <v>0</v>
      </c>
      <c r="P31" s="55">
        <f>INDEX((VolDCE),$J$7,MATCH(P$28,$E$28:$S$28,0)+3)</f>
        <v>0</v>
      </c>
      <c r="Q31" s="55" t="e">
        <f>INDEX((VolDCE),$J$7,MATCH(Q$28,$E$28:$S$28,0)+3)</f>
        <v>#REF!</v>
      </c>
      <c r="R31" s="55" t="e">
        <f>INDEX((VolDCE),$J$7,MATCH(R$28,$E$28:$S$28,0)+3)</f>
        <v>#REF!</v>
      </c>
      <c r="S31" s="55" t="e">
        <f>INDEX((VolDCE),$J$7,MATCH(S$28,$E$28:$S$28,0)+3)</f>
        <v>#REF!</v>
      </c>
      <c r="T31" s="31" t="s">
        <v>110</v>
      </c>
    </row>
    <row r="32" spans="1:21" s="4" customFormat="1" ht="14.4">
      <c r="A32" s="10"/>
      <c r="B32" s="180" t="s">
        <v>29</v>
      </c>
      <c r="C32" s="63"/>
      <c r="D32" s="220" t="str">
        <f>D29</f>
        <v>Telecom</v>
      </c>
      <c r="E32" s="168">
        <f>IF(E29=0,,E35*10^6/E29)</f>
        <v>215.928687643648</v>
      </c>
      <c r="F32" s="168">
        <f t="shared" ref="F32:N32" si="0">IF(F29=0,,F35*10^6/F29)</f>
        <v>176.04828654569386</v>
      </c>
      <c r="G32" s="168">
        <f t="shared" si="0"/>
        <v>87.715660045600544</v>
      </c>
      <c r="H32" s="168">
        <f t="shared" si="0"/>
        <v>0</v>
      </c>
      <c r="I32" s="168">
        <f t="shared" si="0"/>
        <v>0</v>
      </c>
      <c r="J32" s="168">
        <f t="shared" si="0"/>
        <v>0</v>
      </c>
      <c r="K32" s="168">
        <f t="shared" si="0"/>
        <v>0</v>
      </c>
      <c r="L32" s="168">
        <f t="shared" si="0"/>
        <v>0</v>
      </c>
      <c r="M32" s="168">
        <f t="shared" si="0"/>
        <v>0</v>
      </c>
      <c r="N32" s="168">
        <f t="shared" si="0"/>
        <v>0</v>
      </c>
      <c r="O32" s="168">
        <f t="shared" ref="O32:R32" si="1">IF(O29=0,,O35*10^6/O29)</f>
        <v>0</v>
      </c>
      <c r="P32" s="168">
        <f t="shared" si="1"/>
        <v>0</v>
      </c>
      <c r="Q32" s="168" t="e">
        <f t="shared" si="1"/>
        <v>#REF!</v>
      </c>
      <c r="R32" s="168" t="e">
        <f t="shared" si="1"/>
        <v>#REF!</v>
      </c>
      <c r="S32" s="168" t="e">
        <f t="shared" ref="S32" si="2">IF(S29=0,,S35*10^6/S29)</f>
        <v>#REF!</v>
      </c>
      <c r="T32" s="226" t="s">
        <v>111</v>
      </c>
    </row>
    <row r="33" spans="1:73" s="4" customFormat="1" ht="13.8">
      <c r="B33" s="66"/>
      <c r="C33" s="19"/>
      <c r="D33" s="221" t="str">
        <f>D30</f>
        <v>Cloud</v>
      </c>
      <c r="E33" s="170">
        <f t="shared" ref="E33:N34" si="3">IF(E30=0,,E36*10^6/E30)</f>
        <v>104.97249875787344</v>
      </c>
      <c r="F33" s="170">
        <f t="shared" si="3"/>
        <v>143.06916178965082</v>
      </c>
      <c r="G33" s="170">
        <f t="shared" si="3"/>
        <v>143.76400920977201</v>
      </c>
      <c r="H33" s="170">
        <f t="shared" si="3"/>
        <v>0</v>
      </c>
      <c r="I33" s="170">
        <f t="shared" si="3"/>
        <v>0</v>
      </c>
      <c r="J33" s="170">
        <f t="shared" si="3"/>
        <v>0</v>
      </c>
      <c r="K33" s="170">
        <f t="shared" si="3"/>
        <v>0</v>
      </c>
      <c r="L33" s="170">
        <f t="shared" si="3"/>
        <v>0</v>
      </c>
      <c r="M33" s="170">
        <f t="shared" si="3"/>
        <v>0</v>
      </c>
      <c r="N33" s="170">
        <f t="shared" si="3"/>
        <v>0</v>
      </c>
      <c r="O33" s="170">
        <f t="shared" ref="O33:R33" si="4">IF(O30=0,,O36*10^6/O30)</f>
        <v>0</v>
      </c>
      <c r="P33" s="170">
        <f t="shared" si="4"/>
        <v>0</v>
      </c>
      <c r="Q33" s="170" t="e">
        <f t="shared" si="4"/>
        <v>#REF!</v>
      </c>
      <c r="R33" s="170" t="e">
        <f t="shared" si="4"/>
        <v>#REF!</v>
      </c>
      <c r="S33" s="170" t="e">
        <f t="shared" ref="S33" si="5">IF(S30=0,,S36*10^6/S30)</f>
        <v>#REF!</v>
      </c>
    </row>
    <row r="34" spans="1:73" s="4" customFormat="1" ht="13.8">
      <c r="B34" s="42"/>
      <c r="C34" s="43"/>
      <c r="D34" s="221" t="str">
        <f>D31</f>
        <v>Enterprise</v>
      </c>
      <c r="E34" s="166">
        <f t="shared" si="3"/>
        <v>28.127948480290783</v>
      </c>
      <c r="F34" s="166">
        <f t="shared" si="3"/>
        <v>27.960426281351427</v>
      </c>
      <c r="G34" s="166">
        <f t="shared" si="3"/>
        <v>24.193185540677987</v>
      </c>
      <c r="H34" s="166">
        <f t="shared" si="3"/>
        <v>0</v>
      </c>
      <c r="I34" s="166">
        <f t="shared" si="3"/>
        <v>0</v>
      </c>
      <c r="J34" s="166">
        <f t="shared" si="3"/>
        <v>0</v>
      </c>
      <c r="K34" s="166">
        <f t="shared" si="3"/>
        <v>0</v>
      </c>
      <c r="L34" s="166">
        <f t="shared" si="3"/>
        <v>0</v>
      </c>
      <c r="M34" s="166">
        <f t="shared" si="3"/>
        <v>0</v>
      </c>
      <c r="N34" s="166">
        <f t="shared" si="3"/>
        <v>0</v>
      </c>
      <c r="O34" s="166">
        <f t="shared" ref="O34:R34" si="6">IF(O31=0,,O37*10^6/O31)</f>
        <v>0</v>
      </c>
      <c r="P34" s="166">
        <f t="shared" si="6"/>
        <v>0</v>
      </c>
      <c r="Q34" s="166" t="e">
        <f t="shared" si="6"/>
        <v>#REF!</v>
      </c>
      <c r="R34" s="166" t="e">
        <f t="shared" si="6"/>
        <v>#REF!</v>
      </c>
      <c r="S34" s="166" t="e">
        <f t="shared" ref="S34" si="7">IF(S31=0,,S37*10^6/S31)</f>
        <v>#REF!</v>
      </c>
      <c r="U34" s="72"/>
    </row>
    <row r="35" spans="1:73" s="4" customFormat="1" ht="14.4">
      <c r="A35" s="10"/>
      <c r="B35" s="180" t="s">
        <v>28</v>
      </c>
      <c r="C35" s="63"/>
      <c r="D35" s="220" t="str">
        <f>D29</f>
        <v>Telecom</v>
      </c>
      <c r="E35" s="168">
        <f>INDEX((RevTEL),$J$7,MATCH(E$28,$E$28:$N$28,0)+3)</f>
        <v>970.95883262807854</v>
      </c>
      <c r="F35" s="168">
        <f>INDEX((RevTEL),$J$7,MATCH(F$28,$E$28:$N$28,0)+3)</f>
        <v>686.97300036965203</v>
      </c>
      <c r="G35" s="168">
        <f>INDEX((RevTEL),$J$7,MATCH(G$28,$E$28:$N$28,0)+3)</f>
        <v>515.46297620496682</v>
      </c>
      <c r="H35" s="168">
        <f>INDEX((RevTEL),$J$7,MATCH(H$28,$E$28:$N$28,0)+3)</f>
        <v>0</v>
      </c>
      <c r="I35" s="168">
        <f>INDEX((RevTEL),$J$7,MATCH(I$28,$E$28:$N$28,0)+3)</f>
        <v>0</v>
      </c>
      <c r="J35" s="168">
        <f>INDEX((RevTEL),$J$7,MATCH(J$28,$E$28:$N$28,0)+3)</f>
        <v>0</v>
      </c>
      <c r="K35" s="168">
        <f>INDEX((RevTEL),$J$7,MATCH(K$28,$E$28:$N$28,0)+3)</f>
        <v>0</v>
      </c>
      <c r="L35" s="168">
        <f>INDEX((RevTEL),$J$7,MATCH(L$28,$E$28:$N$28,0)+3)</f>
        <v>0</v>
      </c>
      <c r="M35" s="168">
        <f>INDEX((RevTEL),$J$7,MATCH(M$28,$E$28:$N$28,0)+3)</f>
        <v>0</v>
      </c>
      <c r="N35" s="168">
        <f>INDEX((RevTEL),$J$7,MATCH(N$28,$E$28:$S$28,0)+3)</f>
        <v>0</v>
      </c>
      <c r="O35" s="168">
        <f>INDEX((RevTEL),$J$7,MATCH(O$28,$E$28:$S$28,0)+3)</f>
        <v>0</v>
      </c>
      <c r="P35" s="168">
        <f>INDEX((RevTEL),$J$7,MATCH(P$28,$E$28:$S$28,0)+3)</f>
        <v>0</v>
      </c>
      <c r="Q35" s="168" t="e">
        <f>INDEX((RevTEL),$J$7,MATCH(Q$28,$E$28:$S$28,0)+3)</f>
        <v>#REF!</v>
      </c>
      <c r="R35" s="168" t="e">
        <f>INDEX((RevTEL),$J$7,MATCH(R$28,$E$28:$S$28,0)+3)</f>
        <v>#REF!</v>
      </c>
      <c r="S35" s="168" t="e">
        <f>INDEX((RevTEL),$J$7,MATCH(S$28,$E$28:$S$28,0)+3)</f>
        <v>#REF!</v>
      </c>
      <c r="U35" s="72"/>
    </row>
    <row r="36" spans="1:73" s="4" customFormat="1" ht="14.4">
      <c r="A36" s="10"/>
      <c r="B36" s="66"/>
      <c r="C36" s="19"/>
      <c r="D36" s="221" t="str">
        <f>D30</f>
        <v>Cloud</v>
      </c>
      <c r="E36" s="170">
        <f>INDEX((RevDCM),$J$7,MATCH(E$28,$E$28:$N$28,0)+3)</f>
        <v>1117.8845272480094</v>
      </c>
      <c r="F36" s="170">
        <f>INDEX((RevDCM),$J$7,MATCH(F$28,$E$28:$N$28,0)+3)</f>
        <v>1907.9773712813274</v>
      </c>
      <c r="G36" s="170">
        <f>INDEX((RevDCM),$J$7,MATCH(G$28,$E$28:$N$28,0)+3)</f>
        <v>2284.8914104677597</v>
      </c>
      <c r="H36" s="170">
        <f>INDEX((RevDCM),$J$7,MATCH(H$28,$E$28:$N$28,0)+3)</f>
        <v>0</v>
      </c>
      <c r="I36" s="170">
        <f>INDEX((RevDCM),$J$7,MATCH(I$28,$E$28:$N$28,0)+3)</f>
        <v>0</v>
      </c>
      <c r="J36" s="170">
        <f>INDEX((RevDCM),$J$7,MATCH(J$28,$E$28:$N$28,0)+3)</f>
        <v>0</v>
      </c>
      <c r="K36" s="170">
        <f>INDEX((RevDCM),$J$7,MATCH(K$28,$E$28:$N$28,0)+3)</f>
        <v>0</v>
      </c>
      <c r="L36" s="170">
        <f>INDEX((RevDCM),$J$7,MATCH(L$28,$E$28:$N$28,0)+3)</f>
        <v>0</v>
      </c>
      <c r="M36" s="170">
        <f>INDEX((RevDCM),$J$7,MATCH(M$28,$E$28:$N$28,0)+3)</f>
        <v>0</v>
      </c>
      <c r="N36" s="170">
        <f>INDEX((RevDCM),$J$7,MATCH(N$28,$E$28:$S$28,0)+3)</f>
        <v>0</v>
      </c>
      <c r="O36" s="170">
        <f>INDEX((RevDCM),$J$7,MATCH(O$28,$E$28:$S$28,0)+3)</f>
        <v>0</v>
      </c>
      <c r="P36" s="170">
        <f>INDEX((RevDCM),$J$7,MATCH(P$28,$E$28:$S$28,0)+3)</f>
        <v>0</v>
      </c>
      <c r="Q36" s="170" t="e">
        <f>INDEX((RevDCM),$J$7,MATCH(Q$28,$E$28:$S$28,0)+3)</f>
        <v>#REF!</v>
      </c>
      <c r="R36" s="170" t="e">
        <f>INDEX((RevDCM),$J$7,MATCH(R$28,$E$28:$S$28,0)+3)</f>
        <v>#REF!</v>
      </c>
      <c r="S36" s="170" t="e">
        <f>INDEX((RevDCM),$J$7,MATCH(S$28,$E$28:$S$28,0)+3)</f>
        <v>#REF!</v>
      </c>
      <c r="U36" s="72" t="s">
        <v>433</v>
      </c>
      <c r="AN36" s="64"/>
      <c r="AO36" s="61"/>
      <c r="AP36" s="61"/>
      <c r="AQ36" s="61"/>
      <c r="AR36" s="61"/>
      <c r="AS36" s="61"/>
      <c r="AT36" s="61"/>
      <c r="AU36" s="61"/>
      <c r="AV36" s="61"/>
      <c r="AW36" s="61"/>
      <c r="AX36" s="61"/>
      <c r="AY36" s="61"/>
      <c r="AZ36" s="61"/>
      <c r="BA36" s="61"/>
      <c r="BB36" s="61"/>
      <c r="BC36" s="61"/>
      <c r="BD36" s="61"/>
      <c r="BE36" s="61"/>
      <c r="BF36" s="61"/>
      <c r="BG36" s="65"/>
      <c r="BH36" s="65"/>
      <c r="BI36" s="65"/>
      <c r="BJ36" s="65"/>
      <c r="BK36" s="65"/>
      <c r="BL36" s="65"/>
      <c r="BM36" s="65"/>
      <c r="BN36" s="65"/>
      <c r="BO36" s="65"/>
      <c r="BP36" s="65"/>
      <c r="BQ36" s="65"/>
      <c r="BR36" s="65"/>
      <c r="BS36" s="65"/>
      <c r="BT36" s="65"/>
      <c r="BU36" s="65"/>
    </row>
    <row r="37" spans="1:73" s="4" customFormat="1" ht="14.4">
      <c r="A37" s="10"/>
      <c r="B37" s="42"/>
      <c r="C37" s="43"/>
      <c r="D37" s="223" t="str">
        <f>D31</f>
        <v>Enterprise</v>
      </c>
      <c r="E37" s="166">
        <f>INDEX((RevDCE),$J$7,MATCH(E$28,$E$28:$N$28,0)+3)</f>
        <v>598.77204776909878</v>
      </c>
      <c r="F37" s="166">
        <f>INDEX((RevDCE),$J$7,MATCH(F$28,$E$28:$N$28,0)+3)</f>
        <v>583.36292043779542</v>
      </c>
      <c r="G37" s="166">
        <f>INDEX((RevDCE),$J$7,MATCH(G$28,$E$28:$N$28,0)+3)</f>
        <v>587.66314114080285</v>
      </c>
      <c r="H37" s="166">
        <f>INDEX((RevDCE),$J$7,MATCH(H$28,$E$28:$N$28,0)+3)</f>
        <v>0</v>
      </c>
      <c r="I37" s="166">
        <f>INDEX((RevDCE),$J$7,MATCH(I$28,$E$28:$N$28,0)+3)</f>
        <v>0</v>
      </c>
      <c r="J37" s="166">
        <f>INDEX((RevDCE),$J$7,MATCH(J$28,$E$28:$N$28,0)+3)</f>
        <v>0</v>
      </c>
      <c r="K37" s="166">
        <f>INDEX((RevDCE),$J$7,MATCH(K$28,$E$28:$N$28,0)+3)</f>
        <v>0</v>
      </c>
      <c r="L37" s="166">
        <f>INDEX((RevDCE),$J$7,MATCH(L$28,$E$28:$N$28,0)+3)</f>
        <v>0</v>
      </c>
      <c r="M37" s="166">
        <f>INDEX((RevDCE),$J$7,MATCH(M$28,$E$28:$N$28,0)+3)</f>
        <v>0</v>
      </c>
      <c r="N37" s="166">
        <f>INDEX((RevDCE),$J$7,MATCH(N$28,$E$28:$S$28,0)+3)</f>
        <v>0</v>
      </c>
      <c r="O37" s="166">
        <f>INDEX((RevDCE),$J$7,MATCH(O$28,$E$28:$S$28,0)+3)</f>
        <v>0</v>
      </c>
      <c r="P37" s="166">
        <f>INDEX((RevDCE),$J$7,MATCH(P$28,$E$28:$S$28,0)+3)</f>
        <v>0</v>
      </c>
      <c r="Q37" s="166" t="e">
        <f>INDEX((RevDCE),$J$7,MATCH(Q$28,$E$28:$S$28,0)+3)</f>
        <v>#REF!</v>
      </c>
      <c r="R37" s="166" t="e">
        <f>INDEX((RevDCE),$J$7,MATCH(R$28,$E$28:$S$28,0)+3)</f>
        <v>#REF!</v>
      </c>
      <c r="S37" s="166" t="e">
        <f>INDEX((RevDCE),$J$7,MATCH(S$28,$E$28:$S$28,0)+3)</f>
        <v>#REF!</v>
      </c>
      <c r="U37" s="72"/>
      <c r="AN37" s="64"/>
      <c r="AO37" s="61"/>
      <c r="AP37" s="61"/>
      <c r="AQ37" s="61"/>
      <c r="AR37" s="61"/>
      <c r="AS37" s="61"/>
      <c r="AT37" s="61"/>
      <c r="AU37" s="61"/>
      <c r="AV37" s="61"/>
      <c r="AW37" s="61"/>
      <c r="AX37" s="61"/>
      <c r="AY37" s="61"/>
      <c r="AZ37" s="61"/>
      <c r="BA37" s="61"/>
      <c r="BB37" s="61"/>
      <c r="BC37" s="61"/>
      <c r="BD37" s="61"/>
      <c r="BE37" s="61"/>
      <c r="BF37" s="61"/>
      <c r="BG37" s="65"/>
      <c r="BH37" s="65"/>
      <c r="BI37" s="65"/>
      <c r="BJ37" s="65"/>
      <c r="BK37" s="65"/>
      <c r="BL37" s="65"/>
      <c r="BM37" s="65"/>
      <c r="BN37" s="65"/>
      <c r="BO37" s="65"/>
      <c r="BP37" s="65"/>
      <c r="BQ37" s="65"/>
      <c r="BR37" s="65"/>
      <c r="BS37" s="65"/>
      <c r="BT37" s="65"/>
      <c r="BU37" s="65"/>
    </row>
    <row r="38" spans="1:73" ht="13.8">
      <c r="B38" s="273" t="s">
        <v>108</v>
      </c>
      <c r="C38" s="274"/>
      <c r="D38" s="534" t="str">
        <f>D29</f>
        <v>Telecom</v>
      </c>
      <c r="E38" s="270">
        <f>IF(SUM(E29:E31)=0,,E29/SUM(E$29:E$31))</f>
        <v>0.12342143805665455</v>
      </c>
      <c r="F38" s="270">
        <f>IF(SUM(F29:F31)=0,,F29/SUM(F$29:F$31))</f>
        <v>0.10241387887125979</v>
      </c>
      <c r="G38" s="270">
        <f>IF(SUM(G29:G31)=0,,G29/SUM(G$29:G$31))</f>
        <v>0.12758319727630002</v>
      </c>
      <c r="H38" s="270">
        <f>IF(SUM(H29:H31)=0,,H29/SUM(H$29:H$31))</f>
        <v>0</v>
      </c>
      <c r="I38" s="270">
        <f>IF(SUM(I29:I31)=0,,I29/SUM(I$29:I$31))</f>
        <v>0</v>
      </c>
      <c r="J38" s="270">
        <f t="shared" ref="J38:K40" si="8">IF(SUM(J29:J31)=0,,J29/SUM(J$29:J$31))</f>
        <v>0</v>
      </c>
      <c r="K38" s="270">
        <f t="shared" si="8"/>
        <v>0</v>
      </c>
      <c r="L38" s="270">
        <f t="shared" ref="L38:N40" si="9">IF(SUM(L29:L31)=0,,L29/SUM(L$29:L$31))</f>
        <v>0</v>
      </c>
      <c r="M38" s="270">
        <f t="shared" si="9"/>
        <v>0</v>
      </c>
      <c r="N38" s="270">
        <f t="shared" si="9"/>
        <v>0</v>
      </c>
      <c r="O38" s="270">
        <f t="shared" ref="O38:R38" si="10">IF(SUM(O29:O31)=0,,O29/SUM(O$29:O$31))</f>
        <v>0</v>
      </c>
      <c r="P38" s="270">
        <f t="shared" si="10"/>
        <v>0</v>
      </c>
      <c r="Q38" s="270" t="e">
        <f t="shared" si="10"/>
        <v>#REF!</v>
      </c>
      <c r="R38" s="270" t="e">
        <f t="shared" si="10"/>
        <v>#REF!</v>
      </c>
      <c r="S38" s="270" t="e">
        <f t="shared" ref="S38" si="11">IF(SUM(S29:S31)=0,,S29/SUM(S$29:S$31))</f>
        <v>#REF!</v>
      </c>
      <c r="T38" s="72"/>
      <c r="U38" s="4"/>
      <c r="V38" s="4"/>
    </row>
    <row r="39" spans="1:73" ht="13.8">
      <c r="B39" s="275"/>
      <c r="C39" s="276"/>
      <c r="D39" s="535" t="str">
        <f>D30</f>
        <v>Cloud</v>
      </c>
      <c r="E39" s="270">
        <f t="shared" ref="E39:I40" si="12">IF(SUM(E30:E32)=0,,E30/SUM(E$29:E$31))</f>
        <v>0.29229510381567686</v>
      </c>
      <c r="F39" s="270">
        <f t="shared" si="12"/>
        <v>0.35000813293914634</v>
      </c>
      <c r="G39" s="270">
        <f t="shared" si="12"/>
        <v>0.34505516268037112</v>
      </c>
      <c r="H39" s="270">
        <f t="shared" si="12"/>
        <v>0</v>
      </c>
      <c r="I39" s="270">
        <f t="shared" si="12"/>
        <v>0</v>
      </c>
      <c r="J39" s="270">
        <f t="shared" si="8"/>
        <v>0</v>
      </c>
      <c r="K39" s="270">
        <f t="shared" si="8"/>
        <v>0</v>
      </c>
      <c r="L39" s="270">
        <f t="shared" si="9"/>
        <v>0</v>
      </c>
      <c r="M39" s="270">
        <f t="shared" si="9"/>
        <v>0</v>
      </c>
      <c r="N39" s="270">
        <f t="shared" si="9"/>
        <v>0</v>
      </c>
      <c r="O39" s="270">
        <f t="shared" ref="O39:R39" si="13">IF(SUM(O30:O32)=0,,O30/SUM(O$29:O$31))</f>
        <v>0</v>
      </c>
      <c r="P39" s="270">
        <f t="shared" si="13"/>
        <v>0</v>
      </c>
      <c r="Q39" s="270" t="e">
        <f t="shared" si="13"/>
        <v>#REF!</v>
      </c>
      <c r="R39" s="270" t="e">
        <f t="shared" si="13"/>
        <v>#REF!</v>
      </c>
      <c r="S39" s="270" t="e">
        <f t="shared" ref="S39" si="14">IF(SUM(S30:S32)=0,,S30/SUM(S$29:S$31))</f>
        <v>#REF!</v>
      </c>
      <c r="T39" s="72"/>
      <c r="U39" s="4"/>
      <c r="V39" s="4"/>
    </row>
    <row r="40" spans="1:73" ht="13.8">
      <c r="B40" s="296"/>
      <c r="C40" s="297"/>
      <c r="D40" s="536" t="str">
        <f>D31</f>
        <v>Enterprise</v>
      </c>
      <c r="E40" s="270">
        <f t="shared" si="12"/>
        <v>0.58428345812766869</v>
      </c>
      <c r="F40" s="270">
        <f t="shared" si="12"/>
        <v>0.5475779881895938</v>
      </c>
      <c r="G40" s="270">
        <f t="shared" si="12"/>
        <v>0.52736164004332886</v>
      </c>
      <c r="H40" s="270">
        <f t="shared" si="12"/>
        <v>0</v>
      </c>
      <c r="I40" s="270">
        <f t="shared" si="12"/>
        <v>0</v>
      </c>
      <c r="J40" s="270">
        <f t="shared" si="8"/>
        <v>0</v>
      </c>
      <c r="K40" s="270">
        <f t="shared" si="8"/>
        <v>0</v>
      </c>
      <c r="L40" s="270">
        <f t="shared" si="9"/>
        <v>0</v>
      </c>
      <c r="M40" s="270">
        <f t="shared" si="9"/>
        <v>0</v>
      </c>
      <c r="N40" s="270">
        <f t="shared" si="9"/>
        <v>0</v>
      </c>
      <c r="O40" s="270">
        <f t="shared" ref="O40:R40" si="15">IF(SUM(O31:O33)=0,,O31/SUM(O$29:O$31))</f>
        <v>0</v>
      </c>
      <c r="P40" s="270">
        <f t="shared" si="15"/>
        <v>0</v>
      </c>
      <c r="Q40" s="270" t="e">
        <f t="shared" si="15"/>
        <v>#REF!</v>
      </c>
      <c r="R40" s="270" t="e">
        <f t="shared" si="15"/>
        <v>#REF!</v>
      </c>
      <c r="S40" s="270" t="e">
        <f t="shared" ref="S40" si="16">IF(SUM(S31:S33)=0,,S31/SUM(S$29:S$31))</f>
        <v>#REF!</v>
      </c>
      <c r="T40" s="72"/>
    </row>
    <row r="41" spans="1:73" ht="13.8">
      <c r="B41" s="273" t="str">
        <f>"Total "&amp;B29</f>
        <v>Total Shipments (devices)</v>
      </c>
      <c r="C41" s="274"/>
      <c r="D41" s="537"/>
      <c r="E41" s="505">
        <f t="shared" ref="E41:N41" si="17">SUM(E29:E31)</f>
        <v>36433414.035000004</v>
      </c>
      <c r="F41" s="505">
        <f t="shared" si="17"/>
        <v>38102112.149999999</v>
      </c>
      <c r="G41" s="505">
        <f t="shared" si="17"/>
        <v>46060310.336694673</v>
      </c>
      <c r="H41" s="505">
        <f t="shared" si="17"/>
        <v>0</v>
      </c>
      <c r="I41" s="505">
        <f t="shared" si="17"/>
        <v>0</v>
      </c>
      <c r="J41" s="505">
        <f t="shared" si="17"/>
        <v>0</v>
      </c>
      <c r="K41" s="505">
        <f t="shared" si="17"/>
        <v>0</v>
      </c>
      <c r="L41" s="505">
        <f t="shared" si="17"/>
        <v>0</v>
      </c>
      <c r="M41" s="505">
        <f t="shared" si="17"/>
        <v>0</v>
      </c>
      <c r="N41" s="505">
        <f t="shared" si="17"/>
        <v>0</v>
      </c>
      <c r="O41" s="505">
        <f t="shared" ref="O41:R41" si="18">SUM(O29:O31)</f>
        <v>0</v>
      </c>
      <c r="P41" s="505">
        <f t="shared" si="18"/>
        <v>0</v>
      </c>
      <c r="Q41" s="505" t="e">
        <f t="shared" si="18"/>
        <v>#REF!</v>
      </c>
      <c r="R41" s="505" t="e">
        <f t="shared" si="18"/>
        <v>#REF!</v>
      </c>
      <c r="S41" s="505" t="e">
        <f t="shared" ref="S41" si="19">SUM(S29:S31)</f>
        <v>#REF!</v>
      </c>
    </row>
    <row r="42" spans="1:73" ht="13.8">
      <c r="B42" s="275" t="str">
        <f>"Total "&amp;B32</f>
        <v>Total A.S.P. ($)</v>
      </c>
      <c r="C42" s="276"/>
      <c r="D42" s="299"/>
      <c r="E42" s="278">
        <f t="shared" ref="E42:N42" si="20">IF(E41=0,,E43*10^6/E41)</f>
        <v>73.767871576990046</v>
      </c>
      <c r="F42" s="278">
        <f t="shared" si="20"/>
        <v>83.415672065013723</v>
      </c>
      <c r="G42" s="278">
        <f t="shared" si="20"/>
        <v>73.556115949883477</v>
      </c>
      <c r="H42" s="278">
        <f t="shared" si="20"/>
        <v>0</v>
      </c>
      <c r="I42" s="278">
        <f t="shared" si="20"/>
        <v>0</v>
      </c>
      <c r="J42" s="278">
        <f t="shared" si="20"/>
        <v>0</v>
      </c>
      <c r="K42" s="278">
        <f t="shared" si="20"/>
        <v>0</v>
      </c>
      <c r="L42" s="278">
        <f t="shared" si="20"/>
        <v>0</v>
      </c>
      <c r="M42" s="278">
        <f t="shared" si="20"/>
        <v>0</v>
      </c>
      <c r="N42" s="278">
        <f t="shared" si="20"/>
        <v>0</v>
      </c>
      <c r="O42" s="278">
        <f t="shared" ref="O42:R42" si="21">IF(O41=0,,O43*10^6/O41)</f>
        <v>0</v>
      </c>
      <c r="P42" s="278">
        <f t="shared" si="21"/>
        <v>0</v>
      </c>
      <c r="Q42" s="278" t="e">
        <f t="shared" si="21"/>
        <v>#REF!</v>
      </c>
      <c r="R42" s="278" t="e">
        <f t="shared" si="21"/>
        <v>#REF!</v>
      </c>
      <c r="S42" s="278" t="e">
        <f t="shared" ref="S42" si="22">IF(S41=0,,S43*10^6/S41)</f>
        <v>#REF!</v>
      </c>
    </row>
    <row r="43" spans="1:73" ht="13.8">
      <c r="B43" s="296" t="str">
        <f>"Total "&amp;B35</f>
        <v>Total Revenues ($ million)</v>
      </c>
      <c r="C43" s="297"/>
      <c r="D43" s="298"/>
      <c r="E43" s="508">
        <f t="shared" ref="E43:N43" si="23">SUM(E35:E37)</f>
        <v>2687.6154076451867</v>
      </c>
      <c r="F43" s="508">
        <f t="shared" si="23"/>
        <v>3178.3132920887747</v>
      </c>
      <c r="G43" s="508">
        <f t="shared" si="23"/>
        <v>3388.0175278135293</v>
      </c>
      <c r="H43" s="508">
        <f t="shared" si="23"/>
        <v>0</v>
      </c>
      <c r="I43" s="508">
        <f t="shared" si="23"/>
        <v>0</v>
      </c>
      <c r="J43" s="508">
        <f t="shared" si="23"/>
        <v>0</v>
      </c>
      <c r="K43" s="508">
        <f t="shared" si="23"/>
        <v>0</v>
      </c>
      <c r="L43" s="508">
        <f t="shared" si="23"/>
        <v>0</v>
      </c>
      <c r="M43" s="508">
        <f t="shared" si="23"/>
        <v>0</v>
      </c>
      <c r="N43" s="508">
        <f t="shared" si="23"/>
        <v>0</v>
      </c>
      <c r="O43" s="508">
        <f t="shared" ref="O43:R43" si="24">SUM(O35:O37)</f>
        <v>0</v>
      </c>
      <c r="P43" s="508">
        <f t="shared" si="24"/>
        <v>0</v>
      </c>
      <c r="Q43" s="508" t="e">
        <f t="shared" si="24"/>
        <v>#REF!</v>
      </c>
      <c r="R43" s="508" t="e">
        <f t="shared" si="24"/>
        <v>#REF!</v>
      </c>
      <c r="S43" s="508" t="e">
        <f t="shared" ref="S43" si="25">SUM(S35:S37)</f>
        <v>#REF!</v>
      </c>
      <c r="Y43" s="4"/>
      <c r="Z43" s="4"/>
      <c r="AA43" s="4"/>
    </row>
    <row r="44" spans="1:73" ht="14.4">
      <c r="E44" s="191" t="e">
        <f t="shared" ref="E44:L44" si="26">E41/D41-1</f>
        <v>#DIV/0!</v>
      </c>
      <c r="F44" s="191">
        <f t="shared" si="26"/>
        <v>4.5801310670390283E-2</v>
      </c>
      <c r="G44" s="191">
        <f t="shared" si="26"/>
        <v>0.20886501397520751</v>
      </c>
      <c r="H44" s="191">
        <f t="shared" si="26"/>
        <v>-1</v>
      </c>
      <c r="I44" s="191" t="e">
        <f t="shared" si="26"/>
        <v>#DIV/0!</v>
      </c>
      <c r="J44" s="192" t="e">
        <f t="shared" si="26"/>
        <v>#DIV/0!</v>
      </c>
      <c r="K44" s="192" t="e">
        <f t="shared" si="26"/>
        <v>#DIV/0!</v>
      </c>
      <c r="L44" s="192" t="e">
        <f t="shared" si="26"/>
        <v>#DIV/0!</v>
      </c>
      <c r="M44" s="192" t="e">
        <f>M41/L41-1</f>
        <v>#DIV/0!</v>
      </c>
      <c r="N44" s="192" t="e">
        <f>N41/M41-1</f>
        <v>#DIV/0!</v>
      </c>
      <c r="O44" s="192" t="e">
        <f>O41/N41-1</f>
        <v>#DIV/0!</v>
      </c>
      <c r="P44" s="192" t="e">
        <f t="shared" ref="P44:R44" si="27">P41/O41-1</f>
        <v>#DIV/0!</v>
      </c>
      <c r="Q44" s="192" t="e">
        <f t="shared" si="27"/>
        <v>#REF!</v>
      </c>
      <c r="R44" s="192" t="e">
        <f t="shared" si="27"/>
        <v>#REF!</v>
      </c>
      <c r="S44" s="192" t="e">
        <f>S41/R41-1</f>
        <v>#REF!</v>
      </c>
      <c r="T44" s="222" t="s">
        <v>107</v>
      </c>
      <c r="U44" s="222"/>
      <c r="V44" s="222"/>
      <c r="W44" s="222"/>
      <c r="X44" s="222"/>
      <c r="Y44" s="4"/>
      <c r="Z44" s="4"/>
      <c r="AA44" s="4"/>
    </row>
    <row r="47" spans="1:73">
      <c r="B47" s="19"/>
      <c r="C47" s="19"/>
      <c r="D47" s="19"/>
      <c r="E47" s="19"/>
      <c r="F47" s="19"/>
      <c r="G47" s="19"/>
      <c r="H47" s="19"/>
      <c r="I47" s="19"/>
      <c r="J47" s="19"/>
      <c r="K47" s="19"/>
    </row>
    <row r="48" spans="1:73">
      <c r="B48" s="19"/>
      <c r="C48" s="19"/>
      <c r="D48" s="19"/>
      <c r="E48" s="19"/>
      <c r="F48" s="19"/>
      <c r="G48" s="19"/>
      <c r="H48" s="19"/>
      <c r="I48" s="19"/>
      <c r="J48" s="19"/>
      <c r="K48" s="19"/>
    </row>
    <row r="49" spans="2:11">
      <c r="B49" s="19"/>
      <c r="C49" s="19"/>
      <c r="D49" s="19"/>
      <c r="E49" s="19"/>
      <c r="F49" s="19"/>
      <c r="G49" s="19"/>
      <c r="H49" s="19"/>
      <c r="I49" s="19"/>
      <c r="J49" s="19"/>
      <c r="K49" s="19"/>
    </row>
  </sheetData>
  <mergeCells count="2">
    <mergeCell ref="E6:I6"/>
    <mergeCell ref="E7:I7"/>
  </mergeCells>
  <pageMargins left="0.7" right="0.7" top="0.75" bottom="0.75" header="0.3" footer="0.3"/>
  <pageSetup orientation="portrait"/>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Telecom!$Q$9:$Q$89</xm:f>
          </x14:formula1>
          <xm:sqref>E7:I7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2:O57"/>
  <sheetViews>
    <sheetView showGridLines="0" zoomScale="70" zoomScaleNormal="70" zoomScalePageLayoutView="80" workbookViewId="0"/>
  </sheetViews>
  <sheetFormatPr defaultColWidth="9.21875" defaultRowHeight="13.2"/>
  <cols>
    <col min="1" max="1" width="4.44140625" style="1" customWidth="1"/>
    <col min="2" max="2" width="16.77734375" style="1" customWidth="1"/>
    <col min="3" max="13" width="9" style="1" customWidth="1"/>
    <col min="14" max="14" width="11.44140625" style="1" bestFit="1" customWidth="1"/>
    <col min="15" max="16384" width="9.21875" style="1"/>
  </cols>
  <sheetData>
    <row r="2" spans="1:15" ht="17.399999999999999">
      <c r="B2" s="6" t="str">
        <f>Introduction!$B$2</f>
        <v>LightCounting Ethernet Transceivers Forecast</v>
      </c>
    </row>
    <row r="3" spans="1:15" ht="15.6">
      <c r="B3" s="37" t="str">
        <f>Introduction!$B$3</f>
        <v>March 2022 - sample spreadsheet</v>
      </c>
    </row>
    <row r="4" spans="1:15" ht="17.399999999999999">
      <c r="B4" s="6" t="s">
        <v>0</v>
      </c>
    </row>
    <row r="6" spans="1:15">
      <c r="B6" s="25" t="s">
        <v>23</v>
      </c>
      <c r="C6" s="24"/>
      <c r="D6" s="24"/>
      <c r="E6" s="24"/>
      <c r="F6" s="24"/>
      <c r="G6" s="24"/>
      <c r="H6" s="24"/>
      <c r="I6" s="24"/>
      <c r="J6" s="8"/>
      <c r="K6" s="8"/>
      <c r="L6" s="8"/>
      <c r="M6" s="8"/>
      <c r="N6" s="8"/>
      <c r="O6" s="8"/>
    </row>
    <row r="7" spans="1:15">
      <c r="B7" s="25" t="s">
        <v>26</v>
      </c>
      <c r="C7" s="24"/>
      <c r="D7" s="24"/>
      <c r="E7" s="24"/>
      <c r="F7" s="24"/>
      <c r="G7" s="24"/>
      <c r="H7" s="24"/>
      <c r="I7" s="24"/>
      <c r="J7" s="8"/>
      <c r="K7" s="8"/>
      <c r="L7" s="8"/>
      <c r="M7" s="8"/>
      <c r="N7" s="8"/>
      <c r="O7" s="8"/>
    </row>
    <row r="8" spans="1:15">
      <c r="B8" s="25" t="s">
        <v>24</v>
      </c>
      <c r="C8" s="9"/>
      <c r="D8" s="9"/>
      <c r="E8" s="9"/>
      <c r="F8" s="9"/>
      <c r="G8" s="9"/>
      <c r="H8" s="9"/>
      <c r="I8" s="9"/>
      <c r="J8" s="8"/>
      <c r="K8" s="8"/>
      <c r="L8" s="8"/>
      <c r="M8" s="8"/>
      <c r="N8" s="8"/>
      <c r="O8" s="8"/>
    </row>
    <row r="9" spans="1:15">
      <c r="A9" s="22"/>
      <c r="B9" s="1" t="s">
        <v>25</v>
      </c>
      <c r="C9" s="24"/>
      <c r="D9" s="24"/>
      <c r="E9" s="24"/>
      <c r="F9" s="24"/>
      <c r="G9" s="24"/>
      <c r="H9" s="24"/>
      <c r="I9" s="24"/>
      <c r="J9" s="8"/>
      <c r="K9" s="8"/>
      <c r="L9" s="8"/>
      <c r="M9" s="8"/>
      <c r="N9" s="8"/>
      <c r="O9" s="8"/>
    </row>
    <row r="10" spans="1:15">
      <c r="B10" s="8"/>
      <c r="C10" s="8"/>
      <c r="D10" s="8"/>
      <c r="E10" s="8"/>
      <c r="F10" s="8"/>
      <c r="G10" s="8"/>
      <c r="H10" s="8"/>
      <c r="I10" s="8"/>
      <c r="J10" s="8"/>
      <c r="K10" s="8"/>
      <c r="L10" s="8"/>
      <c r="M10" s="8"/>
      <c r="N10" s="8"/>
      <c r="O10" s="8"/>
    </row>
    <row r="11" spans="1:15">
      <c r="B11" s="8"/>
      <c r="C11" s="8"/>
      <c r="D11" s="8"/>
      <c r="E11" s="8"/>
      <c r="F11" s="8"/>
      <c r="G11" s="8"/>
      <c r="H11" s="8"/>
      <c r="I11" s="8"/>
      <c r="J11" s="8"/>
      <c r="K11" s="8"/>
      <c r="L11" s="8"/>
      <c r="M11" s="8"/>
      <c r="N11" s="8"/>
      <c r="O11" s="8"/>
    </row>
    <row r="12" spans="1:15">
      <c r="B12" s="8"/>
      <c r="C12" s="8"/>
      <c r="D12" s="8"/>
      <c r="E12" s="8"/>
      <c r="F12" s="8"/>
      <c r="G12" s="8"/>
      <c r="H12" s="8"/>
      <c r="I12" s="8"/>
      <c r="J12" s="8"/>
      <c r="K12" s="8"/>
      <c r="L12" s="8"/>
      <c r="M12" s="8"/>
      <c r="N12" s="8"/>
      <c r="O12" s="8"/>
    </row>
    <row r="13" spans="1:15">
      <c r="B13" s="8"/>
      <c r="C13" s="8"/>
      <c r="D13" s="8"/>
      <c r="E13" s="8"/>
      <c r="F13" s="8"/>
      <c r="G13" s="8"/>
      <c r="H13" s="8"/>
      <c r="I13" s="8"/>
      <c r="J13" s="8"/>
      <c r="K13" s="8"/>
      <c r="L13" s="8"/>
      <c r="M13" s="8"/>
      <c r="N13" s="8"/>
      <c r="O13" s="8"/>
    </row>
    <row r="14" spans="1:15">
      <c r="B14" s="8"/>
      <c r="C14" s="8"/>
      <c r="D14" s="8"/>
      <c r="E14" s="8"/>
      <c r="F14" s="8"/>
      <c r="G14" s="8"/>
      <c r="H14" s="8"/>
      <c r="I14" s="8"/>
      <c r="J14" s="8"/>
      <c r="K14" s="8"/>
      <c r="L14" s="8"/>
      <c r="M14" s="8"/>
      <c r="N14" s="8"/>
      <c r="O14" s="8"/>
    </row>
    <row r="15" spans="1:15">
      <c r="B15" s="8"/>
      <c r="C15" s="8"/>
      <c r="D15" s="8"/>
      <c r="E15" s="8"/>
      <c r="F15" s="8"/>
      <c r="G15" s="8"/>
      <c r="H15" s="8"/>
      <c r="I15" s="8"/>
      <c r="J15" s="8"/>
      <c r="K15" s="8"/>
      <c r="L15" s="8"/>
      <c r="M15" s="8"/>
      <c r="N15" s="8"/>
      <c r="O15" s="8"/>
    </row>
    <row r="16" spans="1:15">
      <c r="B16" s="8"/>
      <c r="C16" s="8"/>
      <c r="D16" s="8"/>
      <c r="E16" s="8"/>
      <c r="F16" s="8"/>
      <c r="G16" s="8"/>
      <c r="H16" s="8"/>
      <c r="I16" s="8"/>
      <c r="J16" s="8"/>
      <c r="K16" s="8"/>
      <c r="L16" s="8"/>
      <c r="M16" s="8"/>
      <c r="N16" s="8"/>
      <c r="O16" s="8"/>
    </row>
    <row r="17" spans="2:15">
      <c r="B17" s="8"/>
      <c r="C17" s="8"/>
      <c r="D17" s="8"/>
      <c r="E17" s="8"/>
      <c r="F17" s="8"/>
      <c r="G17" s="8"/>
      <c r="H17" s="8"/>
      <c r="I17" s="8"/>
      <c r="J17" s="8"/>
      <c r="K17" s="8"/>
      <c r="L17" s="8"/>
      <c r="M17" s="8"/>
      <c r="N17" s="8"/>
      <c r="O17" s="8"/>
    </row>
    <row r="18" spans="2:15">
      <c r="B18" s="8"/>
      <c r="C18" s="8"/>
      <c r="D18" s="8"/>
      <c r="E18" s="8"/>
      <c r="F18" s="8"/>
      <c r="G18" s="8"/>
      <c r="H18" s="8"/>
      <c r="I18" s="8"/>
      <c r="J18" s="8"/>
      <c r="K18" s="8"/>
      <c r="L18" s="8"/>
      <c r="M18" s="8"/>
      <c r="N18" s="8"/>
      <c r="O18" s="8"/>
    </row>
    <row r="19" spans="2:15">
      <c r="B19" s="8"/>
      <c r="C19" s="8"/>
      <c r="D19" s="8"/>
      <c r="E19" s="8"/>
      <c r="F19" s="8"/>
      <c r="G19" s="8"/>
      <c r="H19" s="8"/>
      <c r="I19" s="8"/>
      <c r="J19" s="8"/>
      <c r="K19" s="8"/>
      <c r="L19" s="8"/>
      <c r="M19" s="8"/>
      <c r="N19" s="8"/>
      <c r="O19" s="8"/>
    </row>
    <row r="20" spans="2:15">
      <c r="B20" s="8"/>
      <c r="C20" s="8"/>
      <c r="D20" s="8"/>
      <c r="E20" s="8"/>
      <c r="F20" s="8"/>
      <c r="G20" s="8"/>
      <c r="H20" s="8"/>
      <c r="I20" s="8"/>
      <c r="J20" s="8"/>
      <c r="K20" s="8"/>
      <c r="L20" s="8"/>
      <c r="M20" s="8"/>
      <c r="N20" s="8"/>
      <c r="O20" s="8"/>
    </row>
    <row r="21" spans="2:15">
      <c r="B21" s="8"/>
      <c r="C21" s="8"/>
      <c r="D21" s="8"/>
      <c r="E21" s="8"/>
      <c r="F21" s="8"/>
      <c r="G21" s="8"/>
      <c r="H21" s="8"/>
      <c r="I21" s="8"/>
      <c r="J21" s="8"/>
      <c r="K21" s="8"/>
      <c r="L21" s="8"/>
      <c r="M21" s="8"/>
      <c r="N21" s="8"/>
      <c r="O21" s="8"/>
    </row>
    <row r="22" spans="2:15" s="19" customFormat="1">
      <c r="B22" s="18"/>
      <c r="C22" s="26"/>
      <c r="D22" s="20"/>
      <c r="E22" s="20"/>
      <c r="F22" s="20"/>
      <c r="G22" s="20"/>
      <c r="H22" s="20"/>
      <c r="I22" s="20"/>
      <c r="J22" s="20"/>
      <c r="K22" s="27"/>
    </row>
    <row r="23" spans="2:15">
      <c r="B23" s="28" t="s">
        <v>1</v>
      </c>
      <c r="C23" s="8"/>
      <c r="D23" s="8"/>
      <c r="E23" s="8"/>
      <c r="F23" s="8"/>
      <c r="G23" s="8"/>
      <c r="H23" s="8"/>
      <c r="I23" s="8"/>
      <c r="J23" s="8"/>
      <c r="K23" s="8"/>
      <c r="L23" s="8"/>
      <c r="M23" s="8"/>
      <c r="N23" s="8"/>
      <c r="O23" s="8"/>
    </row>
    <row r="24" spans="2:15">
      <c r="B24" s="8"/>
      <c r="C24" s="8"/>
      <c r="D24" s="8"/>
      <c r="E24" s="8"/>
      <c r="F24" s="8"/>
      <c r="G24" s="8"/>
      <c r="H24" s="8"/>
      <c r="I24" s="8"/>
      <c r="J24" s="8"/>
      <c r="K24" s="8"/>
      <c r="L24" s="8"/>
      <c r="M24" s="8"/>
      <c r="N24" s="8"/>
      <c r="O24" s="8"/>
    </row>
    <row r="25" spans="2:15">
      <c r="B25" s="22" t="s">
        <v>2</v>
      </c>
      <c r="C25" s="22"/>
      <c r="D25" s="22"/>
      <c r="E25" s="22"/>
      <c r="F25" s="22"/>
      <c r="G25" s="22"/>
      <c r="H25" s="22"/>
      <c r="I25" s="22"/>
      <c r="J25" s="8"/>
      <c r="K25" s="8"/>
      <c r="L25" s="8"/>
      <c r="M25" s="8"/>
      <c r="N25" s="8"/>
      <c r="O25" s="8"/>
    </row>
    <row r="26" spans="2:15">
      <c r="B26" s="22"/>
      <c r="C26" s="22"/>
      <c r="D26" s="22"/>
      <c r="E26" s="22"/>
      <c r="F26" s="22"/>
      <c r="G26" s="22"/>
      <c r="H26" s="22"/>
      <c r="I26" s="22"/>
      <c r="J26" s="8"/>
      <c r="K26" s="8"/>
      <c r="L26" s="8"/>
      <c r="M26" s="8"/>
      <c r="N26" s="8"/>
      <c r="O26" s="8"/>
    </row>
    <row r="27" spans="2:15">
      <c r="B27" s="23" t="s">
        <v>3</v>
      </c>
      <c r="C27" s="22"/>
      <c r="D27" s="22"/>
      <c r="E27" s="22"/>
      <c r="F27" s="22"/>
      <c r="G27" s="22"/>
      <c r="H27" s="22"/>
      <c r="I27" s="22"/>
      <c r="J27" s="8"/>
      <c r="K27" s="8"/>
      <c r="L27" s="8"/>
      <c r="M27" s="8"/>
      <c r="N27" s="8"/>
      <c r="O27" s="8"/>
    </row>
    <row r="28" spans="2:15">
      <c r="B28" s="23"/>
      <c r="C28" s="22"/>
      <c r="D28" s="22"/>
      <c r="E28" s="22"/>
      <c r="F28" s="22"/>
      <c r="G28" s="22"/>
      <c r="H28" s="22"/>
      <c r="I28" s="22"/>
      <c r="J28" s="8"/>
      <c r="K28" s="8"/>
      <c r="L28" s="8"/>
      <c r="M28" s="8"/>
      <c r="N28" s="8"/>
      <c r="O28" s="8"/>
    </row>
    <row r="29" spans="2:15" ht="13.5" customHeight="1">
      <c r="B29" s="697" t="s">
        <v>4</v>
      </c>
      <c r="C29" s="697"/>
      <c r="D29" s="697"/>
      <c r="E29" s="697"/>
      <c r="F29" s="697"/>
      <c r="G29" s="697"/>
      <c r="H29" s="697"/>
      <c r="I29" s="697"/>
      <c r="J29" s="8"/>
      <c r="K29" s="8"/>
      <c r="L29" s="8"/>
      <c r="M29" s="8"/>
      <c r="N29" s="8"/>
      <c r="O29" s="8"/>
    </row>
    <row r="30" spans="2:15">
      <c r="B30" s="697"/>
      <c r="C30" s="697"/>
      <c r="D30" s="697"/>
      <c r="E30" s="697"/>
      <c r="F30" s="697"/>
      <c r="G30" s="697"/>
      <c r="H30" s="697"/>
      <c r="I30" s="697"/>
      <c r="J30" s="8"/>
      <c r="K30" s="8"/>
      <c r="L30" s="8"/>
      <c r="M30" s="8"/>
      <c r="N30" s="8"/>
      <c r="O30" s="8"/>
    </row>
    <row r="31" spans="2:15">
      <c r="B31" s="697"/>
      <c r="C31" s="697"/>
      <c r="D31" s="697"/>
      <c r="E31" s="697"/>
      <c r="F31" s="697"/>
      <c r="G31" s="697"/>
      <c r="H31" s="697"/>
      <c r="I31" s="697"/>
      <c r="J31" s="8"/>
      <c r="K31" s="8"/>
      <c r="L31" s="8"/>
      <c r="M31" s="8"/>
      <c r="N31" s="8"/>
      <c r="O31" s="8"/>
    </row>
    <row r="32" spans="2:15">
      <c r="B32" s="697"/>
      <c r="C32" s="697"/>
      <c r="D32" s="697"/>
      <c r="E32" s="697"/>
      <c r="F32" s="697"/>
      <c r="G32" s="697"/>
      <c r="H32" s="697"/>
      <c r="I32" s="697"/>
      <c r="J32" s="8"/>
      <c r="K32" s="8"/>
      <c r="L32" s="8"/>
      <c r="M32" s="8"/>
      <c r="N32" s="8"/>
      <c r="O32" s="8"/>
    </row>
    <row r="33" spans="2:15">
      <c r="B33" s="22"/>
      <c r="C33" s="22"/>
      <c r="D33" s="22"/>
      <c r="E33" s="22"/>
      <c r="F33" s="22"/>
      <c r="G33" s="22"/>
      <c r="H33" s="22"/>
      <c r="I33" s="22"/>
      <c r="J33" s="8"/>
      <c r="K33" s="8"/>
      <c r="L33" s="8"/>
      <c r="M33" s="8"/>
      <c r="N33" s="8"/>
      <c r="O33" s="8"/>
    </row>
    <row r="34" spans="2:15">
      <c r="B34" s="23" t="s">
        <v>5</v>
      </c>
      <c r="C34" s="22"/>
      <c r="D34" s="22"/>
      <c r="E34" s="22"/>
      <c r="F34" s="22"/>
      <c r="G34" s="22"/>
      <c r="H34" s="22"/>
      <c r="I34" s="22"/>
      <c r="J34" s="8"/>
      <c r="K34" s="8"/>
      <c r="L34" s="8"/>
      <c r="M34" s="8"/>
      <c r="N34" s="8"/>
      <c r="O34" s="8"/>
    </row>
    <row r="35" spans="2:15" ht="13.5" customHeight="1">
      <c r="B35" s="697" t="s">
        <v>6</v>
      </c>
      <c r="C35" s="697"/>
      <c r="D35" s="697"/>
      <c r="E35" s="697"/>
      <c r="F35" s="697"/>
      <c r="G35" s="697"/>
      <c r="H35" s="697"/>
      <c r="I35" s="697"/>
      <c r="J35" s="8"/>
      <c r="K35" s="8"/>
      <c r="L35" s="8"/>
      <c r="M35" s="8"/>
      <c r="N35" s="8"/>
      <c r="O35" s="8"/>
    </row>
    <row r="36" spans="2:15">
      <c r="B36" s="697"/>
      <c r="C36" s="697"/>
      <c r="D36" s="697"/>
      <c r="E36" s="697"/>
      <c r="F36" s="697"/>
      <c r="G36" s="697"/>
      <c r="H36" s="697"/>
      <c r="I36" s="697"/>
      <c r="J36" s="8"/>
      <c r="K36" s="8"/>
      <c r="L36" s="8"/>
      <c r="M36" s="8"/>
      <c r="N36" s="8"/>
      <c r="O36" s="8"/>
    </row>
    <row r="37" spans="2:15">
      <c r="B37" s="697"/>
      <c r="C37" s="697"/>
      <c r="D37" s="697"/>
      <c r="E37" s="697"/>
      <c r="F37" s="697"/>
      <c r="G37" s="697"/>
      <c r="H37" s="697"/>
      <c r="I37" s="697"/>
      <c r="J37" s="8"/>
      <c r="K37" s="8"/>
      <c r="L37" s="8"/>
      <c r="M37" s="8"/>
      <c r="N37" s="8"/>
      <c r="O37" s="8"/>
    </row>
    <row r="38" spans="2:15">
      <c r="B38" s="697"/>
      <c r="C38" s="697"/>
      <c r="D38" s="697"/>
      <c r="E38" s="697"/>
      <c r="F38" s="697"/>
      <c r="G38" s="697"/>
      <c r="H38" s="697"/>
      <c r="I38" s="697"/>
      <c r="J38" s="8"/>
      <c r="K38" s="8"/>
      <c r="L38" s="8"/>
      <c r="M38" s="8"/>
      <c r="N38" s="8"/>
      <c r="O38" s="8"/>
    </row>
    <row r="39" spans="2:15">
      <c r="B39" s="22"/>
      <c r="C39" s="22"/>
      <c r="D39" s="22"/>
      <c r="E39" s="22"/>
      <c r="F39" s="22"/>
      <c r="G39" s="22"/>
      <c r="H39" s="22"/>
      <c r="I39" s="22"/>
      <c r="J39" s="8"/>
      <c r="K39" s="8"/>
      <c r="L39" s="8"/>
      <c r="M39" s="8"/>
      <c r="N39" s="8"/>
      <c r="O39" s="8"/>
    </row>
    <row r="40" spans="2:15">
      <c r="B40" s="23" t="s">
        <v>7</v>
      </c>
      <c r="C40" s="22"/>
      <c r="D40" s="22"/>
      <c r="E40" s="22"/>
      <c r="F40" s="22"/>
      <c r="G40" s="22"/>
      <c r="H40" s="22"/>
      <c r="I40" s="22"/>
      <c r="J40" s="8"/>
      <c r="K40" s="8"/>
      <c r="L40" s="8"/>
      <c r="M40" s="8"/>
      <c r="N40" s="8"/>
      <c r="O40" s="8"/>
    </row>
    <row r="41" spans="2:15" ht="13.5" customHeight="1">
      <c r="B41" s="697" t="s">
        <v>8</v>
      </c>
      <c r="C41" s="697"/>
      <c r="D41" s="697"/>
      <c r="E41" s="697"/>
      <c r="F41" s="697"/>
      <c r="G41" s="697"/>
      <c r="H41" s="697"/>
      <c r="I41" s="697"/>
      <c r="J41" s="8"/>
      <c r="K41" s="8"/>
      <c r="L41" s="8"/>
      <c r="M41" s="8"/>
      <c r="N41" s="8"/>
      <c r="O41" s="8"/>
    </row>
    <row r="42" spans="2:15">
      <c r="B42" s="697"/>
      <c r="C42" s="697"/>
      <c r="D42" s="697"/>
      <c r="E42" s="697"/>
      <c r="F42" s="697"/>
      <c r="G42" s="697"/>
      <c r="H42" s="697"/>
      <c r="I42" s="697"/>
      <c r="J42" s="8"/>
      <c r="K42" s="8"/>
      <c r="L42" s="8"/>
      <c r="M42" s="8"/>
      <c r="N42" s="8"/>
      <c r="O42" s="8"/>
    </row>
    <row r="43" spans="2:15">
      <c r="B43" s="697"/>
      <c r="C43" s="697"/>
      <c r="D43" s="697"/>
      <c r="E43" s="697"/>
      <c r="F43" s="697"/>
      <c r="G43" s="697"/>
      <c r="H43" s="697"/>
      <c r="I43" s="697"/>
      <c r="J43" s="8"/>
      <c r="K43" s="8"/>
      <c r="L43" s="8"/>
      <c r="M43" s="8"/>
      <c r="N43" s="8"/>
      <c r="O43" s="8"/>
    </row>
    <row r="44" spans="2:15">
      <c r="B44" s="697"/>
      <c r="C44" s="697"/>
      <c r="D44" s="697"/>
      <c r="E44" s="697"/>
      <c r="F44" s="697"/>
      <c r="G44" s="697"/>
      <c r="H44" s="697"/>
      <c r="I44" s="697"/>
      <c r="J44" s="8"/>
      <c r="K44" s="8"/>
      <c r="L44" s="8"/>
      <c r="M44" s="8"/>
      <c r="N44" s="8"/>
      <c r="O44" s="8"/>
    </row>
    <row r="45" spans="2:15">
      <c r="B45" s="697"/>
      <c r="C45" s="697"/>
      <c r="D45" s="697"/>
      <c r="E45" s="697"/>
      <c r="F45" s="697"/>
      <c r="G45" s="697"/>
      <c r="H45" s="697"/>
      <c r="I45" s="697"/>
      <c r="J45" s="8"/>
      <c r="K45" s="8"/>
      <c r="L45" s="8"/>
      <c r="M45" s="8"/>
      <c r="N45" s="8"/>
      <c r="O45" s="8"/>
    </row>
    <row r="46" spans="2:15">
      <c r="B46" s="22"/>
      <c r="C46" s="22"/>
      <c r="D46" s="22"/>
      <c r="E46" s="22"/>
      <c r="F46" s="22"/>
      <c r="G46" s="22"/>
      <c r="H46" s="22"/>
      <c r="I46" s="22"/>
      <c r="J46" s="8"/>
      <c r="K46" s="8"/>
      <c r="L46" s="8"/>
      <c r="M46" s="8"/>
      <c r="N46" s="8"/>
      <c r="O46" s="8"/>
    </row>
    <row r="47" spans="2:15">
      <c r="B47" s="23" t="s">
        <v>9</v>
      </c>
      <c r="C47" s="22"/>
      <c r="D47" s="22"/>
      <c r="E47" s="22"/>
      <c r="F47" s="22"/>
      <c r="G47" s="22"/>
      <c r="H47" s="22"/>
      <c r="I47" s="22"/>
      <c r="J47" s="8"/>
      <c r="K47" s="8"/>
      <c r="L47" s="8"/>
      <c r="M47" s="8"/>
      <c r="N47" s="8"/>
      <c r="O47" s="8"/>
    </row>
    <row r="48" spans="2:15" ht="13.5" customHeight="1">
      <c r="B48" s="697" t="s">
        <v>10</v>
      </c>
      <c r="C48" s="697"/>
      <c r="D48" s="697"/>
      <c r="E48" s="697"/>
      <c r="F48" s="697"/>
      <c r="G48" s="697"/>
      <c r="H48" s="697"/>
      <c r="I48" s="697"/>
      <c r="J48" s="8"/>
      <c r="K48" s="8"/>
      <c r="L48" s="8"/>
      <c r="M48" s="8"/>
      <c r="N48" s="8"/>
      <c r="O48" s="8"/>
    </row>
    <row r="49" spans="2:15">
      <c r="B49" s="697"/>
      <c r="C49" s="697"/>
      <c r="D49" s="697"/>
      <c r="E49" s="697"/>
      <c r="F49" s="697"/>
      <c r="G49" s="697"/>
      <c r="H49" s="697"/>
      <c r="I49" s="697"/>
      <c r="J49" s="8"/>
      <c r="K49" s="8"/>
      <c r="L49" s="8"/>
      <c r="M49" s="8"/>
      <c r="N49" s="8"/>
      <c r="O49" s="8"/>
    </row>
    <row r="50" spans="2:15">
      <c r="B50" s="697"/>
      <c r="C50" s="697"/>
      <c r="D50" s="697"/>
      <c r="E50" s="697"/>
      <c r="F50" s="697"/>
      <c r="G50" s="697"/>
      <c r="H50" s="697"/>
      <c r="I50" s="697"/>
      <c r="J50" s="8"/>
      <c r="K50" s="8"/>
      <c r="L50" s="8"/>
      <c r="M50" s="8"/>
      <c r="N50" s="8"/>
      <c r="O50" s="8"/>
    </row>
    <row r="51" spans="2:15">
      <c r="B51" s="697"/>
      <c r="C51" s="697"/>
      <c r="D51" s="697"/>
      <c r="E51" s="697"/>
      <c r="F51" s="697"/>
      <c r="G51" s="697"/>
      <c r="H51" s="697"/>
      <c r="I51" s="697"/>
      <c r="J51" s="8"/>
      <c r="K51" s="8"/>
      <c r="L51" s="8"/>
      <c r="M51" s="8"/>
      <c r="N51" s="8"/>
      <c r="O51" s="8"/>
    </row>
    <row r="52" spans="2:15">
      <c r="B52" s="22"/>
      <c r="C52" s="22"/>
      <c r="D52" s="22"/>
      <c r="E52" s="22"/>
      <c r="F52" s="22"/>
      <c r="G52" s="22"/>
      <c r="H52" s="22"/>
      <c r="I52" s="22"/>
      <c r="J52" s="8"/>
      <c r="K52" s="8"/>
      <c r="L52" s="8"/>
      <c r="M52" s="8"/>
      <c r="N52" s="8"/>
      <c r="O52" s="8"/>
    </row>
    <row r="53" spans="2:15">
      <c r="B53" s="23" t="s">
        <v>11</v>
      </c>
      <c r="C53" s="22"/>
      <c r="D53" s="22"/>
      <c r="E53" s="22"/>
      <c r="F53" s="22"/>
      <c r="G53" s="22"/>
      <c r="H53" s="22"/>
      <c r="I53" s="22"/>
      <c r="J53" s="8"/>
      <c r="K53" s="8"/>
      <c r="L53" s="8"/>
      <c r="M53" s="8"/>
      <c r="N53" s="8"/>
      <c r="O53" s="8"/>
    </row>
    <row r="54" spans="2:15" ht="13.5" customHeight="1">
      <c r="B54" s="697" t="s">
        <v>12</v>
      </c>
      <c r="C54" s="697"/>
      <c r="D54" s="697"/>
      <c r="E54" s="697"/>
      <c r="F54" s="697"/>
      <c r="G54" s="697"/>
      <c r="H54" s="697"/>
      <c r="I54" s="697"/>
      <c r="J54" s="8"/>
      <c r="K54" s="8"/>
      <c r="L54" s="8"/>
      <c r="M54" s="8"/>
      <c r="N54" s="8"/>
      <c r="O54" s="8"/>
    </row>
    <row r="55" spans="2:15">
      <c r="B55" s="697"/>
      <c r="C55" s="697"/>
      <c r="D55" s="697"/>
      <c r="E55" s="697"/>
      <c r="F55" s="697"/>
      <c r="G55" s="697"/>
      <c r="H55" s="697"/>
      <c r="I55" s="697"/>
      <c r="J55" s="8"/>
      <c r="K55" s="8"/>
      <c r="L55" s="8"/>
      <c r="M55" s="8"/>
      <c r="N55" s="8"/>
      <c r="O55" s="8"/>
    </row>
    <row r="56" spans="2:15">
      <c r="B56" s="697"/>
      <c r="C56" s="697"/>
      <c r="D56" s="697"/>
      <c r="E56" s="697"/>
      <c r="F56" s="697"/>
      <c r="G56" s="697"/>
      <c r="H56" s="697"/>
      <c r="I56" s="697"/>
      <c r="J56" s="8"/>
      <c r="K56" s="8"/>
      <c r="L56" s="8"/>
      <c r="M56" s="8"/>
      <c r="N56" s="8"/>
      <c r="O56" s="8"/>
    </row>
    <row r="57" spans="2:15">
      <c r="B57" s="697"/>
      <c r="C57" s="697"/>
      <c r="D57" s="697"/>
      <c r="E57" s="697"/>
      <c r="F57" s="697"/>
      <c r="G57" s="697"/>
      <c r="H57" s="697"/>
      <c r="I57" s="697"/>
      <c r="J57" s="8"/>
      <c r="K57" s="8"/>
      <c r="L57" s="8"/>
      <c r="M57" s="8"/>
      <c r="N57" s="8"/>
      <c r="O57" s="8"/>
    </row>
  </sheetData>
  <mergeCells count="5">
    <mergeCell ref="B29:I32"/>
    <mergeCell ref="B48:I51"/>
    <mergeCell ref="B54:I57"/>
    <mergeCell ref="B41:I45"/>
    <mergeCell ref="B35:I38"/>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2:P140"/>
  <sheetViews>
    <sheetView showGridLines="0" topLeftCell="A34" zoomScale="70" zoomScaleNormal="70" zoomScalePageLayoutView="40" workbookViewId="0">
      <pane xSplit="1" ySplit="2" topLeftCell="B36" activePane="bottomRight" state="frozen"/>
      <selection activeCell="A34" sqref="A34"/>
      <selection pane="topRight" activeCell="B34" sqref="B34"/>
      <selection pane="bottomLeft" activeCell="A36" sqref="A36"/>
      <selection pane="bottomRight" activeCell="B34" sqref="B34"/>
    </sheetView>
  </sheetViews>
  <sheetFormatPr defaultColWidth="8.77734375" defaultRowHeight="13.8"/>
  <cols>
    <col min="1" max="1" width="1.44140625" style="5" customWidth="1"/>
    <col min="2" max="2" width="30.77734375" style="5" customWidth="1"/>
    <col min="3" max="3" width="26" style="5" customWidth="1"/>
    <col min="4" max="4" width="29.33203125" style="5" customWidth="1"/>
    <col min="5" max="5" width="27.77734375" style="5" customWidth="1"/>
    <col min="6" max="6" width="18.44140625" style="5" customWidth="1"/>
    <col min="7" max="7" width="15.6640625" style="5" customWidth="1"/>
    <col min="8" max="8" width="22.44140625" style="5" customWidth="1"/>
    <col min="9" max="9" width="15.21875" style="5" customWidth="1"/>
    <col min="10" max="10" width="27.44140625" style="450" customWidth="1"/>
    <col min="11" max="11" width="27.33203125" style="450" customWidth="1"/>
    <col min="12" max="12" width="27.21875" style="5" customWidth="1"/>
    <col min="13" max="13" width="18.44140625" style="5" customWidth="1"/>
    <col min="14" max="14" width="13.44140625" style="5" customWidth="1"/>
    <col min="15" max="16" width="13.21875" style="5" customWidth="1"/>
    <col min="17" max="17" width="13.44140625" style="5" customWidth="1"/>
    <col min="18" max="16384" width="8.77734375" style="5"/>
  </cols>
  <sheetData>
    <row r="2" spans="2:16" ht="17.399999999999999">
      <c r="B2" s="6" t="str">
        <f>Introduction!$B$2</f>
        <v>LightCounting Ethernet Transceivers Forecast</v>
      </c>
    </row>
    <row r="3" spans="2:16" ht="15.6">
      <c r="B3" s="37" t="str">
        <f>Introduction!$B$3</f>
        <v>March 2022 - sample spreadsheet</v>
      </c>
    </row>
    <row r="4" spans="2:16" ht="17.399999999999999">
      <c r="B4" s="6" t="s">
        <v>16</v>
      </c>
    </row>
    <row r="6" spans="2:16" ht="21">
      <c r="B6" s="698" t="s">
        <v>128</v>
      </c>
      <c r="C6" s="699"/>
      <c r="D6" s="699"/>
      <c r="E6" s="699"/>
      <c r="F6" s="699"/>
      <c r="G6" s="699"/>
      <c r="H6" s="699"/>
      <c r="I6" s="699"/>
      <c r="J6" s="699"/>
      <c r="K6" s="699"/>
      <c r="L6" s="699"/>
      <c r="M6" s="699"/>
      <c r="N6" s="699"/>
      <c r="O6" s="699"/>
      <c r="P6" s="700"/>
    </row>
    <row r="7" spans="2:16" ht="23.25" customHeight="1">
      <c r="B7" s="701" t="s">
        <v>148</v>
      </c>
      <c r="C7" s="702"/>
      <c r="D7" s="702"/>
      <c r="E7" s="702"/>
      <c r="F7" s="702"/>
      <c r="G7" s="702"/>
      <c r="H7" s="702"/>
      <c r="I7" s="702"/>
      <c r="J7" s="702"/>
      <c r="K7" s="702"/>
      <c r="L7" s="702"/>
      <c r="M7" s="702"/>
      <c r="N7" s="702"/>
      <c r="O7" s="702"/>
      <c r="P7" s="703"/>
    </row>
    <row r="8" spans="2:16" ht="18.75" customHeight="1">
      <c r="B8" s="704"/>
      <c r="C8" s="705"/>
      <c r="D8" s="705"/>
      <c r="E8" s="705"/>
      <c r="F8" s="705"/>
      <c r="G8" s="705"/>
      <c r="H8" s="705"/>
      <c r="I8" s="705"/>
      <c r="J8" s="705"/>
      <c r="K8" s="705"/>
      <c r="L8" s="705"/>
      <c r="M8" s="705"/>
      <c r="N8" s="705"/>
      <c r="O8" s="705"/>
      <c r="P8" s="706"/>
    </row>
    <row r="9" spans="2:16" ht="10.5" customHeight="1">
      <c r="B9" s="247"/>
      <c r="C9" s="248"/>
      <c r="D9" s="248"/>
      <c r="E9" s="248"/>
      <c r="F9" s="248"/>
      <c r="G9" s="248"/>
      <c r="H9" s="248"/>
      <c r="I9" s="248"/>
      <c r="J9" s="451"/>
      <c r="K9" s="451"/>
      <c r="L9" s="248"/>
      <c r="M9" s="248"/>
      <c r="N9" s="248"/>
      <c r="O9" s="248"/>
      <c r="P9" s="249"/>
    </row>
    <row r="10" spans="2:16" ht="18">
      <c r="B10" s="250" t="s">
        <v>129</v>
      </c>
      <c r="C10" s="248"/>
      <c r="D10" s="248"/>
      <c r="E10" s="248"/>
      <c r="F10" s="248"/>
      <c r="G10" s="248"/>
      <c r="H10" s="248"/>
      <c r="I10" s="248"/>
      <c r="J10" s="451"/>
      <c r="K10" s="451"/>
      <c r="L10" s="248"/>
      <c r="M10" s="248"/>
      <c r="N10" s="248"/>
      <c r="O10" s="248"/>
      <c r="P10" s="249"/>
    </row>
    <row r="11" spans="2:16" ht="18">
      <c r="B11" s="250" t="s">
        <v>528</v>
      </c>
      <c r="C11" s="248"/>
      <c r="D11" s="248"/>
      <c r="E11" s="248"/>
      <c r="F11" s="248"/>
      <c r="G11" s="248"/>
      <c r="H11" s="248"/>
      <c r="I11" s="248"/>
      <c r="J11" s="451"/>
      <c r="K11" s="451"/>
      <c r="L11" s="248"/>
      <c r="M11" s="248"/>
      <c r="N11" s="248"/>
      <c r="O11" s="248"/>
      <c r="P11" s="249"/>
    </row>
    <row r="12" spans="2:16" ht="18">
      <c r="B12" s="250" t="s">
        <v>149</v>
      </c>
      <c r="C12" s="248"/>
      <c r="D12" s="248"/>
      <c r="E12" s="248"/>
      <c r="F12" s="248"/>
      <c r="G12" s="248"/>
      <c r="H12" s="248"/>
      <c r="I12" s="248"/>
      <c r="J12" s="451"/>
      <c r="K12" s="451"/>
      <c r="L12" s="248"/>
      <c r="M12" s="248"/>
      <c r="N12" s="248"/>
      <c r="O12" s="248"/>
      <c r="P12" s="249"/>
    </row>
    <row r="13" spans="2:16" ht="9" customHeight="1">
      <c r="B13" s="247"/>
      <c r="C13" s="248"/>
      <c r="D13" s="248"/>
      <c r="E13" s="248"/>
      <c r="F13" s="248"/>
      <c r="G13" s="248"/>
      <c r="H13" s="248"/>
      <c r="I13" s="248"/>
      <c r="J13" s="451"/>
      <c r="K13" s="451"/>
      <c r="L13" s="248"/>
      <c r="M13" s="248"/>
      <c r="N13" s="248"/>
      <c r="O13" s="248"/>
      <c r="P13" s="249"/>
    </row>
    <row r="14" spans="2:16" ht="18">
      <c r="B14" s="250" t="s">
        <v>130</v>
      </c>
      <c r="C14" s="248"/>
      <c r="D14" s="248"/>
      <c r="E14" s="248"/>
      <c r="F14" s="248"/>
      <c r="G14" s="248"/>
      <c r="H14" s="248"/>
      <c r="I14" s="248"/>
      <c r="J14" s="451"/>
      <c r="K14" s="451"/>
      <c r="L14" s="248"/>
      <c r="M14" s="248"/>
      <c r="N14" s="248"/>
      <c r="O14" s="248"/>
      <c r="P14" s="249"/>
    </row>
    <row r="15" spans="2:16" ht="18">
      <c r="B15" s="250" t="s">
        <v>131</v>
      </c>
      <c r="C15" s="248"/>
      <c r="D15" s="248"/>
      <c r="E15" s="248"/>
      <c r="F15" s="248"/>
      <c r="G15" s="248"/>
      <c r="H15" s="248"/>
      <c r="I15" s="248"/>
      <c r="J15" s="451"/>
      <c r="K15" s="451"/>
      <c r="L15" s="248"/>
      <c r="M15" s="248"/>
      <c r="N15" s="248"/>
      <c r="O15" s="248"/>
      <c r="P15" s="249"/>
    </row>
    <row r="16" spans="2:16">
      <c r="B16" s="251"/>
      <c r="C16" s="252"/>
      <c r="D16" s="252"/>
      <c r="E16" s="252"/>
      <c r="F16" s="252"/>
      <c r="G16" s="252"/>
      <c r="H16" s="252"/>
      <c r="I16" s="252"/>
      <c r="J16" s="452"/>
      <c r="K16" s="452"/>
      <c r="L16" s="252"/>
      <c r="M16" s="252"/>
      <c r="N16" s="252"/>
      <c r="O16" s="252"/>
      <c r="P16" s="253"/>
    </row>
    <row r="24" spans="6:16">
      <c r="F24" s="257"/>
      <c r="G24" s="257"/>
      <c r="P24" s="257"/>
    </row>
    <row r="25" spans="6:16">
      <c r="F25" s="257"/>
      <c r="G25" s="257"/>
      <c r="P25" s="258" t="s">
        <v>133</v>
      </c>
    </row>
    <row r="26" spans="6:16">
      <c r="P26" s="258" t="s">
        <v>237</v>
      </c>
    </row>
    <row r="34" spans="2:12" ht="21">
      <c r="B34" s="259" t="s">
        <v>134</v>
      </c>
      <c r="C34" s="259"/>
      <c r="D34" s="259"/>
      <c r="E34" s="259"/>
    </row>
    <row r="35" spans="2:12" ht="21">
      <c r="B35" s="32" t="s">
        <v>238</v>
      </c>
      <c r="C35" s="32" t="s">
        <v>31</v>
      </c>
      <c r="D35" s="32" t="s">
        <v>33</v>
      </c>
      <c r="E35" s="32" t="s">
        <v>165</v>
      </c>
      <c r="F35" s="32" t="s">
        <v>164</v>
      </c>
      <c r="G35" s="660" t="s">
        <v>498</v>
      </c>
      <c r="H35" s="32" t="s">
        <v>301</v>
      </c>
      <c r="I35" s="32" t="s">
        <v>302</v>
      </c>
      <c r="J35" s="456" t="s">
        <v>295</v>
      </c>
      <c r="K35" s="456" t="s">
        <v>326</v>
      </c>
      <c r="L35" s="448"/>
    </row>
    <row r="36" spans="2:12" ht="15.75" customHeight="1">
      <c r="B36" s="34" t="s">
        <v>63</v>
      </c>
      <c r="C36" s="34" t="s">
        <v>44</v>
      </c>
      <c r="D36" s="433" t="s">
        <v>46</v>
      </c>
      <c r="E36" s="69" t="s">
        <v>125</v>
      </c>
      <c r="F36" s="625" t="s">
        <v>102</v>
      </c>
      <c r="G36" s="661">
        <v>1</v>
      </c>
      <c r="H36" s="476" t="s">
        <v>102</v>
      </c>
      <c r="I36" s="69"/>
      <c r="J36" s="457"/>
      <c r="K36" s="457"/>
      <c r="L36" s="448"/>
    </row>
    <row r="37" spans="2:12" ht="15.75" customHeight="1">
      <c r="B37" s="35" t="s">
        <v>63</v>
      </c>
      <c r="C37" s="35" t="s">
        <v>50</v>
      </c>
      <c r="D37" s="228" t="s">
        <v>46</v>
      </c>
      <c r="E37" s="181" t="s">
        <v>125</v>
      </c>
      <c r="F37" s="667" t="s">
        <v>103</v>
      </c>
      <c r="G37" s="662">
        <v>1</v>
      </c>
      <c r="H37" s="475" t="s">
        <v>103</v>
      </c>
      <c r="I37" s="181"/>
      <c r="J37" s="458"/>
      <c r="K37" s="458"/>
      <c r="L37" s="448"/>
    </row>
    <row r="38" spans="2:12" ht="15.75" customHeight="1">
      <c r="B38" s="35" t="s">
        <v>63</v>
      </c>
      <c r="C38" s="35" t="s">
        <v>55</v>
      </c>
      <c r="D38" s="228" t="s">
        <v>46</v>
      </c>
      <c r="E38" s="181" t="s">
        <v>125</v>
      </c>
      <c r="F38" s="667" t="s">
        <v>103</v>
      </c>
      <c r="G38" s="662">
        <v>1</v>
      </c>
      <c r="H38" s="475" t="s">
        <v>103</v>
      </c>
      <c r="I38" s="181"/>
      <c r="J38" s="458"/>
      <c r="K38" s="458"/>
      <c r="L38" s="448"/>
    </row>
    <row r="39" spans="2:12" ht="15.75" customHeight="1">
      <c r="B39" s="35" t="s">
        <v>63</v>
      </c>
      <c r="C39" s="35" t="s">
        <v>57</v>
      </c>
      <c r="D39" s="228" t="s">
        <v>46</v>
      </c>
      <c r="E39" s="181" t="s">
        <v>125</v>
      </c>
      <c r="F39" s="667" t="s">
        <v>103</v>
      </c>
      <c r="G39" s="662">
        <v>1</v>
      </c>
      <c r="H39" s="475" t="s">
        <v>103</v>
      </c>
      <c r="I39" s="181"/>
      <c r="J39" s="458"/>
      <c r="K39" s="458"/>
      <c r="L39" s="448"/>
    </row>
    <row r="40" spans="2:12" ht="15.75" customHeight="1">
      <c r="B40" s="305" t="s">
        <v>239</v>
      </c>
      <c r="C40" s="305" t="s">
        <v>170</v>
      </c>
      <c r="D40" s="428" t="s">
        <v>171</v>
      </c>
      <c r="E40" s="305" t="s">
        <v>168</v>
      </c>
      <c r="F40" s="632" t="s">
        <v>168</v>
      </c>
      <c r="G40" s="663">
        <v>1</v>
      </c>
      <c r="H40" s="474" t="s">
        <v>168</v>
      </c>
      <c r="I40" s="305"/>
      <c r="J40" s="459"/>
      <c r="K40" s="459"/>
      <c r="L40" s="448" t="s">
        <v>272</v>
      </c>
    </row>
    <row r="41" spans="2:12" ht="15.75" customHeight="1">
      <c r="B41" s="68" t="s">
        <v>60</v>
      </c>
      <c r="C41" s="430" t="s">
        <v>41</v>
      </c>
      <c r="D41" s="431" t="s">
        <v>37</v>
      </c>
      <c r="E41" s="181" t="s">
        <v>125</v>
      </c>
      <c r="F41" s="668" t="s">
        <v>102</v>
      </c>
      <c r="G41" s="664">
        <v>10</v>
      </c>
      <c r="H41" s="475" t="s">
        <v>102</v>
      </c>
      <c r="I41" s="181"/>
      <c r="J41" s="458"/>
      <c r="K41" s="458"/>
      <c r="L41" s="448"/>
    </row>
    <row r="42" spans="2:12" ht="15.75" customHeight="1">
      <c r="B42" s="68" t="s">
        <v>60</v>
      </c>
      <c r="C42" s="430" t="s">
        <v>41</v>
      </c>
      <c r="D42" s="431" t="s">
        <v>43</v>
      </c>
      <c r="E42" s="181" t="s">
        <v>342</v>
      </c>
      <c r="F42" s="668" t="s">
        <v>102</v>
      </c>
      <c r="G42" s="664">
        <v>10</v>
      </c>
      <c r="H42" s="475" t="s">
        <v>102</v>
      </c>
      <c r="I42" s="181"/>
      <c r="J42" s="458"/>
      <c r="K42" s="458"/>
      <c r="L42" s="448"/>
    </row>
    <row r="43" spans="2:12" ht="15.75" customHeight="1">
      <c r="B43" s="36" t="s">
        <v>241</v>
      </c>
      <c r="C43" s="36" t="s">
        <v>113</v>
      </c>
      <c r="D43" s="36" t="s">
        <v>43</v>
      </c>
      <c r="E43" s="305" t="s">
        <v>125</v>
      </c>
      <c r="F43" s="669" t="s">
        <v>102</v>
      </c>
      <c r="G43" s="666">
        <v>10</v>
      </c>
      <c r="H43" s="474" t="s">
        <v>102</v>
      </c>
      <c r="I43" s="305"/>
      <c r="J43" s="459"/>
      <c r="K43" s="459"/>
      <c r="L43" s="448"/>
    </row>
    <row r="44" spans="2:12" ht="15.75" customHeight="1">
      <c r="B44" s="35" t="s">
        <v>60</v>
      </c>
      <c r="C44" s="33" t="s">
        <v>50</v>
      </c>
      <c r="D44" s="35" t="s">
        <v>37</v>
      </c>
      <c r="E44" s="181" t="s">
        <v>125</v>
      </c>
      <c r="F44" s="667" t="s">
        <v>103</v>
      </c>
      <c r="G44" s="664">
        <v>10</v>
      </c>
      <c r="H44" s="475" t="s">
        <v>103</v>
      </c>
      <c r="I44" s="181"/>
      <c r="J44" s="458"/>
      <c r="K44" s="458"/>
      <c r="L44" s="448"/>
    </row>
    <row r="45" spans="2:12" ht="15.75" customHeight="1">
      <c r="B45" s="35" t="s">
        <v>60</v>
      </c>
      <c r="C45" s="33" t="s">
        <v>50</v>
      </c>
      <c r="D45" s="35" t="s">
        <v>43</v>
      </c>
      <c r="E45" s="181" t="s">
        <v>342</v>
      </c>
      <c r="F45" s="667" t="s">
        <v>103</v>
      </c>
      <c r="G45" s="664">
        <v>10</v>
      </c>
      <c r="H45" s="475" t="s">
        <v>103</v>
      </c>
      <c r="I45" s="181"/>
      <c r="J45" s="458"/>
      <c r="K45" s="458"/>
      <c r="L45" s="448"/>
    </row>
    <row r="46" spans="2:12" ht="15.75" customHeight="1">
      <c r="B46" s="181" t="s">
        <v>60</v>
      </c>
      <c r="C46" s="68" t="s">
        <v>55</v>
      </c>
      <c r="D46" s="181" t="s">
        <v>37</v>
      </c>
      <c r="E46" s="181" t="s">
        <v>125</v>
      </c>
      <c r="F46" s="626" t="s">
        <v>103</v>
      </c>
      <c r="G46" s="664">
        <v>10</v>
      </c>
      <c r="H46" s="475" t="s">
        <v>103</v>
      </c>
      <c r="I46" s="475"/>
      <c r="J46" s="458"/>
      <c r="K46" s="458"/>
      <c r="L46" s="448" t="s">
        <v>92</v>
      </c>
    </row>
    <row r="47" spans="2:12" ht="15.75" customHeight="1">
      <c r="B47" s="305" t="s">
        <v>60</v>
      </c>
      <c r="C47" s="305" t="s">
        <v>55</v>
      </c>
      <c r="D47" s="181" t="s">
        <v>43</v>
      </c>
      <c r="E47" s="181" t="s">
        <v>125</v>
      </c>
      <c r="F47" s="632" t="s">
        <v>103</v>
      </c>
      <c r="G47" s="666">
        <v>10</v>
      </c>
      <c r="H47" s="475" t="s">
        <v>103</v>
      </c>
      <c r="I47" s="475"/>
      <c r="J47" s="458"/>
      <c r="K47" s="458"/>
      <c r="L47" s="448"/>
    </row>
    <row r="48" spans="2:12" ht="15.75" customHeight="1">
      <c r="B48" s="69" t="s">
        <v>60</v>
      </c>
      <c r="C48" s="68" t="s">
        <v>57</v>
      </c>
      <c r="D48" s="69" t="s">
        <v>37</v>
      </c>
      <c r="E48" s="69" t="s">
        <v>125</v>
      </c>
      <c r="F48" s="626" t="s">
        <v>103</v>
      </c>
      <c r="G48" s="678">
        <v>10</v>
      </c>
      <c r="H48" s="476" t="s">
        <v>103</v>
      </c>
      <c r="I48" s="476"/>
      <c r="J48" s="457"/>
      <c r="K48" s="457"/>
      <c r="L48" s="448" t="s">
        <v>92</v>
      </c>
    </row>
    <row r="49" spans="1:12" ht="15.75" customHeight="1">
      <c r="B49" s="305" t="s">
        <v>60</v>
      </c>
      <c r="C49" s="305" t="s">
        <v>57</v>
      </c>
      <c r="D49" s="305" t="s">
        <v>43</v>
      </c>
      <c r="E49" s="305" t="s">
        <v>125</v>
      </c>
      <c r="F49" s="632" t="s">
        <v>103</v>
      </c>
      <c r="G49" s="679">
        <v>10</v>
      </c>
      <c r="H49" s="474" t="s">
        <v>103</v>
      </c>
      <c r="I49" s="474"/>
      <c r="J49" s="459"/>
      <c r="K49" s="459"/>
      <c r="L49" s="448"/>
    </row>
    <row r="50" spans="1:12" ht="15.75" customHeight="1">
      <c r="B50" s="426" t="s">
        <v>60</v>
      </c>
      <c r="C50" s="426" t="s">
        <v>170</v>
      </c>
      <c r="D50" s="427" t="s">
        <v>171</v>
      </c>
      <c r="E50" s="426" t="s">
        <v>168</v>
      </c>
      <c r="F50" s="670" t="s">
        <v>168</v>
      </c>
      <c r="G50" s="680">
        <v>10</v>
      </c>
      <c r="H50" s="477" t="s">
        <v>168</v>
      </c>
      <c r="I50" s="477"/>
      <c r="J50" s="460"/>
      <c r="K50" s="460"/>
      <c r="L50" s="448" t="s">
        <v>172</v>
      </c>
    </row>
    <row r="51" spans="1:12" ht="15.75" customHeight="1">
      <c r="B51" s="306" t="s">
        <v>242</v>
      </c>
      <c r="C51" s="310" t="s">
        <v>208</v>
      </c>
      <c r="D51" s="306" t="s">
        <v>116</v>
      </c>
      <c r="E51" s="181" t="s">
        <v>125</v>
      </c>
      <c r="F51" s="668" t="s">
        <v>102</v>
      </c>
      <c r="G51" s="681">
        <v>25</v>
      </c>
      <c r="H51" s="475" t="s">
        <v>102</v>
      </c>
      <c r="I51" s="475"/>
      <c r="J51" s="458"/>
      <c r="K51" s="458"/>
      <c r="L51" s="448" t="s">
        <v>117</v>
      </c>
    </row>
    <row r="52" spans="1:12" ht="15.75" customHeight="1">
      <c r="B52" s="266" t="s">
        <v>144</v>
      </c>
      <c r="C52" s="310" t="s">
        <v>50</v>
      </c>
      <c r="D52" s="266" t="s">
        <v>116</v>
      </c>
      <c r="E52" s="181" t="s">
        <v>125</v>
      </c>
      <c r="F52" s="626" t="s">
        <v>103</v>
      </c>
      <c r="G52" s="681">
        <v>25</v>
      </c>
      <c r="H52" s="475" t="s">
        <v>103</v>
      </c>
      <c r="I52" s="475"/>
      <c r="J52" s="458"/>
      <c r="K52" s="458"/>
      <c r="L52" s="448" t="s">
        <v>117</v>
      </c>
    </row>
    <row r="53" spans="1:12" ht="15.75" customHeight="1">
      <c r="B53" s="309" t="s">
        <v>167</v>
      </c>
      <c r="C53" s="309" t="s">
        <v>55</v>
      </c>
      <c r="D53" s="309" t="s">
        <v>116</v>
      </c>
      <c r="E53" s="305" t="s">
        <v>125</v>
      </c>
      <c r="F53" s="632" t="s">
        <v>103</v>
      </c>
      <c r="G53" s="679">
        <v>25</v>
      </c>
      <c r="H53" s="474" t="s">
        <v>103</v>
      </c>
      <c r="I53" s="474"/>
      <c r="J53" s="459"/>
      <c r="K53" s="459"/>
      <c r="L53" s="448" t="s">
        <v>166</v>
      </c>
    </row>
    <row r="54" spans="1:12" ht="15.75" customHeight="1">
      <c r="A54" s="311" t="s">
        <v>138</v>
      </c>
      <c r="B54" s="306" t="s">
        <v>243</v>
      </c>
      <c r="C54" s="306" t="s">
        <v>34</v>
      </c>
      <c r="D54" s="306" t="s">
        <v>93</v>
      </c>
      <c r="E54" s="181" t="s">
        <v>125</v>
      </c>
      <c r="F54" s="668" t="s">
        <v>102</v>
      </c>
      <c r="G54" s="682">
        <v>10</v>
      </c>
      <c r="H54" s="478" t="s">
        <v>308</v>
      </c>
      <c r="I54" s="478" t="s">
        <v>303</v>
      </c>
      <c r="J54" s="455" t="s">
        <v>318</v>
      </c>
      <c r="K54" s="455"/>
      <c r="L54" s="448" t="s">
        <v>273</v>
      </c>
    </row>
    <row r="55" spans="1:12" ht="15.75" customHeight="1">
      <c r="A55" s="311" t="str">
        <f>A54</f>
        <v>40G MMF</v>
      </c>
      <c r="B55" s="309" t="s">
        <v>244</v>
      </c>
      <c r="C55" s="309" t="s">
        <v>34</v>
      </c>
      <c r="D55" s="309" t="s">
        <v>93</v>
      </c>
      <c r="E55" s="316" t="s">
        <v>126</v>
      </c>
      <c r="F55" s="668" t="s">
        <v>102</v>
      </c>
      <c r="G55" s="681">
        <v>10</v>
      </c>
      <c r="H55" s="475" t="s">
        <v>102</v>
      </c>
      <c r="I55" s="475"/>
      <c r="J55" s="458"/>
      <c r="K55" s="458"/>
      <c r="L55" s="448" t="s">
        <v>274</v>
      </c>
    </row>
    <row r="56" spans="1:12" ht="15.75" customHeight="1">
      <c r="A56" s="311" t="str">
        <f>A54</f>
        <v>40G MMF</v>
      </c>
      <c r="B56" s="308" t="s">
        <v>245</v>
      </c>
      <c r="C56" s="308" t="s">
        <v>41</v>
      </c>
      <c r="D56" s="306" t="s">
        <v>93</v>
      </c>
      <c r="E56" s="319" t="s">
        <v>126</v>
      </c>
      <c r="F56" s="671" t="s">
        <v>102</v>
      </c>
      <c r="G56" s="680">
        <v>10</v>
      </c>
      <c r="H56" s="477" t="s">
        <v>102</v>
      </c>
      <c r="I56" s="477"/>
      <c r="J56" s="460"/>
      <c r="K56" s="460"/>
      <c r="L56" s="448" t="s">
        <v>115</v>
      </c>
    </row>
    <row r="57" spans="1:12" ht="15.75" customHeight="1">
      <c r="A57" s="311" t="s">
        <v>139</v>
      </c>
      <c r="B57" s="307" t="s">
        <v>246</v>
      </c>
      <c r="C57" s="312" t="s">
        <v>44</v>
      </c>
      <c r="D57" s="307" t="s">
        <v>93</v>
      </c>
      <c r="E57" s="317" t="s">
        <v>126</v>
      </c>
      <c r="F57" s="670" t="s">
        <v>103</v>
      </c>
      <c r="G57" s="682">
        <v>10</v>
      </c>
      <c r="H57" s="478" t="s">
        <v>308</v>
      </c>
      <c r="I57" s="478" t="s">
        <v>303</v>
      </c>
      <c r="J57" s="486" t="s">
        <v>324</v>
      </c>
      <c r="K57" s="465" t="s">
        <v>338</v>
      </c>
      <c r="L57" s="448" t="s">
        <v>95</v>
      </c>
    </row>
    <row r="58" spans="1:12" ht="15.75" customHeight="1">
      <c r="A58" s="311"/>
      <c r="B58" s="313" t="s">
        <v>247</v>
      </c>
      <c r="C58" s="306" t="s">
        <v>47</v>
      </c>
      <c r="D58" s="306" t="s">
        <v>38</v>
      </c>
      <c r="E58" s="306" t="s">
        <v>125</v>
      </c>
      <c r="F58" s="672" t="s">
        <v>103</v>
      </c>
      <c r="G58" s="682">
        <v>10</v>
      </c>
      <c r="H58" s="478" t="s">
        <v>103</v>
      </c>
      <c r="I58" s="478"/>
      <c r="J58" s="461"/>
      <c r="K58" s="461"/>
      <c r="L58" s="448"/>
    </row>
    <row r="59" spans="1:12" ht="15.75" customHeight="1">
      <c r="A59" s="311" t="str">
        <f>A57</f>
        <v>40 G SMF 0.5-10km</v>
      </c>
      <c r="B59" s="314" t="s">
        <v>248</v>
      </c>
      <c r="C59" s="309" t="s">
        <v>47</v>
      </c>
      <c r="D59" s="309" t="s">
        <v>93</v>
      </c>
      <c r="E59" s="318" t="s">
        <v>126</v>
      </c>
      <c r="F59" s="632" t="s">
        <v>103</v>
      </c>
      <c r="G59" s="683">
        <v>10</v>
      </c>
      <c r="H59" s="473" t="s">
        <v>103</v>
      </c>
      <c r="I59" s="473"/>
      <c r="J59" s="462"/>
      <c r="K59" s="466" t="s">
        <v>323</v>
      </c>
      <c r="L59" s="448" t="s">
        <v>65</v>
      </c>
    </row>
    <row r="60" spans="1:12" ht="15.75" customHeight="1">
      <c r="A60" s="311"/>
      <c r="B60" s="306" t="s">
        <v>62</v>
      </c>
      <c r="C60" s="310" t="s">
        <v>50</v>
      </c>
      <c r="D60" s="306" t="s">
        <v>38</v>
      </c>
      <c r="E60" s="306" t="s">
        <v>125</v>
      </c>
      <c r="F60" s="672" t="s">
        <v>103</v>
      </c>
      <c r="G60" s="682">
        <v>10</v>
      </c>
      <c r="H60" s="478" t="s">
        <v>103</v>
      </c>
      <c r="I60" s="478"/>
      <c r="J60" s="461"/>
      <c r="K60" s="461"/>
      <c r="L60" s="448"/>
    </row>
    <row r="61" spans="1:12" ht="15.6">
      <c r="A61" s="311" t="str">
        <f>A57</f>
        <v>40 G SMF 0.5-10km</v>
      </c>
      <c r="B61" s="309" t="s">
        <v>62</v>
      </c>
      <c r="C61" s="310" t="s">
        <v>50</v>
      </c>
      <c r="D61" s="309" t="s">
        <v>93</v>
      </c>
      <c r="E61" s="320" t="s">
        <v>125</v>
      </c>
      <c r="F61" s="632" t="s">
        <v>103</v>
      </c>
      <c r="G61" s="683">
        <v>10</v>
      </c>
      <c r="H61" s="473" t="s">
        <v>103</v>
      </c>
      <c r="I61" s="473"/>
      <c r="J61" s="462"/>
      <c r="K61" s="462"/>
      <c r="L61" s="448"/>
    </row>
    <row r="62" spans="1:12" ht="15.6">
      <c r="A62" s="311"/>
      <c r="B62" s="308" t="s">
        <v>62</v>
      </c>
      <c r="C62" s="308" t="s">
        <v>55</v>
      </c>
      <c r="D62" s="308" t="s">
        <v>93</v>
      </c>
      <c r="E62" s="308" t="s">
        <v>125</v>
      </c>
      <c r="F62" s="670" t="s">
        <v>103</v>
      </c>
      <c r="G62" s="684">
        <v>10</v>
      </c>
      <c r="H62" s="479" t="s">
        <v>103</v>
      </c>
      <c r="I62" s="479"/>
      <c r="J62" s="463"/>
      <c r="K62" s="463"/>
      <c r="L62" s="448"/>
    </row>
    <row r="63" spans="1:12" ht="15.6">
      <c r="A63" s="311"/>
      <c r="B63" s="313" t="s">
        <v>249</v>
      </c>
      <c r="C63" s="313" t="s">
        <v>34</v>
      </c>
      <c r="D63" s="306" t="s">
        <v>42</v>
      </c>
      <c r="E63" s="69" t="s">
        <v>125</v>
      </c>
      <c r="F63" s="673" t="s">
        <v>102</v>
      </c>
      <c r="G63" s="665">
        <v>50</v>
      </c>
      <c r="H63" s="476" t="s">
        <v>102</v>
      </c>
      <c r="I63" s="476"/>
      <c r="J63" s="457"/>
      <c r="K63" s="457"/>
      <c r="L63" s="448" t="s">
        <v>135</v>
      </c>
    </row>
    <row r="64" spans="1:12" ht="15.6">
      <c r="A64" s="311"/>
      <c r="B64" s="310" t="s">
        <v>249</v>
      </c>
      <c r="C64" s="310" t="s">
        <v>47</v>
      </c>
      <c r="D64" s="266" t="s">
        <v>42</v>
      </c>
      <c r="E64" s="181" t="s">
        <v>125</v>
      </c>
      <c r="F64" s="626" t="s">
        <v>103</v>
      </c>
      <c r="G64" s="676">
        <v>50</v>
      </c>
      <c r="H64" s="475" t="s">
        <v>103</v>
      </c>
      <c r="I64" s="475"/>
      <c r="J64" s="458"/>
      <c r="K64" s="458"/>
      <c r="L64" s="448" t="s">
        <v>135</v>
      </c>
    </row>
    <row r="65" spans="1:12" ht="15.6">
      <c r="A65" s="311"/>
      <c r="B65" s="310" t="s">
        <v>249</v>
      </c>
      <c r="C65" s="310" t="s">
        <v>50</v>
      </c>
      <c r="D65" s="266" t="s">
        <v>42</v>
      </c>
      <c r="E65" s="181" t="s">
        <v>125</v>
      </c>
      <c r="F65" s="626" t="s">
        <v>103</v>
      </c>
      <c r="G65" s="676">
        <v>50</v>
      </c>
      <c r="H65" s="475" t="s">
        <v>103</v>
      </c>
      <c r="I65" s="475"/>
      <c r="J65" s="458"/>
      <c r="K65" s="458"/>
      <c r="L65" s="448" t="s">
        <v>135</v>
      </c>
    </row>
    <row r="66" spans="1:12" ht="15.6">
      <c r="A66" s="311"/>
      <c r="B66" s="310" t="s">
        <v>249</v>
      </c>
      <c r="C66" s="310" t="s">
        <v>55</v>
      </c>
      <c r="D66" s="266" t="s">
        <v>42</v>
      </c>
      <c r="E66" s="316" t="s">
        <v>126</v>
      </c>
      <c r="F66" s="626" t="s">
        <v>103</v>
      </c>
      <c r="G66" s="676"/>
      <c r="H66" s="475" t="s">
        <v>103</v>
      </c>
      <c r="I66" s="475"/>
      <c r="J66" s="458"/>
      <c r="K66" s="458"/>
      <c r="L66" s="494" t="s">
        <v>334</v>
      </c>
    </row>
    <row r="67" spans="1:12" ht="15.6">
      <c r="A67" s="311"/>
      <c r="B67" s="314" t="s">
        <v>249</v>
      </c>
      <c r="C67" s="314" t="s">
        <v>57</v>
      </c>
      <c r="D67" s="309" t="s">
        <v>42</v>
      </c>
      <c r="E67" s="425" t="s">
        <v>126</v>
      </c>
      <c r="F67" s="632" t="s">
        <v>103</v>
      </c>
      <c r="G67" s="666"/>
      <c r="H67" s="474" t="s">
        <v>103</v>
      </c>
      <c r="I67" s="474"/>
      <c r="J67" s="459"/>
      <c r="K67" s="459"/>
      <c r="L67" s="494" t="s">
        <v>334</v>
      </c>
    </row>
    <row r="68" spans="1:12" ht="15.75" customHeight="1">
      <c r="A68" s="311">
        <v>25</v>
      </c>
      <c r="B68" s="266" t="s">
        <v>250</v>
      </c>
      <c r="C68" s="310" t="s">
        <v>34</v>
      </c>
      <c r="D68" s="266" t="s">
        <v>38</v>
      </c>
      <c r="E68" s="266" t="s">
        <v>125</v>
      </c>
      <c r="F68" s="668" t="s">
        <v>102</v>
      </c>
      <c r="G68" s="664">
        <v>25</v>
      </c>
      <c r="H68" s="480" t="s">
        <v>308</v>
      </c>
      <c r="I68" s="478" t="s">
        <v>303</v>
      </c>
      <c r="J68" s="465" t="s">
        <v>298</v>
      </c>
      <c r="K68" s="465"/>
      <c r="L68" s="448"/>
    </row>
    <row r="69" spans="1:12" ht="15.75" customHeight="1">
      <c r="A69" s="311">
        <v>25</v>
      </c>
      <c r="B69" s="266" t="s">
        <v>250</v>
      </c>
      <c r="C69" s="310" t="s">
        <v>34</v>
      </c>
      <c r="D69" s="266" t="s">
        <v>142</v>
      </c>
      <c r="E69" s="266" t="s">
        <v>125</v>
      </c>
      <c r="F69" s="668" t="s">
        <v>102</v>
      </c>
      <c r="G69" s="664">
        <v>25</v>
      </c>
      <c r="H69" s="480" t="s">
        <v>309</v>
      </c>
      <c r="I69" s="480" t="s">
        <v>304</v>
      </c>
      <c r="J69" s="469" t="s">
        <v>299</v>
      </c>
      <c r="K69" s="469"/>
      <c r="L69" s="448" t="s">
        <v>143</v>
      </c>
    </row>
    <row r="70" spans="1:12" ht="15.75" customHeight="1">
      <c r="A70" s="311">
        <v>25</v>
      </c>
      <c r="B70" s="266" t="s">
        <v>250</v>
      </c>
      <c r="C70" s="310" t="s">
        <v>34</v>
      </c>
      <c r="D70" s="266" t="s">
        <v>40</v>
      </c>
      <c r="E70" s="266" t="s">
        <v>125</v>
      </c>
      <c r="F70" s="668" t="s">
        <v>102</v>
      </c>
      <c r="G70" s="664">
        <v>25</v>
      </c>
      <c r="H70" s="480" t="s">
        <v>308</v>
      </c>
      <c r="I70" s="480" t="s">
        <v>303</v>
      </c>
      <c r="J70" s="469" t="s">
        <v>293</v>
      </c>
      <c r="K70" s="469"/>
      <c r="L70" s="448" t="s">
        <v>228</v>
      </c>
    </row>
    <row r="71" spans="1:12" ht="15.75" customHeight="1">
      <c r="A71" s="311">
        <v>25</v>
      </c>
      <c r="B71" s="266" t="s">
        <v>251</v>
      </c>
      <c r="C71" s="310" t="s">
        <v>34</v>
      </c>
      <c r="D71" s="266" t="s">
        <v>49</v>
      </c>
      <c r="E71" s="266" t="s">
        <v>125</v>
      </c>
      <c r="F71" s="668" t="s">
        <v>102</v>
      </c>
      <c r="G71" s="664">
        <v>50</v>
      </c>
      <c r="H71" s="480" t="s">
        <v>307</v>
      </c>
      <c r="I71" s="480" t="s">
        <v>312</v>
      </c>
      <c r="J71" s="469" t="s">
        <v>319</v>
      </c>
      <c r="K71" s="469"/>
      <c r="L71" s="448" t="s">
        <v>228</v>
      </c>
    </row>
    <row r="72" spans="1:12" ht="15.75" customHeight="1">
      <c r="A72" s="311">
        <v>50</v>
      </c>
      <c r="B72" s="309" t="s">
        <v>252</v>
      </c>
      <c r="C72" s="309" t="s">
        <v>208</v>
      </c>
      <c r="D72" s="309" t="s">
        <v>40</v>
      </c>
      <c r="E72" s="318" t="s">
        <v>126</v>
      </c>
      <c r="F72" s="674" t="s">
        <v>102</v>
      </c>
      <c r="G72" s="666">
        <v>50</v>
      </c>
      <c r="H72" s="473" t="s">
        <v>306</v>
      </c>
      <c r="I72" s="473" t="s">
        <v>305</v>
      </c>
      <c r="J72" s="466" t="s">
        <v>325</v>
      </c>
      <c r="K72" s="466"/>
      <c r="L72" s="448" t="s">
        <v>207</v>
      </c>
    </row>
    <row r="73" spans="1:12" ht="15.75" customHeight="1">
      <c r="A73" s="311">
        <v>25</v>
      </c>
      <c r="B73" s="266" t="s">
        <v>253</v>
      </c>
      <c r="C73" s="309" t="s">
        <v>41</v>
      </c>
      <c r="D73" s="308" t="s">
        <v>40</v>
      </c>
      <c r="E73" s="318" t="s">
        <v>126</v>
      </c>
      <c r="F73" s="674" t="s">
        <v>102</v>
      </c>
      <c r="G73" s="676">
        <v>25</v>
      </c>
      <c r="H73" s="480" t="s">
        <v>308</v>
      </c>
      <c r="I73" s="480" t="s">
        <v>303</v>
      </c>
      <c r="J73" s="469" t="s">
        <v>293</v>
      </c>
      <c r="K73" s="469"/>
      <c r="L73" s="448" t="s">
        <v>196</v>
      </c>
    </row>
    <row r="74" spans="1:12" ht="15.6">
      <c r="A74" s="311">
        <v>25</v>
      </c>
      <c r="B74" s="307" t="s">
        <v>254</v>
      </c>
      <c r="C74" s="307" t="s">
        <v>44</v>
      </c>
      <c r="D74" s="306" t="s">
        <v>40</v>
      </c>
      <c r="E74" s="317" t="s">
        <v>126</v>
      </c>
      <c r="F74" s="672" t="s">
        <v>103</v>
      </c>
      <c r="G74" s="665">
        <v>25</v>
      </c>
      <c r="H74" s="478" t="s">
        <v>316</v>
      </c>
      <c r="I74" s="478" t="s">
        <v>303</v>
      </c>
      <c r="J74" s="455" t="s">
        <v>317</v>
      </c>
      <c r="K74" s="465" t="s">
        <v>328</v>
      </c>
      <c r="L74" s="448" t="s">
        <v>233</v>
      </c>
    </row>
    <row r="75" spans="1:12" ht="15.6">
      <c r="A75" s="311">
        <v>100</v>
      </c>
      <c r="B75" s="310" t="s">
        <v>255</v>
      </c>
      <c r="C75" s="310" t="s">
        <v>330</v>
      </c>
      <c r="D75" s="266" t="s">
        <v>40</v>
      </c>
      <c r="E75" s="181" t="s">
        <v>125</v>
      </c>
      <c r="F75" s="626" t="s">
        <v>103</v>
      </c>
      <c r="G75" s="676">
        <v>100</v>
      </c>
      <c r="H75" s="480" t="s">
        <v>306</v>
      </c>
      <c r="I75" s="480" t="s">
        <v>305</v>
      </c>
      <c r="J75" s="469" t="s">
        <v>325</v>
      </c>
      <c r="K75" s="469"/>
      <c r="L75" s="448" t="s">
        <v>233</v>
      </c>
    </row>
    <row r="76" spans="1:12" ht="15.6">
      <c r="A76" s="311">
        <v>25</v>
      </c>
      <c r="B76" s="314" t="s">
        <v>329</v>
      </c>
      <c r="C76" s="314" t="s">
        <v>44</v>
      </c>
      <c r="D76" s="309" t="s">
        <v>40</v>
      </c>
      <c r="E76" s="318" t="s">
        <v>126</v>
      </c>
      <c r="F76" s="632" t="s">
        <v>103</v>
      </c>
      <c r="G76" s="666">
        <v>25</v>
      </c>
      <c r="H76" s="473" t="s">
        <v>306</v>
      </c>
      <c r="I76" s="473" t="s">
        <v>305</v>
      </c>
      <c r="J76" s="466" t="s">
        <v>325</v>
      </c>
      <c r="K76" s="466" t="s">
        <v>529</v>
      </c>
      <c r="L76" s="448" t="s">
        <v>331</v>
      </c>
    </row>
    <row r="77" spans="1:12" ht="15.6">
      <c r="A77" s="311">
        <v>25</v>
      </c>
      <c r="B77" s="306" t="s">
        <v>256</v>
      </c>
      <c r="C77" s="306" t="s">
        <v>47</v>
      </c>
      <c r="D77" s="313" t="s">
        <v>40</v>
      </c>
      <c r="E77" s="317" t="s">
        <v>126</v>
      </c>
      <c r="F77" s="672" t="s">
        <v>103</v>
      </c>
      <c r="G77" s="665">
        <v>25</v>
      </c>
      <c r="H77" s="478" t="s">
        <v>306</v>
      </c>
      <c r="I77" s="478" t="s">
        <v>305</v>
      </c>
      <c r="J77" s="465" t="s">
        <v>325</v>
      </c>
      <c r="K77" s="465" t="s">
        <v>323</v>
      </c>
      <c r="L77" s="448" t="s">
        <v>229</v>
      </c>
    </row>
    <row r="78" spans="1:12" ht="15.6">
      <c r="A78" s="311">
        <v>100</v>
      </c>
      <c r="B78" s="266" t="s">
        <v>450</v>
      </c>
      <c r="C78" s="309" t="s">
        <v>47</v>
      </c>
      <c r="D78" s="310" t="s">
        <v>40</v>
      </c>
      <c r="E78" s="485" t="s">
        <v>383</v>
      </c>
      <c r="F78" s="626" t="s">
        <v>103</v>
      </c>
      <c r="G78" s="676">
        <v>25</v>
      </c>
      <c r="H78" s="481" t="s">
        <v>306</v>
      </c>
      <c r="I78" s="481" t="s">
        <v>305</v>
      </c>
      <c r="J78" s="466" t="s">
        <v>325</v>
      </c>
      <c r="K78" s="469"/>
      <c r="L78" s="448" t="s">
        <v>230</v>
      </c>
    </row>
    <row r="79" spans="1:12" ht="15.75" customHeight="1">
      <c r="A79" s="311">
        <v>25</v>
      </c>
      <c r="B79" s="306" t="s">
        <v>257</v>
      </c>
      <c r="C79" s="310" t="s">
        <v>50</v>
      </c>
      <c r="D79" s="313" t="s">
        <v>38</v>
      </c>
      <c r="E79" s="306" t="s">
        <v>125</v>
      </c>
      <c r="F79" s="672" t="s">
        <v>103</v>
      </c>
      <c r="G79" s="665">
        <v>25</v>
      </c>
      <c r="H79" s="482" t="s">
        <v>306</v>
      </c>
      <c r="I79" s="482" t="s">
        <v>310</v>
      </c>
      <c r="J79" s="465" t="s">
        <v>325</v>
      </c>
      <c r="K79" s="465"/>
      <c r="L79" s="448"/>
    </row>
    <row r="80" spans="1:12" ht="15.75" customHeight="1">
      <c r="A80" s="311">
        <v>25</v>
      </c>
      <c r="B80" s="266" t="s">
        <v>257</v>
      </c>
      <c r="C80" s="310" t="s">
        <v>50</v>
      </c>
      <c r="D80" s="310" t="s">
        <v>142</v>
      </c>
      <c r="E80" s="266" t="s">
        <v>125</v>
      </c>
      <c r="F80" s="626" t="s">
        <v>103</v>
      </c>
      <c r="G80" s="676">
        <v>25</v>
      </c>
      <c r="H80" s="481" t="s">
        <v>306</v>
      </c>
      <c r="I80" s="481" t="s">
        <v>305</v>
      </c>
      <c r="J80" s="466" t="s">
        <v>325</v>
      </c>
      <c r="K80" s="466"/>
      <c r="L80" s="448" t="s">
        <v>143</v>
      </c>
    </row>
    <row r="81" spans="1:12" ht="15.75" customHeight="1">
      <c r="A81" s="311">
        <v>25</v>
      </c>
      <c r="B81" s="306" t="s">
        <v>381</v>
      </c>
      <c r="C81" s="306" t="s">
        <v>50</v>
      </c>
      <c r="D81" s="313" t="s">
        <v>40</v>
      </c>
      <c r="E81" s="306" t="s">
        <v>125</v>
      </c>
      <c r="F81" s="672" t="s">
        <v>103</v>
      </c>
      <c r="G81" s="665" t="s">
        <v>499</v>
      </c>
      <c r="H81" s="482" t="s">
        <v>306</v>
      </c>
      <c r="I81" s="482" t="s">
        <v>310</v>
      </c>
      <c r="J81" s="465" t="s">
        <v>325</v>
      </c>
      <c r="K81" s="465"/>
      <c r="L81" s="448" t="s">
        <v>231</v>
      </c>
    </row>
    <row r="82" spans="1:12" ht="15.75" customHeight="1">
      <c r="A82" s="311">
        <v>25</v>
      </c>
      <c r="B82" s="309" t="s">
        <v>258</v>
      </c>
      <c r="C82" s="309" t="s">
        <v>50</v>
      </c>
      <c r="D82" s="314" t="s">
        <v>40</v>
      </c>
      <c r="E82" s="318" t="s">
        <v>126</v>
      </c>
      <c r="F82" s="632" t="s">
        <v>103</v>
      </c>
      <c r="G82" s="666">
        <v>25</v>
      </c>
      <c r="H82" s="473" t="s">
        <v>306</v>
      </c>
      <c r="I82" s="473" t="s">
        <v>305</v>
      </c>
      <c r="J82" s="466" t="s">
        <v>325</v>
      </c>
      <c r="K82" s="466"/>
      <c r="L82" s="448" t="s">
        <v>232</v>
      </c>
    </row>
    <row r="83" spans="1:12" ht="15.75" customHeight="1">
      <c r="A83" s="311">
        <v>25</v>
      </c>
      <c r="B83" s="309" t="s">
        <v>259</v>
      </c>
      <c r="C83" s="314" t="s">
        <v>205</v>
      </c>
      <c r="D83" s="483" t="s">
        <v>40</v>
      </c>
      <c r="E83" s="321" t="s">
        <v>126</v>
      </c>
      <c r="F83" s="632" t="s">
        <v>103</v>
      </c>
      <c r="G83" s="676">
        <v>25</v>
      </c>
      <c r="H83" s="478" t="s">
        <v>306</v>
      </c>
      <c r="I83" s="478" t="s">
        <v>305</v>
      </c>
      <c r="J83" s="465" t="s">
        <v>325</v>
      </c>
      <c r="K83" s="465"/>
      <c r="L83" s="448" t="s">
        <v>206</v>
      </c>
    </row>
    <row r="84" spans="1:12" ht="15.75" customHeight="1">
      <c r="A84" s="311"/>
      <c r="B84" s="306" t="s">
        <v>376</v>
      </c>
      <c r="C84" s="313" t="s">
        <v>442</v>
      </c>
      <c r="D84" s="613" t="s">
        <v>40</v>
      </c>
      <c r="E84" s="317" t="s">
        <v>126</v>
      </c>
      <c r="F84" s="672" t="s">
        <v>103</v>
      </c>
      <c r="G84" s="665">
        <v>25</v>
      </c>
      <c r="H84" s="478" t="s">
        <v>306</v>
      </c>
      <c r="I84" s="478" t="s">
        <v>305</v>
      </c>
      <c r="J84" s="465" t="s">
        <v>325</v>
      </c>
      <c r="K84" s="465"/>
      <c r="L84" s="448" t="s">
        <v>445</v>
      </c>
    </row>
    <row r="85" spans="1:12" ht="15.75" customHeight="1">
      <c r="A85" s="311"/>
      <c r="B85" s="309" t="s">
        <v>377</v>
      </c>
      <c r="C85" s="314" t="s">
        <v>55</v>
      </c>
      <c r="D85" s="315" t="s">
        <v>40</v>
      </c>
      <c r="E85" s="305" t="s">
        <v>125</v>
      </c>
      <c r="F85" s="632" t="s">
        <v>103</v>
      </c>
      <c r="G85" s="666">
        <v>25</v>
      </c>
      <c r="H85" s="473" t="s">
        <v>306</v>
      </c>
      <c r="I85" s="473" t="s">
        <v>305</v>
      </c>
      <c r="J85" s="466" t="s">
        <v>325</v>
      </c>
      <c r="K85" s="466"/>
      <c r="L85" s="448" t="s">
        <v>445</v>
      </c>
    </row>
    <row r="86" spans="1:12" ht="15.75" customHeight="1">
      <c r="A86" s="311">
        <v>25</v>
      </c>
      <c r="B86" s="426" t="s">
        <v>443</v>
      </c>
      <c r="C86" s="315" t="s">
        <v>57</v>
      </c>
      <c r="D86" s="484" t="s">
        <v>40</v>
      </c>
      <c r="E86" s="181" t="s">
        <v>125</v>
      </c>
      <c r="F86" s="632" t="s">
        <v>103</v>
      </c>
      <c r="G86" s="676">
        <v>100</v>
      </c>
      <c r="H86" s="478" t="s">
        <v>306</v>
      </c>
      <c r="I86" s="478" t="s">
        <v>305</v>
      </c>
      <c r="J86" s="465" t="s">
        <v>325</v>
      </c>
      <c r="K86" s="465"/>
      <c r="L86" s="448" t="s">
        <v>444</v>
      </c>
    </row>
    <row r="87" spans="1:12" ht="15.75" customHeight="1">
      <c r="A87" s="70">
        <v>50</v>
      </c>
      <c r="B87" s="627" t="s">
        <v>297</v>
      </c>
      <c r="C87" s="306" t="s">
        <v>34</v>
      </c>
      <c r="D87" s="306" t="s">
        <v>204</v>
      </c>
      <c r="E87" s="634" t="s">
        <v>125</v>
      </c>
      <c r="F87" s="625" t="s">
        <v>102</v>
      </c>
      <c r="G87" s="677">
        <v>50</v>
      </c>
      <c r="H87" s="478" t="s">
        <v>308</v>
      </c>
      <c r="I87" s="478" t="s">
        <v>303</v>
      </c>
      <c r="J87" s="468" t="s">
        <v>300</v>
      </c>
      <c r="K87" s="470" t="s">
        <v>527</v>
      </c>
      <c r="L87" s="448" t="s">
        <v>135</v>
      </c>
    </row>
    <row r="88" spans="1:12" ht="15.6">
      <c r="B88" s="630" t="s">
        <v>468</v>
      </c>
      <c r="C88" s="181" t="s">
        <v>44</v>
      </c>
      <c r="D88" s="266" t="s">
        <v>466</v>
      </c>
      <c r="E88" s="694" t="s">
        <v>518</v>
      </c>
      <c r="F88" s="626" t="s">
        <v>103</v>
      </c>
      <c r="G88" s="676"/>
      <c r="H88" s="475"/>
      <c r="I88" s="475"/>
      <c r="J88" s="464"/>
      <c r="K88" s="464"/>
      <c r="L88" s="631" t="s">
        <v>467</v>
      </c>
    </row>
    <row r="89" spans="1:12" ht="15.75" customHeight="1">
      <c r="A89" s="70">
        <v>50</v>
      </c>
      <c r="B89" s="630" t="s">
        <v>296</v>
      </c>
      <c r="C89" s="181" t="s">
        <v>446</v>
      </c>
      <c r="D89" s="266" t="s">
        <v>204</v>
      </c>
      <c r="E89" s="431" t="s">
        <v>125</v>
      </c>
      <c r="F89" s="626" t="s">
        <v>103</v>
      </c>
      <c r="G89" s="676">
        <v>50</v>
      </c>
      <c r="H89" s="475" t="s">
        <v>306</v>
      </c>
      <c r="I89" s="475" t="s">
        <v>305</v>
      </c>
      <c r="J89" s="464" t="s">
        <v>325</v>
      </c>
      <c r="K89" s="464" t="s">
        <v>527</v>
      </c>
      <c r="L89" s="448" t="s">
        <v>195</v>
      </c>
    </row>
    <row r="90" spans="1:12" ht="15.75" customHeight="1">
      <c r="A90" s="70"/>
      <c r="B90" s="630" t="s">
        <v>470</v>
      </c>
      <c r="C90" s="181" t="s">
        <v>50</v>
      </c>
      <c r="D90" s="266" t="s">
        <v>466</v>
      </c>
      <c r="E90" s="694" t="s">
        <v>518</v>
      </c>
      <c r="F90" s="626" t="s">
        <v>103</v>
      </c>
      <c r="G90" s="676"/>
      <c r="H90" s="475"/>
      <c r="I90" s="475"/>
      <c r="J90" s="464"/>
      <c r="K90" s="464"/>
      <c r="L90" s="631" t="s">
        <v>467</v>
      </c>
    </row>
    <row r="91" spans="1:12" ht="15.75" customHeight="1">
      <c r="A91" s="70"/>
      <c r="B91" s="628" t="s">
        <v>469</v>
      </c>
      <c r="C91" s="305" t="s">
        <v>55</v>
      </c>
      <c r="D91" s="309" t="s">
        <v>466</v>
      </c>
      <c r="E91" s="332" t="s">
        <v>518</v>
      </c>
      <c r="F91" s="632" t="s">
        <v>103</v>
      </c>
      <c r="G91" s="666"/>
      <c r="H91" s="474"/>
      <c r="I91" s="474"/>
      <c r="J91" s="633"/>
      <c r="K91" s="633"/>
      <c r="L91" s="631" t="s">
        <v>467</v>
      </c>
    </row>
    <row r="92" spans="1:12" ht="15.75" customHeight="1">
      <c r="A92" s="70">
        <v>50</v>
      </c>
      <c r="B92" s="181" t="s">
        <v>234</v>
      </c>
      <c r="C92" s="68" t="s">
        <v>34</v>
      </c>
      <c r="D92" s="181" t="s">
        <v>335</v>
      </c>
      <c r="E92" s="447" t="s">
        <v>125</v>
      </c>
      <c r="F92" s="675" t="s">
        <v>102</v>
      </c>
      <c r="G92" s="662">
        <v>50</v>
      </c>
      <c r="H92" s="480" t="s">
        <v>313</v>
      </c>
      <c r="I92" s="480" t="s">
        <v>314</v>
      </c>
      <c r="J92" s="467" t="s">
        <v>321</v>
      </c>
      <c r="K92" s="334" t="s">
        <v>323</v>
      </c>
      <c r="L92" s="448" t="s">
        <v>218</v>
      </c>
    </row>
    <row r="93" spans="1:12" ht="15.75" customHeight="1">
      <c r="A93" s="70">
        <v>50</v>
      </c>
      <c r="B93" s="181" t="s">
        <v>260</v>
      </c>
      <c r="C93" s="68" t="s">
        <v>34</v>
      </c>
      <c r="D93" s="181" t="s">
        <v>335</v>
      </c>
      <c r="E93" s="447" t="s">
        <v>125</v>
      </c>
      <c r="F93" s="675" t="s">
        <v>102</v>
      </c>
      <c r="G93" s="662">
        <v>50</v>
      </c>
      <c r="H93" s="334" t="s">
        <v>308</v>
      </c>
      <c r="I93" s="334" t="s">
        <v>303</v>
      </c>
      <c r="J93" s="334" t="s">
        <v>320</v>
      </c>
      <c r="K93" s="334" t="s">
        <v>530</v>
      </c>
      <c r="L93" s="449" t="s">
        <v>235</v>
      </c>
    </row>
    <row r="94" spans="1:12" ht="15.75" customHeight="1">
      <c r="A94" s="70">
        <v>100</v>
      </c>
      <c r="B94" s="181" t="s">
        <v>261</v>
      </c>
      <c r="C94" s="68" t="s">
        <v>44</v>
      </c>
      <c r="D94" s="181" t="s">
        <v>374</v>
      </c>
      <c r="E94" s="485" t="s">
        <v>125</v>
      </c>
      <c r="F94" s="626" t="s">
        <v>103</v>
      </c>
      <c r="G94" s="664">
        <v>100</v>
      </c>
      <c r="H94" s="334" t="s">
        <v>316</v>
      </c>
      <c r="I94" s="334" t="s">
        <v>303</v>
      </c>
      <c r="J94" s="334" t="s">
        <v>294</v>
      </c>
      <c r="K94" s="334" t="s">
        <v>328</v>
      </c>
      <c r="L94" s="448" t="s">
        <v>195</v>
      </c>
    </row>
    <row r="95" spans="1:12" ht="15.75" customHeight="1">
      <c r="A95" s="70">
        <v>50</v>
      </c>
      <c r="B95" s="181" t="s">
        <v>372</v>
      </c>
      <c r="C95" s="68" t="s">
        <v>47</v>
      </c>
      <c r="D95" s="181" t="s">
        <v>217</v>
      </c>
      <c r="E95" s="485" t="s">
        <v>125</v>
      </c>
      <c r="F95" s="626" t="s">
        <v>103</v>
      </c>
      <c r="G95" s="664">
        <v>50</v>
      </c>
      <c r="H95" s="475" t="s">
        <v>311</v>
      </c>
      <c r="I95" s="334" t="s">
        <v>315</v>
      </c>
      <c r="J95" s="334" t="s">
        <v>322</v>
      </c>
      <c r="K95" s="334" t="s">
        <v>323</v>
      </c>
      <c r="L95" s="448" t="s">
        <v>219</v>
      </c>
    </row>
    <row r="96" spans="1:12" ht="15.75" customHeight="1">
      <c r="A96" s="497">
        <v>100</v>
      </c>
      <c r="B96" s="181" t="s">
        <v>378</v>
      </c>
      <c r="C96" s="68" t="s">
        <v>47</v>
      </c>
      <c r="D96" s="181" t="s">
        <v>374</v>
      </c>
      <c r="E96" s="485" t="s">
        <v>125</v>
      </c>
      <c r="F96" s="626" t="s">
        <v>103</v>
      </c>
      <c r="G96" s="664">
        <v>100</v>
      </c>
      <c r="H96" s="334" t="s">
        <v>306</v>
      </c>
      <c r="I96" s="334" t="s">
        <v>305</v>
      </c>
      <c r="J96" s="334" t="s">
        <v>325</v>
      </c>
      <c r="K96" s="334"/>
      <c r="L96" s="448" t="s">
        <v>195</v>
      </c>
    </row>
    <row r="97" spans="1:15" ht="15.75" customHeight="1">
      <c r="A97" s="498" t="s">
        <v>336</v>
      </c>
      <c r="B97" s="181" t="s">
        <v>491</v>
      </c>
      <c r="C97" s="68" t="s">
        <v>50</v>
      </c>
      <c r="D97" s="181" t="s">
        <v>374</v>
      </c>
      <c r="E97" s="485" t="s">
        <v>397</v>
      </c>
      <c r="F97" s="626" t="s">
        <v>103</v>
      </c>
      <c r="G97" s="685">
        <v>50100</v>
      </c>
      <c r="H97" s="334" t="s">
        <v>306</v>
      </c>
      <c r="I97" s="334" t="s">
        <v>305</v>
      </c>
      <c r="J97" s="334" t="s">
        <v>325</v>
      </c>
      <c r="K97" s="334" t="s">
        <v>327</v>
      </c>
      <c r="L97" s="449" t="s">
        <v>396</v>
      </c>
    </row>
    <row r="98" spans="1:15" ht="15.75" customHeight="1">
      <c r="A98" s="498"/>
      <c r="B98" s="305" t="s">
        <v>472</v>
      </c>
      <c r="C98" s="315" t="s">
        <v>55</v>
      </c>
      <c r="D98" s="305" t="s">
        <v>466</v>
      </c>
      <c r="E98" s="320" t="s">
        <v>466</v>
      </c>
      <c r="F98" s="632" t="s">
        <v>103</v>
      </c>
      <c r="G98" s="663">
        <v>100</v>
      </c>
      <c r="H98" s="332"/>
      <c r="I98" s="332"/>
      <c r="J98" s="332"/>
      <c r="K98" s="332"/>
      <c r="L98" s="631" t="s">
        <v>467</v>
      </c>
    </row>
    <row r="99" spans="1:15" ht="15.6">
      <c r="A99" s="5">
        <v>100</v>
      </c>
      <c r="B99" s="69" t="s">
        <v>384</v>
      </c>
      <c r="C99" s="69" t="s">
        <v>367</v>
      </c>
      <c r="D99" s="69" t="s">
        <v>373</v>
      </c>
      <c r="E99" s="317" t="s">
        <v>126</v>
      </c>
      <c r="F99" s="668" t="s">
        <v>102</v>
      </c>
      <c r="G99" s="664">
        <v>100</v>
      </c>
      <c r="H99" s="480" t="s">
        <v>313</v>
      </c>
      <c r="I99" s="480" t="s">
        <v>314</v>
      </c>
      <c r="J99" s="467" t="s">
        <v>368</v>
      </c>
      <c r="K99" s="330"/>
      <c r="L99" s="54"/>
      <c r="M99" s="421" t="s">
        <v>275</v>
      </c>
      <c r="N99" s="422"/>
      <c r="O99" s="423"/>
    </row>
    <row r="100" spans="1:15" ht="15.6">
      <c r="A100" s="5">
        <v>200</v>
      </c>
      <c r="B100" s="181" t="s">
        <v>489</v>
      </c>
      <c r="C100" s="181" t="s">
        <v>44</v>
      </c>
      <c r="D100" s="181" t="s">
        <v>373</v>
      </c>
      <c r="E100" s="447" t="s">
        <v>126</v>
      </c>
      <c r="F100" s="626" t="s">
        <v>103</v>
      </c>
      <c r="G100" s="664" t="s">
        <v>500</v>
      </c>
      <c r="H100" s="334" t="s">
        <v>385</v>
      </c>
      <c r="I100" s="334" t="s">
        <v>314</v>
      </c>
      <c r="J100" s="334"/>
      <c r="K100" s="334" t="s">
        <v>323</v>
      </c>
      <c r="L100" s="448" t="s">
        <v>451</v>
      </c>
      <c r="M100" s="424" t="s">
        <v>194</v>
      </c>
      <c r="N100" s="248"/>
      <c r="O100" s="249"/>
    </row>
    <row r="101" spans="1:15" ht="15.6">
      <c r="A101" s="5">
        <v>100</v>
      </c>
      <c r="B101" s="181" t="s">
        <v>490</v>
      </c>
      <c r="C101" s="181" t="s">
        <v>47</v>
      </c>
      <c r="D101" s="181" t="s">
        <v>373</v>
      </c>
      <c r="E101" s="485" t="s">
        <v>125</v>
      </c>
      <c r="F101" s="626" t="s">
        <v>103</v>
      </c>
      <c r="G101" s="664" t="s">
        <v>500</v>
      </c>
      <c r="H101" s="334" t="s">
        <v>311</v>
      </c>
      <c r="I101" s="334" t="s">
        <v>315</v>
      </c>
      <c r="J101" s="334"/>
      <c r="K101" s="334" t="s">
        <v>323</v>
      </c>
      <c r="L101" s="54"/>
      <c r="M101" s="424" t="s">
        <v>192</v>
      </c>
      <c r="N101" s="248"/>
      <c r="O101" s="249"/>
    </row>
    <row r="102" spans="1:15" ht="15.6">
      <c r="B102" s="181" t="s">
        <v>492</v>
      </c>
      <c r="C102" s="181" t="s">
        <v>471</v>
      </c>
      <c r="D102" s="181" t="s">
        <v>466</v>
      </c>
      <c r="E102" s="485"/>
      <c r="F102" s="626" t="s">
        <v>103</v>
      </c>
      <c r="G102" s="664" t="s">
        <v>500</v>
      </c>
      <c r="H102" s="475" t="s">
        <v>306</v>
      </c>
      <c r="I102" s="334"/>
      <c r="J102" s="334"/>
      <c r="K102" s="334" t="s">
        <v>323</v>
      </c>
      <c r="L102" s="448" t="s">
        <v>464</v>
      </c>
      <c r="M102" s="424"/>
      <c r="N102" s="248"/>
      <c r="O102" s="249"/>
    </row>
    <row r="103" spans="1:15" ht="15.75" customHeight="1">
      <c r="B103" s="181" t="s">
        <v>452</v>
      </c>
      <c r="C103" s="181" t="s">
        <v>493</v>
      </c>
      <c r="D103" s="181" t="s">
        <v>466</v>
      </c>
      <c r="E103" s="485"/>
      <c r="F103" s="626" t="s">
        <v>103</v>
      </c>
      <c r="G103" s="664" t="s">
        <v>500</v>
      </c>
      <c r="H103" s="334"/>
      <c r="I103" s="334"/>
      <c r="J103" s="334"/>
      <c r="K103" s="334" t="s">
        <v>323</v>
      </c>
      <c r="L103" s="448" t="s">
        <v>464</v>
      </c>
      <c r="M103" s="424"/>
      <c r="N103" s="248"/>
      <c r="O103" s="249"/>
    </row>
    <row r="104" spans="1:15" ht="15.6">
      <c r="B104" s="305" t="s">
        <v>473</v>
      </c>
      <c r="C104" s="305" t="s">
        <v>55</v>
      </c>
      <c r="D104" s="305" t="s">
        <v>466</v>
      </c>
      <c r="E104" s="320"/>
      <c r="F104" s="632" t="s">
        <v>103</v>
      </c>
      <c r="G104" s="693" t="s">
        <v>500</v>
      </c>
      <c r="H104" s="332"/>
      <c r="I104" s="332"/>
      <c r="J104" s="332"/>
      <c r="K104" s="332" t="s">
        <v>323</v>
      </c>
      <c r="L104" s="448" t="s">
        <v>464</v>
      </c>
      <c r="M104" s="424"/>
      <c r="N104" s="248"/>
      <c r="O104" s="249"/>
    </row>
    <row r="105" spans="1:15" ht="15.6">
      <c r="B105" s="181" t="s">
        <v>494</v>
      </c>
      <c r="C105" s="69" t="s">
        <v>34</v>
      </c>
      <c r="D105" s="181" t="s">
        <v>461</v>
      </c>
      <c r="E105" s="485"/>
      <c r="F105" s="668" t="s">
        <v>102</v>
      </c>
      <c r="G105" s="664">
        <v>100</v>
      </c>
      <c r="H105" s="334"/>
      <c r="I105" s="334"/>
      <c r="J105" s="334"/>
      <c r="K105" s="334"/>
      <c r="L105" s="448" t="s">
        <v>464</v>
      </c>
      <c r="M105" s="424"/>
      <c r="N105" s="248"/>
      <c r="O105" s="249"/>
    </row>
    <row r="106" spans="1:15" ht="15.6">
      <c r="B106" s="181" t="s">
        <v>453</v>
      </c>
      <c r="C106" s="181" t="s">
        <v>44</v>
      </c>
      <c r="D106" s="181" t="s">
        <v>461</v>
      </c>
      <c r="E106" s="485"/>
      <c r="F106" s="626" t="s">
        <v>103</v>
      </c>
      <c r="G106" s="664">
        <v>200</v>
      </c>
      <c r="H106" s="334"/>
      <c r="I106" s="334"/>
      <c r="J106" s="334"/>
      <c r="K106" s="334"/>
      <c r="L106" s="448" t="s">
        <v>464</v>
      </c>
      <c r="M106" s="424"/>
      <c r="N106" s="248"/>
      <c r="O106" s="249"/>
    </row>
    <row r="107" spans="1:15" ht="15.6">
      <c r="B107" s="181" t="s">
        <v>454</v>
      </c>
      <c r="C107" s="181" t="s">
        <v>47</v>
      </c>
      <c r="D107" s="181" t="s">
        <v>461</v>
      </c>
      <c r="E107" s="485"/>
      <c r="F107" s="626" t="s">
        <v>103</v>
      </c>
      <c r="G107" s="664">
        <v>200</v>
      </c>
      <c r="H107" s="334"/>
      <c r="I107" s="334"/>
      <c r="J107" s="334"/>
      <c r="K107" s="334"/>
      <c r="L107" s="448" t="s">
        <v>464</v>
      </c>
      <c r="M107" s="424"/>
      <c r="N107" s="248"/>
      <c r="O107" s="249"/>
    </row>
    <row r="108" spans="1:15" ht="15.6">
      <c r="B108" s="181" t="s">
        <v>495</v>
      </c>
      <c r="C108" s="181" t="s">
        <v>50</v>
      </c>
      <c r="D108" s="181" t="s">
        <v>461</v>
      </c>
      <c r="E108" s="480" t="s">
        <v>518</v>
      </c>
      <c r="F108" s="626" t="s">
        <v>103</v>
      </c>
      <c r="G108" s="664"/>
      <c r="H108" s="334"/>
      <c r="I108" s="334"/>
      <c r="J108" s="334"/>
      <c r="K108" s="334"/>
      <c r="L108" s="448" t="s">
        <v>464</v>
      </c>
      <c r="M108" s="424"/>
      <c r="N108" s="248"/>
      <c r="O108" s="249"/>
    </row>
    <row r="109" spans="1:15" ht="15.6">
      <c r="B109" s="305" t="s">
        <v>496</v>
      </c>
      <c r="C109" s="305" t="s">
        <v>455</v>
      </c>
      <c r="D109" s="305" t="s">
        <v>461</v>
      </c>
      <c r="E109" s="473" t="s">
        <v>518</v>
      </c>
      <c r="F109" s="632" t="s">
        <v>103</v>
      </c>
      <c r="G109" s="663"/>
      <c r="H109" s="332"/>
      <c r="I109" s="332"/>
      <c r="J109" s="332"/>
      <c r="K109" s="332"/>
      <c r="L109" s="448" t="s">
        <v>464</v>
      </c>
      <c r="M109" s="424"/>
      <c r="N109" s="248"/>
      <c r="O109" s="249"/>
    </row>
    <row r="110" spans="1:15" ht="15.6">
      <c r="B110" s="181" t="s">
        <v>457</v>
      </c>
      <c r="C110" s="68" t="s">
        <v>34</v>
      </c>
      <c r="D110" s="181" t="s">
        <v>461</v>
      </c>
      <c r="E110" s="480" t="s">
        <v>518</v>
      </c>
      <c r="F110" s="668" t="s">
        <v>102</v>
      </c>
      <c r="G110" s="329"/>
      <c r="H110" s="334"/>
      <c r="I110" s="334"/>
      <c r="J110" s="334"/>
      <c r="K110" s="334"/>
      <c r="L110" s="448" t="s">
        <v>464</v>
      </c>
      <c r="M110" s="424"/>
      <c r="N110" s="248"/>
      <c r="O110" s="249"/>
    </row>
    <row r="111" spans="1:15" ht="15.6">
      <c r="B111" s="181" t="s">
        <v>456</v>
      </c>
      <c r="C111" s="181" t="s">
        <v>44</v>
      </c>
      <c r="D111" s="181" t="s">
        <v>461</v>
      </c>
      <c r="E111" s="480" t="s">
        <v>518</v>
      </c>
      <c r="F111" s="626" t="s">
        <v>103</v>
      </c>
      <c r="G111" s="329"/>
      <c r="H111" s="334"/>
      <c r="I111" s="334"/>
      <c r="J111" s="334"/>
      <c r="K111" s="334"/>
      <c r="L111" s="448" t="s">
        <v>464</v>
      </c>
      <c r="M111" s="424"/>
      <c r="N111" s="248"/>
      <c r="O111" s="249"/>
    </row>
    <row r="112" spans="1:15" ht="15.6">
      <c r="B112" s="181" t="s">
        <v>458</v>
      </c>
      <c r="C112" s="181" t="s">
        <v>47</v>
      </c>
      <c r="D112" s="181" t="s">
        <v>461</v>
      </c>
      <c r="E112" s="480" t="s">
        <v>518</v>
      </c>
      <c r="F112" s="626" t="s">
        <v>103</v>
      </c>
      <c r="G112" s="329"/>
      <c r="H112" s="334"/>
      <c r="I112" s="334"/>
      <c r="J112" s="334"/>
      <c r="K112" s="334"/>
      <c r="L112" s="448" t="s">
        <v>464</v>
      </c>
      <c r="M112" s="424"/>
      <c r="N112" s="248"/>
      <c r="O112" s="249"/>
    </row>
    <row r="113" spans="2:15" ht="15.6">
      <c r="B113" s="181" t="s">
        <v>459</v>
      </c>
      <c r="C113" s="181" t="s">
        <v>50</v>
      </c>
      <c r="D113" s="181" t="s">
        <v>461</v>
      </c>
      <c r="E113" s="480" t="s">
        <v>518</v>
      </c>
      <c r="F113" s="626" t="s">
        <v>103</v>
      </c>
      <c r="G113" s="329"/>
      <c r="H113" s="334"/>
      <c r="I113" s="334"/>
      <c r="J113" s="334"/>
      <c r="K113" s="334"/>
      <c r="L113" s="448" t="s">
        <v>464</v>
      </c>
      <c r="M113" s="424"/>
      <c r="N113" s="248"/>
      <c r="O113" s="249"/>
    </row>
    <row r="114" spans="2:15" ht="15.6">
      <c r="B114" s="305" t="s">
        <v>460</v>
      </c>
      <c r="C114" s="305" t="s">
        <v>455</v>
      </c>
      <c r="D114" s="305" t="s">
        <v>461</v>
      </c>
      <c r="E114" s="473" t="s">
        <v>518</v>
      </c>
      <c r="F114" s="632" t="s">
        <v>103</v>
      </c>
      <c r="G114" s="429"/>
      <c r="H114" s="332"/>
      <c r="I114" s="332"/>
      <c r="J114" s="332"/>
      <c r="K114" s="332"/>
      <c r="L114" s="448" t="s">
        <v>464</v>
      </c>
      <c r="M114" s="424"/>
      <c r="N114" s="248"/>
      <c r="O114" s="249"/>
    </row>
    <row r="115" spans="2:15" ht="15.6">
      <c r="B115" s="332"/>
      <c r="C115" s="332"/>
      <c r="D115" s="332"/>
      <c r="E115" s="332"/>
      <c r="F115" s="332"/>
      <c r="G115" s="517"/>
      <c r="H115" s="332"/>
      <c r="I115" s="332"/>
      <c r="J115" s="332"/>
      <c r="K115" s="332"/>
      <c r="L115" s="54"/>
      <c r="M115" s="424" t="s">
        <v>193</v>
      </c>
      <c r="N115" s="248"/>
      <c r="O115" s="249"/>
    </row>
    <row r="116" spans="2:15" ht="15.6">
      <c r="B116" s="492"/>
      <c r="D116" s="533" t="s">
        <v>365</v>
      </c>
      <c r="E116" s="54"/>
      <c r="F116" s="54"/>
      <c r="G116" s="54"/>
      <c r="H116" s="54"/>
      <c r="I116" s="54"/>
      <c r="J116" s="342"/>
      <c r="K116" s="342"/>
      <c r="M116" s="435" t="s">
        <v>203</v>
      </c>
      <c r="N116" s="252"/>
      <c r="O116" s="253"/>
    </row>
    <row r="117" spans="2:15" ht="21">
      <c r="B117" s="490" t="s">
        <v>171</v>
      </c>
    </row>
    <row r="118" spans="2:15" ht="18">
      <c r="B118" s="351" t="s">
        <v>176</v>
      </c>
    </row>
    <row r="119" spans="2:15" ht="15.6">
      <c r="B119" s="432" t="s">
        <v>270</v>
      </c>
      <c r="C119" s="432" t="s">
        <v>170</v>
      </c>
      <c r="D119" s="432" t="s">
        <v>332</v>
      </c>
      <c r="E119" s="432" t="s">
        <v>165</v>
      </c>
      <c r="F119" s="432" t="s">
        <v>164</v>
      </c>
      <c r="G119" s="432"/>
      <c r="H119" s="432" t="s">
        <v>333</v>
      </c>
      <c r="I119" s="471"/>
      <c r="J119" s="453"/>
      <c r="K119" s="453"/>
    </row>
    <row r="120" spans="2:15" ht="15.75" customHeight="1">
      <c r="B120" s="330" t="s">
        <v>48</v>
      </c>
      <c r="C120" s="330" t="s">
        <v>47</v>
      </c>
      <c r="D120" s="330" t="s">
        <v>49</v>
      </c>
      <c r="E120" s="348" t="s">
        <v>125</v>
      </c>
      <c r="F120" s="331" t="s">
        <v>102</v>
      </c>
      <c r="G120" s="331"/>
      <c r="H120" s="348"/>
      <c r="I120" s="472"/>
      <c r="J120" s="454"/>
      <c r="K120" s="454"/>
      <c r="L120" s="342" t="s">
        <v>173</v>
      </c>
    </row>
    <row r="121" spans="2:15" ht="15.75" customHeight="1">
      <c r="B121" s="332" t="s">
        <v>48</v>
      </c>
      <c r="C121" s="332" t="s">
        <v>54</v>
      </c>
      <c r="D121" s="332" t="s">
        <v>49</v>
      </c>
      <c r="E121" s="349" t="s">
        <v>125</v>
      </c>
      <c r="F121" s="333" t="s">
        <v>103</v>
      </c>
      <c r="G121" s="333"/>
      <c r="H121" s="349"/>
      <c r="I121" s="472"/>
      <c r="J121" s="454"/>
      <c r="K121" s="454"/>
      <c r="L121" s="342" t="s">
        <v>173</v>
      </c>
    </row>
    <row r="122" spans="2:15" ht="15.75" customHeight="1">
      <c r="B122" s="334" t="s">
        <v>59</v>
      </c>
      <c r="C122" s="335" t="s">
        <v>44</v>
      </c>
      <c r="D122" s="330" t="s">
        <v>45</v>
      </c>
      <c r="E122" s="348" t="s">
        <v>125</v>
      </c>
      <c r="F122" s="331" t="s">
        <v>102</v>
      </c>
      <c r="G122" s="331"/>
      <c r="H122" s="348"/>
      <c r="I122" s="472"/>
      <c r="J122" s="454"/>
      <c r="K122" s="454"/>
      <c r="L122" s="342" t="s">
        <v>173</v>
      </c>
      <c r="M122" s="70"/>
      <c r="N122" s="70"/>
    </row>
    <row r="123" spans="2:15" ht="15.75" customHeight="1">
      <c r="B123" s="334" t="s">
        <v>59</v>
      </c>
      <c r="C123" s="332" t="s">
        <v>44</v>
      </c>
      <c r="D123" s="334" t="s">
        <v>39</v>
      </c>
      <c r="E123" s="347" t="s">
        <v>125</v>
      </c>
      <c r="F123" s="336" t="s">
        <v>102</v>
      </c>
      <c r="G123" s="345"/>
      <c r="H123" s="347"/>
      <c r="I123" s="472"/>
      <c r="J123" s="454"/>
      <c r="K123" s="454"/>
      <c r="L123" s="342" t="s">
        <v>173</v>
      </c>
    </row>
    <row r="124" spans="2:15" ht="15.75" customHeight="1">
      <c r="B124" s="330" t="s">
        <v>59</v>
      </c>
      <c r="C124" s="335" t="s">
        <v>50</v>
      </c>
      <c r="D124" s="330" t="s">
        <v>45</v>
      </c>
      <c r="E124" s="348" t="s">
        <v>125</v>
      </c>
      <c r="F124" s="337" t="s">
        <v>103</v>
      </c>
      <c r="G124" s="337"/>
      <c r="H124" s="348"/>
      <c r="I124" s="472"/>
      <c r="J124" s="454"/>
      <c r="K124" s="454"/>
      <c r="L124" s="342" t="s">
        <v>173</v>
      </c>
    </row>
    <row r="125" spans="2:15" ht="15.75" customHeight="1">
      <c r="B125" s="332" t="s">
        <v>59</v>
      </c>
      <c r="C125" s="332" t="s">
        <v>50</v>
      </c>
      <c r="D125" s="332" t="s">
        <v>51</v>
      </c>
      <c r="E125" s="349" t="s">
        <v>125</v>
      </c>
      <c r="F125" s="333" t="s">
        <v>103</v>
      </c>
      <c r="G125" s="333"/>
      <c r="H125" s="349"/>
      <c r="I125" s="472"/>
      <c r="J125" s="454"/>
      <c r="K125" s="454"/>
      <c r="L125" s="342" t="s">
        <v>173</v>
      </c>
    </row>
    <row r="126" spans="2:15" ht="15.75" customHeight="1">
      <c r="B126" s="332" t="s">
        <v>59</v>
      </c>
      <c r="C126" s="339" t="s">
        <v>55</v>
      </c>
      <c r="D126" s="332" t="s">
        <v>39</v>
      </c>
      <c r="E126" s="349" t="s">
        <v>125</v>
      </c>
      <c r="F126" s="333" t="s">
        <v>103</v>
      </c>
      <c r="G126" s="333"/>
      <c r="H126" s="349"/>
      <c r="I126" s="472"/>
      <c r="J126" s="454"/>
      <c r="K126" s="454"/>
      <c r="L126" s="342" t="s">
        <v>173</v>
      </c>
    </row>
    <row r="127" spans="2:15" ht="15.75" customHeight="1">
      <c r="B127" s="339" t="s">
        <v>59</v>
      </c>
      <c r="C127" s="340" t="s">
        <v>57</v>
      </c>
      <c r="D127" s="339" t="s">
        <v>39</v>
      </c>
      <c r="E127" s="350" t="s">
        <v>125</v>
      </c>
      <c r="F127" s="341" t="s">
        <v>103</v>
      </c>
      <c r="G127" s="341"/>
      <c r="H127" s="350"/>
      <c r="I127" s="472"/>
      <c r="J127" s="454"/>
      <c r="K127" s="454"/>
      <c r="L127" s="342" t="s">
        <v>173</v>
      </c>
    </row>
    <row r="128" spans="2:15" ht="15.6">
      <c r="B128" s="432" t="s">
        <v>60</v>
      </c>
      <c r="C128" s="432" t="s">
        <v>170</v>
      </c>
      <c r="D128" s="432" t="s">
        <v>171</v>
      </c>
      <c r="E128" s="432" t="s">
        <v>165</v>
      </c>
      <c r="F128" s="432" t="s">
        <v>164</v>
      </c>
      <c r="G128" s="432"/>
      <c r="H128" s="432"/>
      <c r="I128" s="471"/>
      <c r="J128" s="453"/>
      <c r="K128" s="453"/>
    </row>
    <row r="129" spans="2:12" ht="15.6">
      <c r="B129" s="330" t="s">
        <v>276</v>
      </c>
      <c r="C129" s="343" t="s">
        <v>174</v>
      </c>
      <c r="D129" s="343" t="s">
        <v>49</v>
      </c>
      <c r="E129" s="348"/>
      <c r="F129" s="344" t="s">
        <v>102</v>
      </c>
      <c r="G129" s="344"/>
      <c r="H129" s="348"/>
      <c r="I129" s="472"/>
      <c r="J129" s="454"/>
      <c r="K129" s="454"/>
      <c r="L129" s="342" t="s">
        <v>175</v>
      </c>
    </row>
    <row r="130" spans="2:12" ht="15.6">
      <c r="B130" s="334" t="s">
        <v>60</v>
      </c>
      <c r="C130" s="338" t="s">
        <v>41</v>
      </c>
      <c r="D130" s="338" t="s">
        <v>35</v>
      </c>
      <c r="E130" s="347" t="s">
        <v>125</v>
      </c>
      <c r="F130" s="345" t="s">
        <v>102</v>
      </c>
      <c r="G130" s="345"/>
      <c r="H130" s="347"/>
      <c r="I130" s="472"/>
      <c r="J130" s="454"/>
      <c r="K130" s="454"/>
      <c r="L130" s="342" t="s">
        <v>173</v>
      </c>
    </row>
    <row r="131" spans="2:12" ht="15.6">
      <c r="B131" s="334" t="s">
        <v>60</v>
      </c>
      <c r="C131" s="338" t="s">
        <v>41</v>
      </c>
      <c r="D131" s="338" t="s">
        <v>36</v>
      </c>
      <c r="E131" s="347" t="s">
        <v>125</v>
      </c>
      <c r="F131" s="345" t="s">
        <v>102</v>
      </c>
      <c r="G131" s="345"/>
      <c r="H131" s="347">
        <v>2018</v>
      </c>
      <c r="I131" s="472"/>
      <c r="J131" s="454"/>
      <c r="K131" s="454"/>
      <c r="L131" s="342"/>
    </row>
    <row r="132" spans="2:12" ht="15.6">
      <c r="B132" s="515" t="s">
        <v>240</v>
      </c>
      <c r="C132" s="516" t="s">
        <v>41</v>
      </c>
      <c r="D132" s="517" t="s">
        <v>43</v>
      </c>
      <c r="E132" s="518" t="s">
        <v>126</v>
      </c>
      <c r="F132" s="519" t="s">
        <v>102</v>
      </c>
      <c r="G132" s="658"/>
      <c r="H132" s="514"/>
      <c r="I132" s="472"/>
      <c r="J132" s="454"/>
      <c r="K132" s="454"/>
      <c r="L132" s="342"/>
    </row>
    <row r="133" spans="2:12" ht="15.75" customHeight="1">
      <c r="B133" s="332" t="s">
        <v>241</v>
      </c>
      <c r="C133" s="332" t="s">
        <v>113</v>
      </c>
      <c r="D133" s="332" t="s">
        <v>39</v>
      </c>
      <c r="E133" s="349" t="s">
        <v>125</v>
      </c>
      <c r="F133" s="336" t="s">
        <v>102</v>
      </c>
      <c r="G133" s="336"/>
      <c r="H133" s="349"/>
      <c r="I133" s="472"/>
      <c r="J133" s="454"/>
      <c r="K133" s="454"/>
      <c r="L133" s="342" t="s">
        <v>173</v>
      </c>
    </row>
    <row r="134" spans="2:12" ht="15.75" customHeight="1">
      <c r="B134" s="334" t="s">
        <v>60</v>
      </c>
      <c r="C134" s="334" t="s">
        <v>50</v>
      </c>
      <c r="D134" s="334" t="s">
        <v>53</v>
      </c>
      <c r="E134" s="347"/>
      <c r="F134" s="346" t="s">
        <v>103</v>
      </c>
      <c r="G134" s="346"/>
      <c r="H134" s="707">
        <v>2017</v>
      </c>
      <c r="I134" s="472"/>
      <c r="J134" s="454"/>
      <c r="K134" s="454"/>
      <c r="L134" s="342" t="s">
        <v>175</v>
      </c>
    </row>
    <row r="135" spans="2:12" ht="15.75" customHeight="1">
      <c r="B135" s="334" t="s">
        <v>60</v>
      </c>
      <c r="C135" s="334" t="s">
        <v>50</v>
      </c>
      <c r="D135" s="334" t="s">
        <v>52</v>
      </c>
      <c r="E135" s="347" t="s">
        <v>125</v>
      </c>
      <c r="F135" s="346" t="s">
        <v>103</v>
      </c>
      <c r="G135" s="346"/>
      <c r="H135" s="708"/>
      <c r="I135" s="472"/>
      <c r="J135" s="454"/>
      <c r="K135" s="454"/>
      <c r="L135" s="342" t="s">
        <v>173</v>
      </c>
    </row>
    <row r="136" spans="2:12" ht="15.75" customHeight="1">
      <c r="B136" s="334" t="s">
        <v>60</v>
      </c>
      <c r="C136" s="334" t="s">
        <v>50</v>
      </c>
      <c r="D136" s="334" t="s">
        <v>36</v>
      </c>
      <c r="E136" s="347" t="s">
        <v>125</v>
      </c>
      <c r="F136" s="333" t="s">
        <v>103</v>
      </c>
      <c r="G136" s="333"/>
      <c r="H136" s="709"/>
      <c r="I136" s="472"/>
      <c r="J136" s="454"/>
      <c r="K136" s="454"/>
      <c r="L136" s="342"/>
    </row>
    <row r="137" spans="2:12" ht="15.75" customHeight="1">
      <c r="B137" s="520" t="s">
        <v>341</v>
      </c>
      <c r="C137" s="520" t="s">
        <v>50</v>
      </c>
      <c r="D137" s="520" t="s">
        <v>43</v>
      </c>
      <c r="E137" s="521" t="s">
        <v>126</v>
      </c>
      <c r="F137" s="522" t="s">
        <v>103</v>
      </c>
      <c r="G137" s="659"/>
      <c r="H137" s="347">
        <v>2018</v>
      </c>
      <c r="I137" s="472"/>
      <c r="J137" s="454"/>
      <c r="K137" s="454"/>
      <c r="L137" s="342"/>
    </row>
    <row r="138" spans="2:12" ht="15.75" customHeight="1">
      <c r="B138" s="330" t="s">
        <v>60</v>
      </c>
      <c r="C138" s="330" t="s">
        <v>55</v>
      </c>
      <c r="D138" s="330" t="s">
        <v>56</v>
      </c>
      <c r="E138" s="348"/>
      <c r="F138" s="353" t="s">
        <v>103</v>
      </c>
      <c r="G138" s="353"/>
      <c r="H138" s="348"/>
      <c r="I138" s="472"/>
      <c r="J138" s="454"/>
      <c r="K138" s="454"/>
      <c r="L138" s="342" t="s">
        <v>175</v>
      </c>
    </row>
    <row r="139" spans="2:12" ht="15.75" customHeight="1">
      <c r="B139" s="332" t="s">
        <v>60</v>
      </c>
      <c r="C139" s="332" t="s">
        <v>55</v>
      </c>
      <c r="D139" s="332" t="s">
        <v>36</v>
      </c>
      <c r="E139" s="349" t="s">
        <v>125</v>
      </c>
      <c r="F139" s="333" t="s">
        <v>103</v>
      </c>
      <c r="G139" s="333"/>
      <c r="H139" s="349"/>
      <c r="I139" s="472"/>
      <c r="J139" s="454"/>
      <c r="K139" s="454"/>
      <c r="L139" s="342" t="s">
        <v>173</v>
      </c>
    </row>
    <row r="140" spans="2:12" ht="15.6">
      <c r="B140" s="332" t="s">
        <v>60</v>
      </c>
      <c r="C140" s="332" t="s">
        <v>57</v>
      </c>
      <c r="D140" s="332" t="s">
        <v>58</v>
      </c>
      <c r="E140" s="349"/>
      <c r="F140" s="333" t="s">
        <v>103</v>
      </c>
      <c r="G140" s="333"/>
      <c r="H140" s="349"/>
      <c r="I140" s="472"/>
      <c r="J140" s="454"/>
      <c r="K140" s="454"/>
      <c r="L140" s="342" t="s">
        <v>175</v>
      </c>
    </row>
  </sheetData>
  <mergeCells count="3">
    <mergeCell ref="B6:P6"/>
    <mergeCell ref="B7:P8"/>
    <mergeCell ref="H134:H13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2:AH952"/>
  <sheetViews>
    <sheetView showGridLines="0" zoomScale="70" zoomScaleNormal="70" zoomScalePageLayoutView="70" workbookViewId="0"/>
  </sheetViews>
  <sheetFormatPr defaultColWidth="8.77734375" defaultRowHeight="13.8"/>
  <cols>
    <col min="1" max="1" width="4.44140625" style="269" customWidth="1"/>
    <col min="2" max="2" width="43.6640625" style="269" customWidth="1"/>
    <col min="3" max="3" width="14.33203125" style="269" customWidth="1"/>
    <col min="4" max="4" width="12.77734375" style="269" customWidth="1"/>
    <col min="5" max="15" width="12.21875" style="269" customWidth="1"/>
    <col min="16" max="16" width="13.33203125" style="269" customWidth="1"/>
    <col min="17" max="17" width="12.21875" style="269" customWidth="1"/>
    <col min="18" max="18" width="13.21875" style="269" customWidth="1"/>
    <col min="19" max="20" width="13" style="269" customWidth="1"/>
    <col min="21" max="21" width="19.6640625" style="291" bestFit="1" customWidth="1"/>
    <col min="22" max="32" width="11.77734375" style="269" customWidth="1"/>
    <col min="33" max="16384" width="8.77734375" style="269"/>
  </cols>
  <sheetData>
    <row r="2" spans="1:30" ht="18">
      <c r="A2" s="56"/>
      <c r="B2" s="6" t="str">
        <f>Introduction!$B$2</f>
        <v>LightCounting Ethernet Transceivers Forecast</v>
      </c>
    </row>
    <row r="3" spans="1:30" ht="15.6">
      <c r="B3" s="37" t="str">
        <f>Introduction!B3</f>
        <v>March 2022 - sample spreadsheet</v>
      </c>
    </row>
    <row r="4" spans="1:30" ht="18">
      <c r="A4" s="56"/>
      <c r="B4" s="6" t="s">
        <v>352</v>
      </c>
      <c r="F4" s="384"/>
      <c r="G4" s="292"/>
      <c r="H4" s="292"/>
      <c r="I4" s="292"/>
      <c r="J4" s="292"/>
      <c r="K4" s="292"/>
      <c r="L4" s="292"/>
      <c r="M4" s="292"/>
      <c r="N4" s="292"/>
      <c r="O4" s="292"/>
      <c r="P4" s="292"/>
      <c r="Q4" s="292"/>
    </row>
    <row r="5" spans="1:30" ht="18">
      <c r="A5" s="56"/>
      <c r="B5" s="6"/>
    </row>
    <row r="6" spans="1:30" ht="21">
      <c r="B6" s="300" t="s">
        <v>353</v>
      </c>
      <c r="C6" s="300"/>
      <c r="D6" s="300"/>
      <c r="E6" s="529"/>
      <c r="F6" s="530"/>
      <c r="G6" s="530"/>
      <c r="H6" s="530"/>
      <c r="I6" s="300" t="s">
        <v>358</v>
      </c>
      <c r="K6" s="530"/>
      <c r="L6" s="530"/>
      <c r="M6" s="530"/>
      <c r="N6" s="530"/>
      <c r="O6" s="530"/>
      <c r="P6" s="530"/>
      <c r="Q6" s="300"/>
      <c r="R6" s="300"/>
      <c r="S6" s="300" t="s">
        <v>359</v>
      </c>
      <c r="T6" s="300"/>
      <c r="V6" s="300"/>
      <c r="W6" s="300"/>
      <c r="AD6" s="300" t="s">
        <v>351</v>
      </c>
    </row>
    <row r="7" spans="1:30">
      <c r="A7" s="44"/>
      <c r="B7" s="44"/>
      <c r="C7" s="44"/>
      <c r="D7" s="44"/>
      <c r="E7" s="44"/>
      <c r="F7" s="44"/>
      <c r="G7" s="44"/>
      <c r="H7" s="44"/>
      <c r="I7" s="44"/>
      <c r="J7" s="44"/>
      <c r="K7" s="44"/>
      <c r="L7" s="44"/>
      <c r="M7" s="44"/>
      <c r="N7" s="44"/>
      <c r="O7" s="44"/>
      <c r="P7" s="44"/>
      <c r="Q7" s="44"/>
    </row>
    <row r="8" spans="1:30">
      <c r="A8" s="44"/>
      <c r="B8" s="44"/>
      <c r="C8" s="44"/>
      <c r="D8" s="44"/>
      <c r="E8" s="44"/>
      <c r="F8" s="44"/>
      <c r="G8" s="44"/>
      <c r="H8" s="44"/>
      <c r="I8" s="44"/>
      <c r="J8" s="44"/>
      <c r="K8" s="44"/>
      <c r="L8" s="44"/>
      <c r="M8" s="44"/>
      <c r="N8" s="44"/>
      <c r="O8" s="44"/>
      <c r="P8" s="44"/>
      <c r="Q8" s="44"/>
    </row>
    <row r="9" spans="1:30">
      <c r="A9" s="44"/>
      <c r="B9" s="44"/>
      <c r="C9" s="44"/>
      <c r="D9" s="44"/>
      <c r="E9" s="44"/>
      <c r="F9" s="44"/>
      <c r="G9" s="44"/>
      <c r="H9" s="44"/>
      <c r="I9" s="44"/>
      <c r="J9" s="44"/>
      <c r="K9" s="44"/>
      <c r="L9" s="44"/>
      <c r="M9" s="44"/>
      <c r="N9" s="44"/>
      <c r="O9" s="44"/>
      <c r="P9" s="44"/>
      <c r="Q9" s="44"/>
    </row>
    <row r="10" spans="1:30">
      <c r="A10" s="44"/>
      <c r="B10" s="44"/>
      <c r="C10" s="44"/>
      <c r="D10" s="44"/>
      <c r="E10" s="44"/>
      <c r="F10" s="44"/>
      <c r="G10" s="44"/>
      <c r="H10" s="44"/>
      <c r="I10" s="44"/>
      <c r="J10" s="44"/>
      <c r="K10" s="44"/>
      <c r="L10" s="44"/>
      <c r="M10" s="44"/>
      <c r="N10" s="44"/>
      <c r="O10" s="44"/>
      <c r="P10" s="44"/>
      <c r="Q10" s="44"/>
    </row>
    <row r="11" spans="1:30">
      <c r="A11" s="44"/>
      <c r="B11" s="44"/>
      <c r="C11" s="44"/>
      <c r="D11" s="44"/>
      <c r="E11" s="44"/>
      <c r="F11" s="44"/>
      <c r="G11" s="44"/>
      <c r="H11" s="44"/>
      <c r="I11" s="44"/>
      <c r="J11" s="44"/>
      <c r="K11" s="44"/>
      <c r="L11" s="44"/>
      <c r="M11" s="44"/>
      <c r="N11" s="44"/>
      <c r="O11" s="44"/>
      <c r="P11" s="44"/>
      <c r="Q11" s="44"/>
    </row>
    <row r="12" spans="1:30">
      <c r="A12" s="44"/>
      <c r="B12" s="44"/>
      <c r="C12" s="44"/>
      <c r="D12" s="44"/>
      <c r="E12" s="44"/>
      <c r="F12" s="44"/>
      <c r="G12" s="44"/>
      <c r="H12" s="44"/>
      <c r="I12" s="44"/>
      <c r="J12" s="44"/>
      <c r="K12" s="44"/>
      <c r="L12" s="44"/>
      <c r="M12" s="44"/>
      <c r="N12" s="44"/>
      <c r="O12" s="44"/>
      <c r="P12" s="44"/>
      <c r="Q12" s="44"/>
    </row>
    <row r="13" spans="1:30">
      <c r="A13" s="44"/>
      <c r="B13" s="44"/>
      <c r="C13" s="44"/>
      <c r="D13" s="44"/>
      <c r="E13" s="44"/>
      <c r="F13" s="44"/>
      <c r="G13" s="44"/>
      <c r="H13" s="44"/>
      <c r="I13" s="44"/>
      <c r="J13" s="44"/>
      <c r="K13" s="44"/>
      <c r="L13" s="44"/>
      <c r="M13" s="44"/>
      <c r="N13" s="44"/>
      <c r="O13" s="44"/>
      <c r="P13" s="44"/>
      <c r="Q13" s="44"/>
    </row>
    <row r="14" spans="1:30">
      <c r="A14" s="44"/>
      <c r="B14" s="44"/>
      <c r="C14" s="44"/>
      <c r="D14" s="44"/>
      <c r="E14" s="44"/>
      <c r="F14" s="44"/>
      <c r="G14" s="44"/>
      <c r="H14" s="44"/>
      <c r="I14" s="44"/>
      <c r="J14" s="44"/>
      <c r="K14" s="44"/>
      <c r="L14" s="44"/>
      <c r="M14" s="44"/>
      <c r="N14" s="44"/>
      <c r="O14" s="44"/>
      <c r="P14" s="44"/>
      <c r="Q14" s="44"/>
    </row>
    <row r="15" spans="1:30">
      <c r="A15" s="44"/>
      <c r="B15" s="44"/>
      <c r="C15" s="44"/>
      <c r="D15" s="44"/>
      <c r="E15" s="44"/>
      <c r="F15" s="44"/>
      <c r="G15" s="44"/>
      <c r="H15" s="44"/>
      <c r="I15" s="44"/>
      <c r="J15" s="44"/>
      <c r="K15" s="44"/>
      <c r="L15" s="44"/>
      <c r="M15" s="44"/>
      <c r="N15" s="44"/>
      <c r="O15" s="44"/>
      <c r="P15" s="44"/>
      <c r="Q15" s="44"/>
    </row>
    <row r="16" spans="1:30">
      <c r="A16" s="44"/>
      <c r="B16" s="44"/>
      <c r="C16" s="44"/>
      <c r="D16" s="44"/>
      <c r="E16" s="44"/>
      <c r="F16" s="44"/>
      <c r="G16" s="44"/>
      <c r="H16" s="44"/>
      <c r="I16" s="44"/>
      <c r="J16" s="44"/>
      <c r="K16" s="44"/>
      <c r="L16" s="44"/>
      <c r="M16" s="44"/>
      <c r="N16" s="44"/>
      <c r="O16" s="44"/>
      <c r="P16" s="44"/>
      <c r="Q16" s="44"/>
    </row>
    <row r="17" spans="1:23">
      <c r="A17" s="44"/>
      <c r="B17" s="44"/>
      <c r="C17" s="44"/>
      <c r="D17" s="44"/>
      <c r="E17" s="44"/>
      <c r="F17" s="44"/>
      <c r="G17" s="44"/>
      <c r="H17" s="44"/>
      <c r="I17" s="44"/>
      <c r="J17" s="44"/>
      <c r="K17" s="44"/>
      <c r="L17" s="44"/>
      <c r="M17" s="44"/>
      <c r="N17" s="44"/>
      <c r="O17" s="44"/>
      <c r="P17" s="44"/>
      <c r="Q17" s="44"/>
    </row>
    <row r="18" spans="1:23">
      <c r="A18" s="44"/>
      <c r="B18" s="44"/>
      <c r="C18" s="44"/>
      <c r="D18" s="44"/>
      <c r="E18" s="44"/>
      <c r="F18" s="44"/>
      <c r="G18" s="44"/>
      <c r="H18" s="44"/>
      <c r="I18" s="44"/>
      <c r="J18" s="44"/>
      <c r="K18" s="44"/>
      <c r="L18" s="44"/>
      <c r="M18" s="44"/>
      <c r="N18" s="44"/>
      <c r="O18" s="44"/>
      <c r="P18" s="44"/>
      <c r="Q18" s="44"/>
    </row>
    <row r="19" spans="1:23">
      <c r="A19" s="44"/>
      <c r="B19" s="44"/>
      <c r="C19" s="44"/>
      <c r="D19" s="44"/>
      <c r="E19" s="44"/>
      <c r="F19" s="44"/>
      <c r="G19" s="44"/>
      <c r="H19" s="44"/>
      <c r="I19" s="44"/>
      <c r="J19" s="44"/>
      <c r="K19" s="44"/>
      <c r="L19" s="44"/>
      <c r="M19" s="44"/>
      <c r="N19" s="44"/>
      <c r="O19" s="44"/>
      <c r="P19" s="44"/>
      <c r="Q19" s="44"/>
    </row>
    <row r="20" spans="1:23">
      <c r="A20" s="44"/>
      <c r="B20" s="44"/>
      <c r="C20" s="44"/>
      <c r="D20" s="44"/>
      <c r="E20" s="44"/>
      <c r="F20" s="44"/>
      <c r="G20" s="44"/>
      <c r="H20" s="44"/>
      <c r="I20" s="44"/>
      <c r="J20" s="44"/>
      <c r="K20" s="44"/>
      <c r="L20" s="44"/>
      <c r="M20" s="44"/>
      <c r="N20" s="44"/>
      <c r="O20" s="44"/>
      <c r="P20" s="44"/>
      <c r="Q20" s="44"/>
    </row>
    <row r="21" spans="1:23">
      <c r="A21" s="44"/>
      <c r="B21" s="44"/>
      <c r="C21" s="44"/>
      <c r="D21" s="44"/>
      <c r="E21" s="44"/>
      <c r="F21" s="44"/>
      <c r="G21" s="44"/>
      <c r="H21" s="44"/>
      <c r="I21" s="44"/>
      <c r="J21" s="44"/>
      <c r="K21" s="44"/>
      <c r="L21" s="44"/>
      <c r="M21" s="44"/>
      <c r="N21" s="44"/>
      <c r="O21" s="44"/>
      <c r="P21" s="44"/>
      <c r="Q21" s="44"/>
    </row>
    <row r="22" spans="1:23">
      <c r="A22" s="44"/>
      <c r="B22" s="44"/>
      <c r="C22" s="44"/>
      <c r="D22" s="44"/>
      <c r="E22" s="44"/>
      <c r="F22" s="44"/>
      <c r="G22" s="44"/>
      <c r="H22" s="44"/>
      <c r="I22" s="44"/>
      <c r="J22" s="44"/>
      <c r="K22" s="44"/>
      <c r="L22" s="44"/>
      <c r="M22" s="44"/>
      <c r="N22" s="44"/>
      <c r="O22" s="44"/>
      <c r="P22" s="44"/>
      <c r="Q22" s="44"/>
    </row>
    <row r="23" spans="1:23">
      <c r="A23" s="44"/>
      <c r="B23" s="44"/>
      <c r="C23" s="44"/>
      <c r="D23" s="44"/>
      <c r="E23" s="44"/>
      <c r="F23" s="44"/>
      <c r="G23" s="44"/>
      <c r="H23" s="44"/>
      <c r="I23" s="44"/>
      <c r="J23" s="44"/>
      <c r="K23" s="44"/>
      <c r="L23" s="44"/>
      <c r="M23" s="44"/>
      <c r="N23" s="44"/>
      <c r="O23" s="44"/>
      <c r="P23" s="44"/>
      <c r="Q23" s="44"/>
    </row>
    <row r="24" spans="1:23">
      <c r="A24" s="44"/>
      <c r="B24" s="44"/>
      <c r="C24" s="44"/>
      <c r="D24" s="44"/>
      <c r="E24" s="44"/>
      <c r="F24" s="44"/>
      <c r="G24" s="44"/>
      <c r="H24" s="44"/>
      <c r="I24" s="44"/>
      <c r="J24" s="44"/>
      <c r="K24" s="44"/>
      <c r="L24" s="44"/>
      <c r="M24" s="44"/>
      <c r="N24" s="44"/>
      <c r="O24" s="44"/>
      <c r="P24" s="44"/>
      <c r="Q24" s="44"/>
    </row>
    <row r="25" spans="1:23">
      <c r="A25" s="44"/>
      <c r="B25" s="44"/>
      <c r="C25" s="44"/>
      <c r="D25" s="44"/>
      <c r="E25" s="44"/>
      <c r="F25" s="44"/>
      <c r="G25" s="44"/>
      <c r="H25" s="44"/>
      <c r="I25" s="44"/>
      <c r="J25" s="44"/>
      <c r="K25" s="44"/>
      <c r="L25" s="44"/>
      <c r="M25" s="44"/>
      <c r="N25" s="44"/>
      <c r="O25" s="44"/>
      <c r="P25" s="44"/>
      <c r="Q25" s="44"/>
    </row>
    <row r="26" spans="1:23">
      <c r="A26" s="44"/>
      <c r="B26" s="44"/>
      <c r="C26" s="44"/>
      <c r="D26" s="44"/>
      <c r="E26" s="44"/>
      <c r="F26" s="44"/>
      <c r="G26" s="44"/>
      <c r="H26" s="44"/>
      <c r="I26" s="44"/>
      <c r="J26" s="44"/>
      <c r="K26" s="44"/>
      <c r="L26" s="44"/>
      <c r="M26" s="44"/>
      <c r="N26" s="44"/>
      <c r="O26" s="44"/>
      <c r="P26" s="44"/>
      <c r="Q26" s="44"/>
    </row>
    <row r="27" spans="1:23">
      <c r="A27" s="44"/>
      <c r="B27" s="44"/>
      <c r="C27" s="44"/>
      <c r="D27" s="44"/>
      <c r="E27" s="44"/>
      <c r="F27" s="44"/>
      <c r="G27" s="44"/>
      <c r="H27" s="44"/>
      <c r="I27" s="44"/>
      <c r="J27" s="44"/>
      <c r="K27" s="44"/>
      <c r="L27" s="44"/>
      <c r="M27" s="44"/>
      <c r="N27" s="44"/>
      <c r="O27" s="44"/>
      <c r="P27" s="44"/>
      <c r="Q27" s="44"/>
    </row>
    <row r="28" spans="1:23" ht="21">
      <c r="B28" s="300" t="s">
        <v>354</v>
      </c>
      <c r="C28" s="300"/>
      <c r="D28" s="300"/>
      <c r="E28" s="529"/>
      <c r="F28" s="530"/>
      <c r="G28" s="530"/>
      <c r="H28" s="530"/>
      <c r="I28" s="300" t="s">
        <v>356</v>
      </c>
      <c r="K28" s="530"/>
      <c r="L28" s="530"/>
      <c r="M28" s="530"/>
      <c r="N28" s="530"/>
      <c r="O28" s="530"/>
      <c r="P28" s="530"/>
      <c r="Q28" s="300"/>
      <c r="R28" s="300"/>
      <c r="S28" s="300" t="s">
        <v>357</v>
      </c>
      <c r="T28" s="300"/>
      <c r="V28" s="300"/>
      <c r="W28" s="300"/>
    </row>
    <row r="29" spans="1:23">
      <c r="A29" s="44"/>
      <c r="B29" s="44"/>
      <c r="C29" s="44"/>
      <c r="D29" s="44"/>
      <c r="E29" s="44"/>
      <c r="F29" s="44"/>
      <c r="G29" s="44"/>
      <c r="H29" s="44"/>
      <c r="I29" s="44"/>
      <c r="J29" s="44"/>
      <c r="K29" s="44"/>
      <c r="L29" s="44"/>
      <c r="M29" s="44"/>
      <c r="N29" s="44"/>
      <c r="O29" s="44"/>
      <c r="P29" s="44"/>
      <c r="Q29" s="44"/>
    </row>
    <row r="30" spans="1:23">
      <c r="A30" s="44"/>
      <c r="B30" s="44"/>
      <c r="C30" s="44"/>
      <c r="D30" s="44"/>
      <c r="E30" s="44"/>
      <c r="F30" s="44"/>
      <c r="G30" s="44"/>
      <c r="H30" s="44"/>
      <c r="I30" s="44"/>
      <c r="J30" s="44"/>
      <c r="K30" s="44"/>
      <c r="L30" s="44"/>
      <c r="M30" s="44"/>
      <c r="N30" s="44"/>
      <c r="O30" s="44"/>
      <c r="P30" s="44"/>
      <c r="Q30" s="44"/>
    </row>
    <row r="31" spans="1:23">
      <c r="A31" s="44"/>
      <c r="B31" s="44"/>
      <c r="C31" s="44"/>
      <c r="D31" s="44"/>
      <c r="E31" s="44"/>
      <c r="F31" s="44"/>
      <c r="G31" s="44"/>
      <c r="H31" s="44"/>
      <c r="I31" s="44"/>
      <c r="J31" s="44"/>
      <c r="K31" s="44"/>
      <c r="L31" s="44"/>
      <c r="M31" s="44"/>
      <c r="N31" s="44"/>
      <c r="O31" s="44"/>
      <c r="P31" s="44"/>
      <c r="Q31" s="44"/>
    </row>
    <row r="32" spans="1:23">
      <c r="A32" s="44"/>
      <c r="B32" s="44"/>
      <c r="C32" s="44"/>
      <c r="D32" s="44"/>
      <c r="E32" s="44"/>
      <c r="F32" s="44"/>
      <c r="G32" s="44"/>
      <c r="H32" s="44"/>
      <c r="I32" s="44"/>
      <c r="J32" s="44"/>
      <c r="K32" s="44"/>
      <c r="L32" s="44"/>
      <c r="M32" s="44"/>
      <c r="N32" s="44"/>
      <c r="O32" s="44"/>
      <c r="P32" s="44"/>
      <c r="Q32" s="44"/>
    </row>
    <row r="33" spans="1:17">
      <c r="A33" s="44"/>
      <c r="B33" s="44"/>
      <c r="C33" s="44"/>
      <c r="D33" s="44"/>
      <c r="E33" s="44"/>
      <c r="F33" s="44"/>
      <c r="G33" s="44"/>
      <c r="H33" s="44"/>
      <c r="I33" s="44"/>
      <c r="J33" s="44"/>
      <c r="K33" s="44"/>
      <c r="L33" s="44"/>
      <c r="M33" s="44"/>
      <c r="N33" s="44"/>
      <c r="O33" s="44"/>
      <c r="P33" s="44"/>
      <c r="Q33" s="44"/>
    </row>
    <row r="34" spans="1:17">
      <c r="A34" s="44"/>
      <c r="B34" s="44"/>
      <c r="C34" s="44"/>
      <c r="D34" s="44"/>
      <c r="E34" s="44"/>
      <c r="F34" s="44"/>
      <c r="G34" s="44"/>
      <c r="H34" s="44"/>
      <c r="I34" s="44"/>
      <c r="J34" s="44"/>
      <c r="K34" s="44"/>
      <c r="L34" s="44"/>
      <c r="M34" s="44"/>
      <c r="N34" s="44"/>
      <c r="O34" s="44"/>
      <c r="P34" s="44"/>
      <c r="Q34" s="44"/>
    </row>
    <row r="35" spans="1:17">
      <c r="A35" s="44"/>
      <c r="B35" s="44"/>
      <c r="C35" s="44"/>
      <c r="D35" s="44"/>
      <c r="E35" s="44"/>
      <c r="F35" s="44"/>
      <c r="G35" s="44"/>
      <c r="H35" s="44"/>
      <c r="I35" s="44"/>
      <c r="J35" s="44"/>
      <c r="K35" s="44"/>
      <c r="L35" s="44"/>
      <c r="M35" s="44"/>
      <c r="N35" s="44"/>
      <c r="O35" s="44"/>
      <c r="P35" s="44"/>
      <c r="Q35" s="44"/>
    </row>
    <row r="36" spans="1:17">
      <c r="A36" s="44"/>
      <c r="B36" s="44"/>
      <c r="C36" s="44"/>
      <c r="D36" s="44"/>
      <c r="E36" s="44"/>
      <c r="F36" s="44"/>
      <c r="G36" s="44"/>
      <c r="H36" s="44"/>
      <c r="I36" s="44"/>
      <c r="J36" s="44"/>
      <c r="K36" s="44"/>
      <c r="L36" s="44"/>
      <c r="M36" s="44"/>
      <c r="N36" s="44"/>
      <c r="O36" s="44"/>
      <c r="P36" s="44"/>
      <c r="Q36" s="44"/>
    </row>
    <row r="37" spans="1:17">
      <c r="A37" s="44"/>
      <c r="B37" s="44"/>
      <c r="C37" s="44"/>
      <c r="D37" s="44"/>
      <c r="E37" s="44"/>
      <c r="F37" s="44"/>
      <c r="G37" s="44"/>
      <c r="H37" s="44"/>
      <c r="I37" s="44"/>
      <c r="J37" s="44"/>
      <c r="K37" s="44"/>
      <c r="L37" s="44"/>
      <c r="M37" s="44"/>
      <c r="N37" s="44"/>
      <c r="O37" s="44"/>
      <c r="P37" s="44"/>
      <c r="Q37" s="44"/>
    </row>
    <row r="38" spans="1:17">
      <c r="A38" s="44"/>
      <c r="B38" s="44"/>
      <c r="C38" s="44"/>
      <c r="D38" s="44"/>
      <c r="E38" s="44"/>
      <c r="F38" s="44"/>
      <c r="G38" s="44"/>
      <c r="H38" s="44"/>
      <c r="I38" s="44"/>
      <c r="J38" s="44"/>
      <c r="K38" s="44"/>
      <c r="L38" s="44"/>
      <c r="M38" s="44"/>
      <c r="N38" s="44"/>
      <c r="O38" s="44"/>
      <c r="P38" s="44"/>
      <c r="Q38" s="44"/>
    </row>
    <row r="39" spans="1:17">
      <c r="A39" s="44"/>
      <c r="B39" s="44"/>
      <c r="C39" s="44"/>
      <c r="D39" s="44"/>
      <c r="E39" s="44"/>
      <c r="F39" s="44"/>
      <c r="G39" s="44"/>
      <c r="H39" s="44"/>
      <c r="I39" s="44"/>
      <c r="J39" s="44"/>
      <c r="K39" s="44"/>
      <c r="L39" s="44"/>
      <c r="M39" s="44"/>
      <c r="N39" s="44"/>
      <c r="O39" s="44"/>
      <c r="P39" s="44"/>
      <c r="Q39" s="44"/>
    </row>
    <row r="40" spans="1:17">
      <c r="A40" s="44"/>
      <c r="B40" s="44"/>
      <c r="C40" s="44"/>
      <c r="D40" s="44"/>
      <c r="E40" s="44"/>
      <c r="F40" s="44"/>
      <c r="G40" s="44"/>
      <c r="H40" s="44"/>
      <c r="I40" s="44"/>
      <c r="J40" s="44"/>
      <c r="K40" s="44"/>
      <c r="L40" s="44"/>
      <c r="M40" s="44"/>
      <c r="N40" s="44"/>
      <c r="O40" s="44"/>
      <c r="P40" s="44"/>
      <c r="Q40" s="44"/>
    </row>
    <row r="41" spans="1:17">
      <c r="A41" s="44"/>
      <c r="B41" s="44"/>
      <c r="C41" s="44"/>
      <c r="D41" s="44"/>
      <c r="E41" s="44"/>
      <c r="F41" s="44"/>
      <c r="G41" s="44"/>
      <c r="H41" s="44"/>
      <c r="I41" s="44"/>
      <c r="J41" s="44"/>
      <c r="K41" s="44"/>
      <c r="L41" s="44"/>
      <c r="M41" s="44"/>
      <c r="N41" s="44"/>
      <c r="O41" s="44"/>
      <c r="P41" s="44"/>
      <c r="Q41" s="44"/>
    </row>
    <row r="42" spans="1:17">
      <c r="A42" s="44"/>
      <c r="B42" s="44"/>
      <c r="C42" s="44"/>
      <c r="D42" s="44"/>
      <c r="E42" s="44"/>
      <c r="F42" s="44"/>
      <c r="G42" s="44"/>
      <c r="H42" s="44"/>
      <c r="I42" s="44"/>
      <c r="J42" s="44"/>
      <c r="K42" s="44"/>
      <c r="L42" s="44"/>
      <c r="M42" s="44"/>
      <c r="N42" s="44"/>
      <c r="O42" s="44"/>
      <c r="P42" s="44"/>
      <c r="Q42" s="44"/>
    </row>
    <row r="43" spans="1:17">
      <c r="A43" s="44"/>
      <c r="B43" s="44"/>
      <c r="C43" s="44"/>
      <c r="D43" s="44"/>
      <c r="E43" s="44"/>
      <c r="F43" s="44"/>
      <c r="G43" s="44"/>
      <c r="H43" s="44"/>
      <c r="I43" s="44"/>
      <c r="J43" s="44"/>
      <c r="K43" s="44"/>
      <c r="L43" s="44"/>
      <c r="M43" s="44"/>
      <c r="N43" s="44"/>
      <c r="O43" s="44"/>
      <c r="P43" s="44"/>
      <c r="Q43" s="44"/>
    </row>
    <row r="44" spans="1:17">
      <c r="A44" s="44"/>
      <c r="B44" s="44"/>
      <c r="C44" s="44"/>
      <c r="D44" s="44"/>
      <c r="E44" s="44"/>
      <c r="F44" s="44"/>
      <c r="G44" s="44"/>
      <c r="H44" s="44"/>
      <c r="I44" s="44"/>
      <c r="J44" s="44"/>
      <c r="K44" s="44"/>
      <c r="L44" s="44"/>
      <c r="M44" s="44"/>
      <c r="N44" s="44"/>
      <c r="O44" s="44"/>
      <c r="P44" s="44"/>
      <c r="Q44" s="44"/>
    </row>
    <row r="45" spans="1:17">
      <c r="A45" s="44"/>
      <c r="B45" s="44"/>
      <c r="C45" s="44"/>
      <c r="D45" s="44"/>
      <c r="E45" s="44"/>
      <c r="F45" s="44"/>
      <c r="G45" s="44"/>
      <c r="H45" s="44"/>
      <c r="I45" s="44"/>
      <c r="J45" s="44"/>
      <c r="K45" s="44"/>
      <c r="L45" s="44"/>
      <c r="M45" s="44"/>
      <c r="N45" s="44"/>
      <c r="O45" s="44"/>
      <c r="P45" s="44"/>
      <c r="Q45" s="44"/>
    </row>
    <row r="46" spans="1:17">
      <c r="A46" s="44"/>
      <c r="B46" s="44"/>
      <c r="C46" s="44"/>
      <c r="D46" s="44"/>
      <c r="E46" s="44"/>
      <c r="F46" s="44"/>
      <c r="G46" s="44"/>
      <c r="H46" s="44"/>
      <c r="I46" s="44"/>
      <c r="J46" s="44"/>
      <c r="K46" s="44"/>
      <c r="L46" s="44"/>
      <c r="M46" s="44"/>
      <c r="N46" s="44"/>
      <c r="O46" s="44"/>
      <c r="P46" s="44"/>
      <c r="Q46" s="44"/>
    </row>
    <row r="47" spans="1:17">
      <c r="A47" s="44"/>
      <c r="B47" s="44"/>
      <c r="C47" s="44"/>
      <c r="D47" s="44"/>
      <c r="E47" s="44"/>
      <c r="F47" s="44"/>
      <c r="G47" s="44"/>
      <c r="H47" s="44"/>
      <c r="I47" s="44"/>
      <c r="J47" s="44"/>
      <c r="K47" s="44"/>
      <c r="L47" s="44"/>
      <c r="M47" s="44"/>
      <c r="N47" s="44"/>
      <c r="O47" s="44"/>
      <c r="P47" s="44"/>
      <c r="Q47" s="44"/>
    </row>
    <row r="48" spans="1:17">
      <c r="A48" s="44"/>
      <c r="B48" s="44"/>
      <c r="C48" s="44"/>
      <c r="D48" s="44"/>
      <c r="E48" s="44"/>
      <c r="F48" s="44"/>
      <c r="G48" s="44"/>
      <c r="H48" s="44"/>
      <c r="I48" s="44"/>
      <c r="J48" s="44"/>
      <c r="K48" s="44"/>
      <c r="L48" s="44"/>
      <c r="M48" s="44"/>
      <c r="N48" s="44"/>
      <c r="O48" s="44"/>
      <c r="P48" s="44"/>
      <c r="Q48" s="44"/>
    </row>
    <row r="49" spans="1:20">
      <c r="A49" s="44"/>
      <c r="B49" s="44"/>
      <c r="C49" s="44"/>
      <c r="D49" s="44"/>
      <c r="E49" s="44"/>
      <c r="F49" s="44"/>
      <c r="G49" s="44"/>
      <c r="H49" s="44"/>
      <c r="I49" s="44"/>
      <c r="J49" s="44"/>
      <c r="K49" s="44"/>
      <c r="L49" s="44"/>
      <c r="M49" s="44"/>
      <c r="N49" s="44"/>
      <c r="O49" s="44"/>
      <c r="P49" s="44"/>
      <c r="Q49" s="44"/>
    </row>
    <row r="50" spans="1:20" ht="21">
      <c r="A50" s="44"/>
      <c r="B50" s="528" t="s">
        <v>364</v>
      </c>
      <c r="C50" s="44"/>
      <c r="D50" s="44"/>
      <c r="E50" s="44"/>
      <c r="F50" s="44"/>
      <c r="G50" s="44"/>
      <c r="H50" s="44"/>
      <c r="I50" s="528" t="s">
        <v>363</v>
      </c>
      <c r="J50" s="44"/>
      <c r="K50" s="44"/>
      <c r="L50" s="44"/>
      <c r="M50" s="44"/>
      <c r="N50" s="44"/>
      <c r="O50" s="44"/>
      <c r="P50" s="44"/>
      <c r="Q50" s="44"/>
      <c r="S50" s="528" t="s">
        <v>348</v>
      </c>
      <c r="T50" s="528"/>
    </row>
    <row r="51" spans="1:20">
      <c r="A51" s="44"/>
      <c r="B51" s="44"/>
      <c r="C51" s="44"/>
      <c r="D51" s="44"/>
      <c r="E51" s="44"/>
      <c r="F51" s="44"/>
      <c r="G51" s="44"/>
      <c r="H51" s="44"/>
      <c r="I51" s="44"/>
      <c r="J51" s="44"/>
      <c r="K51" s="44"/>
      <c r="L51" s="44"/>
      <c r="M51" s="44"/>
      <c r="N51" s="44"/>
      <c r="O51" s="44"/>
      <c r="P51" s="44"/>
      <c r="Q51" s="44"/>
    </row>
    <row r="52" spans="1:20">
      <c r="A52" s="44"/>
      <c r="B52" s="44"/>
      <c r="C52" s="44"/>
      <c r="D52" s="44"/>
      <c r="E52" s="44"/>
      <c r="F52" s="44"/>
      <c r="G52" s="44"/>
      <c r="H52" s="44"/>
      <c r="I52" s="44"/>
      <c r="J52" s="44"/>
      <c r="K52" s="44"/>
      <c r="L52" s="44"/>
      <c r="M52" s="44"/>
      <c r="N52" s="44"/>
      <c r="O52" s="44"/>
      <c r="P52" s="44"/>
      <c r="Q52" s="44"/>
    </row>
    <row r="53" spans="1:20">
      <c r="A53" s="44"/>
      <c r="B53" s="44"/>
      <c r="C53" s="44"/>
      <c r="D53" s="44"/>
      <c r="E53" s="44"/>
      <c r="F53" s="44"/>
      <c r="G53" s="44"/>
      <c r="H53" s="44"/>
      <c r="I53" s="44"/>
      <c r="J53" s="44"/>
      <c r="K53" s="44"/>
      <c r="L53" s="44"/>
      <c r="M53" s="44"/>
      <c r="N53" s="44"/>
      <c r="O53" s="44"/>
      <c r="P53" s="44"/>
      <c r="Q53" s="44"/>
    </row>
    <row r="54" spans="1:20">
      <c r="A54" s="44"/>
      <c r="B54" s="44"/>
      <c r="C54" s="44"/>
      <c r="D54" s="44"/>
      <c r="E54" s="44"/>
      <c r="F54" s="44"/>
      <c r="G54" s="44"/>
      <c r="H54" s="44"/>
      <c r="I54" s="44"/>
      <c r="J54" s="44"/>
      <c r="K54" s="44"/>
      <c r="L54" s="44"/>
      <c r="M54" s="44"/>
      <c r="N54" s="44"/>
      <c r="O54" s="44"/>
      <c r="P54" s="44"/>
      <c r="Q54" s="44"/>
    </row>
    <row r="55" spans="1:20">
      <c r="A55" s="44"/>
      <c r="B55" s="44"/>
      <c r="C55" s="44"/>
      <c r="D55" s="44"/>
      <c r="E55" s="44"/>
      <c r="F55" s="44"/>
      <c r="G55" s="44"/>
      <c r="H55" s="44"/>
      <c r="I55" s="44"/>
      <c r="J55" s="44"/>
      <c r="K55" s="44"/>
      <c r="L55" s="44"/>
      <c r="M55" s="44"/>
      <c r="N55" s="44"/>
      <c r="O55" s="44"/>
      <c r="P55" s="44"/>
      <c r="Q55" s="44"/>
    </row>
    <row r="56" spans="1:20">
      <c r="A56" s="44"/>
      <c r="B56" s="44"/>
      <c r="C56" s="44"/>
      <c r="D56" s="44"/>
      <c r="E56" s="44"/>
      <c r="F56" s="44"/>
      <c r="G56" s="44"/>
      <c r="H56" s="44"/>
      <c r="I56" s="44"/>
      <c r="J56" s="44"/>
      <c r="K56" s="44"/>
      <c r="L56" s="44"/>
      <c r="M56" s="44"/>
      <c r="N56" s="44"/>
      <c r="O56" s="44"/>
      <c r="P56" s="44"/>
      <c r="Q56" s="44"/>
    </row>
    <row r="57" spans="1:20">
      <c r="A57" s="44"/>
      <c r="B57" s="44"/>
      <c r="C57" s="44"/>
      <c r="D57" s="44"/>
      <c r="E57" s="44"/>
      <c r="F57" s="44"/>
      <c r="G57" s="44"/>
      <c r="H57" s="44"/>
      <c r="I57" s="44"/>
      <c r="J57" s="44"/>
      <c r="K57" s="44"/>
      <c r="L57" s="44"/>
      <c r="M57" s="44"/>
      <c r="N57" s="44"/>
      <c r="O57" s="44"/>
      <c r="P57" s="44"/>
      <c r="Q57" s="44"/>
    </row>
    <row r="58" spans="1:20">
      <c r="A58" s="44"/>
      <c r="B58" s="44"/>
      <c r="C58" s="44"/>
      <c r="D58" s="44"/>
      <c r="E58" s="44"/>
      <c r="F58" s="44"/>
      <c r="G58" s="44"/>
      <c r="H58" s="44"/>
      <c r="I58" s="44"/>
      <c r="J58" s="44"/>
      <c r="K58" s="44"/>
      <c r="L58" s="44"/>
      <c r="M58" s="44"/>
      <c r="N58" s="44"/>
      <c r="O58" s="44"/>
      <c r="P58" s="44"/>
      <c r="Q58" s="44"/>
    </row>
    <row r="59" spans="1:20">
      <c r="A59" s="44"/>
      <c r="B59" s="44"/>
      <c r="C59" s="44"/>
      <c r="D59" s="44"/>
      <c r="E59" s="44"/>
      <c r="F59" s="44"/>
      <c r="G59" s="44"/>
      <c r="H59" s="44"/>
      <c r="I59" s="44"/>
      <c r="J59" s="44"/>
      <c r="K59" s="44"/>
      <c r="L59" s="44"/>
      <c r="M59" s="44"/>
      <c r="N59" s="44"/>
      <c r="O59" s="44"/>
      <c r="P59" s="44"/>
      <c r="Q59" s="44"/>
    </row>
    <row r="60" spans="1:20">
      <c r="A60" s="44"/>
      <c r="B60" s="44"/>
      <c r="C60" s="44"/>
      <c r="D60" s="44"/>
      <c r="E60" s="44"/>
      <c r="F60" s="44"/>
      <c r="G60" s="44"/>
      <c r="H60" s="44"/>
      <c r="I60" s="44"/>
      <c r="J60" s="44"/>
      <c r="K60" s="44"/>
      <c r="L60" s="44"/>
      <c r="M60" s="44"/>
      <c r="N60" s="44"/>
      <c r="O60" s="44"/>
      <c r="P60" s="44"/>
      <c r="Q60" s="44"/>
    </row>
    <row r="61" spans="1:20">
      <c r="A61" s="44"/>
      <c r="B61" s="44"/>
      <c r="C61" s="44"/>
      <c r="D61" s="44"/>
      <c r="E61" s="44"/>
      <c r="F61" s="44"/>
      <c r="G61" s="44"/>
      <c r="H61" s="44"/>
      <c r="I61" s="44"/>
      <c r="J61" s="44"/>
      <c r="K61" s="44"/>
      <c r="L61" s="44"/>
      <c r="M61" s="44"/>
      <c r="N61" s="44"/>
      <c r="O61" s="44"/>
      <c r="P61" s="44"/>
      <c r="Q61" s="44"/>
    </row>
    <row r="62" spans="1:20">
      <c r="A62" s="44"/>
      <c r="B62" s="44"/>
      <c r="C62" s="44"/>
      <c r="D62" s="44"/>
      <c r="E62" s="44"/>
      <c r="F62" s="44"/>
      <c r="G62" s="44"/>
      <c r="H62" s="44"/>
      <c r="I62" s="44"/>
      <c r="J62" s="44"/>
      <c r="K62" s="44"/>
      <c r="L62" s="44"/>
      <c r="M62" s="44"/>
      <c r="N62" s="44"/>
      <c r="O62" s="44"/>
      <c r="P62" s="44"/>
      <c r="Q62" s="44"/>
    </row>
    <row r="63" spans="1:20">
      <c r="A63" s="44"/>
      <c r="B63" s="44"/>
      <c r="C63" s="44"/>
      <c r="D63" s="44"/>
      <c r="E63" s="44"/>
      <c r="F63" s="44"/>
      <c r="G63" s="44"/>
      <c r="H63" s="44"/>
      <c r="I63" s="44"/>
      <c r="J63" s="44"/>
      <c r="K63" s="44"/>
      <c r="L63" s="44"/>
      <c r="M63" s="44"/>
      <c r="N63" s="44"/>
      <c r="O63" s="44"/>
      <c r="P63" s="44"/>
      <c r="Q63" s="44"/>
    </row>
    <row r="64" spans="1:20">
      <c r="A64" s="44"/>
      <c r="B64" s="44"/>
      <c r="C64" s="44"/>
      <c r="D64" s="44"/>
      <c r="E64" s="44"/>
      <c r="F64" s="44"/>
      <c r="G64" s="44"/>
      <c r="H64" s="44"/>
      <c r="I64" s="44"/>
      <c r="J64" s="44"/>
      <c r="K64" s="44"/>
      <c r="L64" s="44"/>
      <c r="M64" s="44"/>
      <c r="N64" s="44"/>
      <c r="O64" s="44"/>
      <c r="P64" s="44"/>
      <c r="Q64" s="44"/>
    </row>
    <row r="65" spans="1:17">
      <c r="A65" s="44"/>
      <c r="B65" s="44"/>
      <c r="C65" s="44"/>
      <c r="D65" s="44"/>
      <c r="E65" s="44"/>
      <c r="F65" s="44"/>
      <c r="G65" s="44"/>
      <c r="H65" s="44"/>
      <c r="I65" s="44"/>
      <c r="J65" s="44"/>
      <c r="K65" s="44"/>
      <c r="L65" s="44"/>
      <c r="M65" s="44"/>
      <c r="N65" s="44"/>
      <c r="O65" s="44"/>
      <c r="P65" s="44"/>
      <c r="Q65" s="44"/>
    </row>
    <row r="66" spans="1:17">
      <c r="A66" s="44"/>
      <c r="B66" s="44"/>
      <c r="C66" s="44"/>
      <c r="D66" s="44"/>
      <c r="E66" s="44"/>
      <c r="F66" s="44"/>
      <c r="G66" s="44"/>
      <c r="H66" s="44"/>
      <c r="I66" s="44"/>
      <c r="J66" s="44"/>
      <c r="K66" s="44"/>
      <c r="L66" s="44"/>
      <c r="M66" s="44"/>
      <c r="N66" s="44"/>
      <c r="O66" s="44"/>
      <c r="P66" s="44"/>
      <c r="Q66" s="44"/>
    </row>
    <row r="67" spans="1:17">
      <c r="A67" s="44"/>
      <c r="B67" s="44"/>
      <c r="C67" s="44"/>
      <c r="D67" s="44"/>
      <c r="E67" s="44"/>
      <c r="F67" s="44"/>
      <c r="G67" s="44"/>
      <c r="H67" s="44"/>
      <c r="I67" s="44"/>
      <c r="J67" s="44"/>
      <c r="K67" s="44"/>
      <c r="L67" s="44"/>
      <c r="M67" s="44"/>
      <c r="N67" s="44"/>
      <c r="O67" s="44"/>
      <c r="P67" s="44"/>
      <c r="Q67" s="44"/>
    </row>
    <row r="68" spans="1:17">
      <c r="A68" s="44"/>
      <c r="B68" s="44"/>
      <c r="C68" s="44"/>
      <c r="D68" s="44"/>
      <c r="E68" s="44"/>
      <c r="F68" s="44"/>
      <c r="G68" s="44"/>
      <c r="H68" s="44"/>
      <c r="I68" s="44"/>
      <c r="J68" s="44"/>
      <c r="K68" s="44"/>
      <c r="L68" s="44"/>
      <c r="M68" s="44"/>
      <c r="N68" s="44"/>
      <c r="O68" s="44"/>
      <c r="P68" s="44"/>
      <c r="Q68" s="44"/>
    </row>
    <row r="69" spans="1:17">
      <c r="A69" s="44"/>
      <c r="B69" s="44"/>
      <c r="C69" s="44"/>
      <c r="D69" s="44"/>
      <c r="E69" s="44"/>
      <c r="F69" s="44"/>
      <c r="G69" s="44"/>
      <c r="H69" s="44"/>
      <c r="I69" s="44"/>
      <c r="J69" s="44"/>
      <c r="K69" s="44"/>
      <c r="L69" s="44"/>
      <c r="M69" s="44"/>
      <c r="N69" s="44"/>
      <c r="O69" s="44"/>
      <c r="P69" s="44"/>
      <c r="Q69" s="44"/>
    </row>
    <row r="70" spans="1:17">
      <c r="A70" s="44"/>
      <c r="B70" s="44"/>
      <c r="C70" s="44"/>
      <c r="D70" s="44"/>
      <c r="E70" s="44"/>
      <c r="F70" s="44"/>
      <c r="G70" s="44"/>
      <c r="H70" s="44"/>
      <c r="I70" s="44"/>
      <c r="J70" s="44"/>
      <c r="K70" s="44"/>
      <c r="L70" s="44"/>
      <c r="M70" s="44"/>
      <c r="N70" s="44"/>
      <c r="O70" s="44"/>
      <c r="P70" s="44"/>
      <c r="Q70" s="44"/>
    </row>
    <row r="71" spans="1:17">
      <c r="A71" s="44"/>
      <c r="B71" s="44"/>
      <c r="C71" s="44"/>
      <c r="D71" s="44"/>
      <c r="E71" s="44"/>
      <c r="F71" s="44"/>
      <c r="G71" s="44"/>
      <c r="H71" s="44"/>
      <c r="I71" s="44"/>
      <c r="J71" s="44"/>
      <c r="K71" s="44"/>
      <c r="L71" s="44"/>
      <c r="M71" s="44"/>
      <c r="N71" s="44"/>
      <c r="O71" s="44"/>
      <c r="P71" s="44"/>
      <c r="Q71" s="44"/>
    </row>
    <row r="72" spans="1:17">
      <c r="A72" s="44"/>
      <c r="B72" s="44"/>
      <c r="C72" s="44"/>
      <c r="D72" s="44"/>
      <c r="E72" s="44"/>
      <c r="F72" s="44"/>
      <c r="G72" s="44"/>
      <c r="H72" s="44"/>
      <c r="I72" s="44"/>
      <c r="J72" s="44"/>
      <c r="K72" s="44"/>
      <c r="L72" s="44"/>
      <c r="M72" s="44"/>
      <c r="N72" s="44"/>
      <c r="O72" s="44"/>
      <c r="P72" s="44"/>
      <c r="Q72" s="44"/>
    </row>
    <row r="73" spans="1:17" ht="21">
      <c r="A73" s="44"/>
      <c r="B73" s="528" t="s">
        <v>360</v>
      </c>
      <c r="C73" s="44"/>
      <c r="D73" s="44"/>
      <c r="E73" s="44"/>
      <c r="F73" s="44"/>
      <c r="G73" s="44"/>
      <c r="H73" s="44"/>
      <c r="I73" s="528" t="s">
        <v>361</v>
      </c>
      <c r="J73" s="44"/>
      <c r="K73" s="44"/>
      <c r="L73" s="44"/>
      <c r="M73" s="44"/>
      <c r="N73" s="44"/>
      <c r="O73" s="44"/>
      <c r="P73" s="44"/>
      <c r="Q73" s="44"/>
    </row>
    <row r="74" spans="1:17">
      <c r="A74" s="44"/>
      <c r="B74" s="44"/>
      <c r="C74" s="44"/>
      <c r="D74" s="44"/>
      <c r="E74" s="44"/>
      <c r="F74" s="44"/>
      <c r="G74" s="44"/>
      <c r="H74" s="44"/>
      <c r="I74" s="44"/>
      <c r="J74" s="44"/>
      <c r="K74" s="44"/>
      <c r="L74" s="44"/>
      <c r="M74" s="44"/>
      <c r="N74" s="44"/>
      <c r="O74" s="44"/>
      <c r="P74" s="44"/>
      <c r="Q74" s="44"/>
    </row>
    <row r="75" spans="1:17">
      <c r="A75" s="44"/>
      <c r="B75" s="44"/>
      <c r="C75" s="44"/>
      <c r="D75" s="44"/>
      <c r="E75" s="44"/>
      <c r="F75" s="44"/>
      <c r="G75" s="44"/>
      <c r="H75" s="44"/>
      <c r="I75" s="44"/>
      <c r="J75" s="44"/>
      <c r="K75" s="44"/>
      <c r="L75" s="44"/>
      <c r="M75" s="44"/>
      <c r="N75" s="44"/>
      <c r="O75" s="44"/>
      <c r="P75" s="44"/>
      <c r="Q75" s="44"/>
    </row>
    <row r="76" spans="1:17">
      <c r="A76" s="44"/>
      <c r="B76" s="44"/>
      <c r="C76" s="44"/>
      <c r="D76" s="44"/>
      <c r="E76" s="44"/>
      <c r="F76" s="44"/>
      <c r="G76" s="44"/>
      <c r="H76" s="44"/>
      <c r="I76" s="44"/>
      <c r="J76" s="44"/>
      <c r="K76" s="44"/>
      <c r="L76" s="44"/>
      <c r="M76" s="44"/>
      <c r="N76" s="44"/>
      <c r="O76" s="44"/>
      <c r="P76" s="44"/>
      <c r="Q76" s="44"/>
    </row>
    <row r="77" spans="1:17">
      <c r="A77" s="44"/>
      <c r="B77" s="44"/>
      <c r="C77" s="44"/>
      <c r="D77" s="44"/>
      <c r="E77" s="44"/>
      <c r="F77" s="44"/>
      <c r="G77" s="44"/>
      <c r="H77" s="44"/>
      <c r="I77" s="44"/>
      <c r="J77" s="44"/>
      <c r="K77" s="44"/>
      <c r="L77" s="44"/>
      <c r="M77" s="44"/>
      <c r="N77" s="44"/>
      <c r="O77" s="44"/>
      <c r="P77" s="44"/>
      <c r="Q77" s="44"/>
    </row>
    <row r="78" spans="1:17">
      <c r="A78" s="44"/>
      <c r="B78" s="44"/>
      <c r="C78" s="44"/>
      <c r="D78" s="44"/>
      <c r="E78" s="44"/>
      <c r="F78" s="44"/>
      <c r="G78" s="44"/>
      <c r="H78" s="44"/>
      <c r="I78" s="44"/>
      <c r="J78" s="44"/>
      <c r="K78" s="44"/>
      <c r="L78" s="44"/>
      <c r="M78" s="44"/>
      <c r="N78" s="44"/>
      <c r="O78" s="44"/>
      <c r="P78" s="44"/>
      <c r="Q78" s="44"/>
    </row>
    <row r="79" spans="1:17">
      <c r="A79" s="44"/>
      <c r="B79" s="44"/>
      <c r="C79" s="44"/>
      <c r="D79" s="44"/>
      <c r="E79" s="44"/>
      <c r="F79" s="44"/>
      <c r="G79" s="44"/>
      <c r="H79" s="44"/>
      <c r="I79" s="44"/>
      <c r="J79" s="44"/>
      <c r="K79" s="44"/>
      <c r="L79" s="44"/>
      <c r="M79" s="44"/>
      <c r="N79" s="44"/>
      <c r="O79" s="44"/>
      <c r="P79" s="44"/>
      <c r="Q79" s="44"/>
    </row>
    <row r="80" spans="1:17">
      <c r="A80" s="44"/>
      <c r="B80" s="44"/>
      <c r="C80" s="44"/>
      <c r="D80" s="44"/>
      <c r="E80" s="44"/>
      <c r="F80" s="44"/>
      <c r="G80" s="44"/>
      <c r="H80" s="44"/>
      <c r="I80" s="44"/>
      <c r="J80" s="44"/>
      <c r="K80" s="44"/>
      <c r="L80" s="44"/>
      <c r="M80" s="44"/>
      <c r="N80" s="44"/>
      <c r="O80" s="44"/>
      <c r="P80" s="44"/>
      <c r="Q80" s="44"/>
    </row>
    <row r="81" spans="1:17">
      <c r="A81" s="44"/>
      <c r="B81" s="44"/>
      <c r="C81" s="44"/>
      <c r="D81" s="44"/>
      <c r="E81" s="44"/>
      <c r="F81" s="44"/>
      <c r="G81" s="44"/>
      <c r="H81" s="44"/>
      <c r="I81" s="44"/>
      <c r="J81" s="44"/>
      <c r="K81" s="44"/>
      <c r="L81" s="44"/>
      <c r="M81" s="44"/>
      <c r="N81" s="44"/>
      <c r="O81" s="44"/>
      <c r="P81" s="44"/>
      <c r="Q81" s="44"/>
    </row>
    <row r="82" spans="1:17">
      <c r="A82" s="44"/>
      <c r="B82" s="44"/>
      <c r="C82" s="44"/>
      <c r="D82" s="44"/>
      <c r="E82" s="44"/>
      <c r="F82" s="44"/>
      <c r="G82" s="44"/>
      <c r="H82" s="44"/>
      <c r="I82" s="44"/>
      <c r="J82" s="44"/>
      <c r="K82" s="44"/>
      <c r="L82" s="44"/>
      <c r="M82" s="44"/>
      <c r="N82" s="44"/>
      <c r="O82" s="44"/>
      <c r="P82" s="44"/>
      <c r="Q82" s="44"/>
    </row>
    <row r="83" spans="1:17">
      <c r="A83" s="44"/>
      <c r="B83" s="44"/>
      <c r="C83" s="44"/>
      <c r="D83" s="44"/>
      <c r="E83" s="44"/>
      <c r="F83" s="44"/>
      <c r="G83" s="44"/>
      <c r="H83" s="44"/>
      <c r="I83" s="44"/>
      <c r="J83" s="44"/>
      <c r="K83" s="44"/>
      <c r="L83" s="44"/>
      <c r="M83" s="44"/>
      <c r="N83" s="44"/>
      <c r="O83" s="44"/>
      <c r="P83" s="44"/>
      <c r="Q83" s="44"/>
    </row>
    <row r="84" spans="1:17">
      <c r="A84" s="44"/>
      <c r="B84" s="44"/>
      <c r="C84" s="44"/>
      <c r="D84" s="44"/>
      <c r="E84" s="44"/>
      <c r="F84" s="44"/>
      <c r="G84" s="44"/>
      <c r="H84" s="44"/>
      <c r="I84" s="44"/>
      <c r="J84" s="44"/>
      <c r="K84" s="44"/>
      <c r="L84" s="44"/>
      <c r="M84" s="44"/>
      <c r="N84" s="44"/>
      <c r="O84" s="44"/>
      <c r="P84" s="44"/>
      <c r="Q84" s="44"/>
    </row>
    <row r="85" spans="1:17">
      <c r="A85" s="44"/>
      <c r="B85" s="44"/>
      <c r="C85" s="44"/>
      <c r="D85" s="44"/>
      <c r="E85" s="44"/>
      <c r="F85" s="44"/>
      <c r="G85" s="44"/>
      <c r="H85" s="44"/>
      <c r="I85" s="44"/>
      <c r="J85" s="44"/>
      <c r="K85" s="44"/>
      <c r="L85" s="44"/>
      <c r="M85" s="44"/>
      <c r="N85" s="44"/>
      <c r="O85" s="44"/>
      <c r="P85" s="44"/>
      <c r="Q85" s="44"/>
    </row>
    <row r="86" spans="1:17">
      <c r="A86" s="44"/>
      <c r="B86" s="44"/>
      <c r="C86" s="44"/>
      <c r="D86" s="44"/>
      <c r="E86" s="44"/>
      <c r="F86" s="44"/>
      <c r="G86" s="44"/>
      <c r="H86" s="44"/>
      <c r="I86" s="44"/>
      <c r="J86" s="44"/>
      <c r="K86" s="44"/>
      <c r="L86" s="44"/>
      <c r="M86" s="44"/>
      <c r="N86" s="44"/>
      <c r="O86" s="44"/>
      <c r="P86" s="44"/>
      <c r="Q86" s="44"/>
    </row>
    <row r="87" spans="1:17">
      <c r="A87" s="44"/>
      <c r="B87" s="44"/>
      <c r="C87" s="44"/>
      <c r="D87" s="44"/>
      <c r="E87" s="44"/>
      <c r="F87" s="44"/>
      <c r="G87" s="44"/>
      <c r="H87" s="44"/>
      <c r="I87" s="44"/>
      <c r="J87" s="44"/>
      <c r="K87" s="44"/>
      <c r="L87" s="44"/>
      <c r="M87" s="44"/>
      <c r="N87" s="44"/>
      <c r="O87" s="44"/>
      <c r="P87" s="44"/>
      <c r="Q87" s="44"/>
    </row>
    <row r="88" spans="1:17">
      <c r="A88" s="44"/>
      <c r="B88" s="44"/>
      <c r="C88" s="44"/>
      <c r="D88" s="44"/>
      <c r="E88" s="44"/>
      <c r="F88" s="44"/>
      <c r="G88" s="44"/>
      <c r="H88" s="44"/>
      <c r="I88" s="44"/>
      <c r="J88" s="44"/>
      <c r="K88" s="44"/>
      <c r="L88" s="44"/>
      <c r="M88" s="44"/>
      <c r="N88" s="44"/>
      <c r="O88" s="44"/>
      <c r="P88" s="44"/>
      <c r="Q88" s="44"/>
    </row>
    <row r="89" spans="1:17">
      <c r="A89" s="44"/>
      <c r="B89" s="44"/>
      <c r="C89" s="44"/>
      <c r="D89" s="44"/>
      <c r="E89" s="44"/>
      <c r="F89" s="44"/>
      <c r="G89" s="44"/>
      <c r="H89" s="44"/>
      <c r="I89" s="44"/>
      <c r="J89" s="44"/>
      <c r="K89" s="44"/>
      <c r="L89" s="44"/>
      <c r="M89" s="44"/>
      <c r="N89" s="44"/>
      <c r="O89" s="44"/>
      <c r="P89" s="44"/>
      <c r="Q89" s="44"/>
    </row>
    <row r="90" spans="1:17">
      <c r="A90" s="44"/>
      <c r="B90" s="44"/>
      <c r="C90" s="44"/>
      <c r="D90" s="44"/>
      <c r="E90" s="44"/>
      <c r="F90" s="44"/>
      <c r="G90" s="44"/>
      <c r="H90" s="44"/>
      <c r="I90" s="44"/>
      <c r="J90" s="44"/>
      <c r="K90" s="44"/>
      <c r="L90" s="44"/>
      <c r="M90" s="44"/>
      <c r="N90" s="44"/>
      <c r="O90" s="44"/>
      <c r="P90" s="44"/>
      <c r="Q90" s="44"/>
    </row>
    <row r="91" spans="1:17">
      <c r="A91" s="44"/>
      <c r="B91" s="44"/>
      <c r="C91" s="44"/>
      <c r="D91" s="44"/>
      <c r="E91" s="44"/>
      <c r="F91" s="44"/>
      <c r="G91" s="44"/>
      <c r="H91" s="44"/>
      <c r="I91" s="44"/>
      <c r="J91" s="44"/>
      <c r="K91" s="44"/>
      <c r="L91" s="44"/>
      <c r="M91" s="44"/>
      <c r="N91" s="44"/>
      <c r="O91" s="44"/>
      <c r="P91" s="44"/>
      <c r="Q91" s="44"/>
    </row>
    <row r="92" spans="1:17">
      <c r="A92" s="44"/>
      <c r="B92" s="44"/>
      <c r="C92" s="44"/>
      <c r="D92" s="44"/>
      <c r="E92" s="44"/>
      <c r="F92" s="44"/>
      <c r="G92" s="44"/>
      <c r="H92" s="44"/>
      <c r="I92" s="44"/>
      <c r="J92" s="44"/>
      <c r="K92" s="44"/>
      <c r="L92" s="44"/>
      <c r="M92" s="44"/>
      <c r="N92" s="44"/>
      <c r="O92" s="44"/>
      <c r="P92" s="44"/>
      <c r="Q92" s="44"/>
    </row>
    <row r="93" spans="1:17">
      <c r="A93" s="44"/>
      <c r="B93" s="44"/>
      <c r="C93" s="44"/>
      <c r="D93" s="44"/>
      <c r="E93" s="44"/>
      <c r="F93" s="44"/>
      <c r="G93" s="44"/>
      <c r="H93" s="44"/>
      <c r="I93" s="44"/>
      <c r="J93" s="44"/>
      <c r="K93" s="44"/>
      <c r="L93" s="44"/>
      <c r="M93" s="44"/>
      <c r="N93" s="44"/>
      <c r="O93" s="44"/>
      <c r="P93" s="44"/>
      <c r="Q93" s="44"/>
    </row>
    <row r="94" spans="1:17">
      <c r="A94" s="44"/>
      <c r="B94" s="44"/>
      <c r="C94" s="44"/>
      <c r="D94" s="44"/>
      <c r="E94" s="44"/>
      <c r="F94" s="44"/>
      <c r="G94" s="44"/>
      <c r="H94" s="44"/>
      <c r="I94" s="44"/>
      <c r="J94" s="44"/>
      <c r="K94" s="44"/>
      <c r="L94" s="44"/>
      <c r="M94" s="44"/>
      <c r="N94" s="44"/>
      <c r="O94" s="44"/>
      <c r="P94" s="44"/>
      <c r="Q94" s="44"/>
    </row>
    <row r="95" spans="1:17" ht="21">
      <c r="A95" s="44"/>
      <c r="B95" s="528" t="s">
        <v>355</v>
      </c>
      <c r="C95" s="44"/>
      <c r="D95" s="44"/>
      <c r="E95" s="44"/>
      <c r="F95" s="44"/>
      <c r="G95" s="44"/>
      <c r="H95" s="44"/>
      <c r="I95" s="528" t="s">
        <v>355</v>
      </c>
      <c r="J95" s="44"/>
      <c r="K95" s="44"/>
      <c r="L95" s="44"/>
      <c r="M95" s="44"/>
      <c r="N95" s="44"/>
      <c r="O95" s="44"/>
      <c r="P95" s="44"/>
      <c r="Q95" s="44"/>
    </row>
    <row r="96" spans="1:17">
      <c r="A96" s="44"/>
      <c r="B96" s="44"/>
      <c r="C96" s="44"/>
      <c r="D96" s="44"/>
      <c r="E96" s="44"/>
      <c r="F96" s="44"/>
      <c r="G96" s="44"/>
      <c r="H96" s="44"/>
      <c r="I96" s="44"/>
      <c r="J96" s="44"/>
      <c r="K96" s="44"/>
      <c r="L96" s="44"/>
      <c r="M96" s="44"/>
      <c r="N96" s="44"/>
      <c r="O96" s="44"/>
      <c r="P96" s="44"/>
      <c r="Q96" s="44"/>
    </row>
    <row r="97" spans="1:21">
      <c r="A97" s="44"/>
      <c r="B97" s="44"/>
      <c r="C97" s="44"/>
      <c r="D97" s="44"/>
      <c r="E97" s="44"/>
      <c r="F97" s="44"/>
      <c r="G97" s="44"/>
      <c r="H97" s="44"/>
      <c r="I97" s="44"/>
      <c r="J97" s="44"/>
      <c r="K97" s="44"/>
      <c r="L97" s="44"/>
      <c r="M97" s="44"/>
      <c r="N97" s="44"/>
      <c r="O97" s="44"/>
      <c r="P97" s="44"/>
      <c r="Q97" s="44"/>
    </row>
    <row r="98" spans="1:21">
      <c r="A98" s="44"/>
      <c r="B98" s="44"/>
      <c r="C98" s="44"/>
      <c r="D98" s="44"/>
      <c r="E98" s="44"/>
      <c r="F98" s="44"/>
      <c r="G98" s="44"/>
      <c r="H98" s="44"/>
      <c r="I98" s="44"/>
      <c r="J98" s="44"/>
      <c r="K98" s="44"/>
      <c r="L98" s="44"/>
      <c r="M98" s="44"/>
      <c r="N98" s="44"/>
      <c r="O98" s="44"/>
      <c r="P98" s="44"/>
      <c r="Q98" s="44"/>
    </row>
    <row r="99" spans="1:21">
      <c r="A99" s="44"/>
      <c r="B99" s="44"/>
      <c r="C99" s="44"/>
      <c r="D99" s="44"/>
      <c r="E99" s="44"/>
      <c r="F99" s="44"/>
      <c r="G99" s="44"/>
      <c r="H99" s="44"/>
      <c r="I99" s="44"/>
      <c r="J99" s="44"/>
      <c r="K99" s="44"/>
      <c r="L99" s="44"/>
      <c r="M99" s="44"/>
      <c r="N99" s="44"/>
      <c r="O99" s="44"/>
      <c r="P99" s="44"/>
      <c r="Q99" s="44"/>
    </row>
    <row r="100" spans="1:21">
      <c r="A100" s="44"/>
      <c r="B100" s="44"/>
      <c r="C100" s="44"/>
      <c r="D100" s="44"/>
      <c r="E100" s="44"/>
      <c r="F100" s="44"/>
      <c r="G100" s="44"/>
      <c r="H100" s="44"/>
      <c r="I100" s="44"/>
      <c r="J100" s="44"/>
      <c r="K100" s="44"/>
      <c r="L100" s="44"/>
      <c r="M100" s="44"/>
      <c r="N100" s="44"/>
      <c r="O100" s="44"/>
      <c r="P100" s="44"/>
      <c r="Q100" s="44"/>
      <c r="U100" s="269"/>
    </row>
    <row r="101" spans="1:21">
      <c r="A101" s="44"/>
      <c r="B101" s="44"/>
      <c r="C101" s="44"/>
      <c r="D101" s="44"/>
      <c r="E101" s="44"/>
      <c r="F101" s="44"/>
      <c r="G101" s="44"/>
      <c r="H101" s="44"/>
      <c r="I101" s="44"/>
      <c r="J101" s="44"/>
      <c r="K101" s="44"/>
      <c r="L101" s="44"/>
      <c r="M101" s="44"/>
      <c r="N101" s="44"/>
      <c r="O101" s="44"/>
      <c r="P101" s="44"/>
      <c r="Q101" s="44"/>
      <c r="U101" s="269"/>
    </row>
    <row r="102" spans="1:21">
      <c r="A102" s="44"/>
      <c r="B102" s="44"/>
      <c r="C102" s="44"/>
      <c r="D102" s="44"/>
      <c r="E102" s="44"/>
      <c r="F102" s="44"/>
      <c r="G102" s="44"/>
      <c r="H102" s="44"/>
      <c r="I102" s="44"/>
      <c r="J102" s="44"/>
      <c r="K102" s="44"/>
      <c r="L102" s="44"/>
      <c r="M102" s="44"/>
      <c r="N102" s="44"/>
      <c r="O102" s="44"/>
      <c r="P102" s="44"/>
      <c r="Q102" s="44"/>
    </row>
    <row r="103" spans="1:21">
      <c r="A103" s="44"/>
      <c r="B103" s="44"/>
      <c r="C103" s="44"/>
      <c r="D103" s="44"/>
      <c r="E103" s="44"/>
      <c r="F103" s="44"/>
      <c r="G103" s="44"/>
      <c r="H103" s="44"/>
      <c r="I103" s="44"/>
      <c r="J103" s="44"/>
      <c r="K103" s="44"/>
      <c r="L103" s="44"/>
      <c r="M103" s="44"/>
      <c r="N103" s="44"/>
      <c r="O103" s="44"/>
      <c r="P103" s="44"/>
      <c r="Q103" s="44"/>
    </row>
    <row r="104" spans="1:21">
      <c r="A104" s="44"/>
      <c r="B104" s="44"/>
      <c r="C104" s="44"/>
      <c r="D104" s="44"/>
      <c r="E104" s="44"/>
      <c r="F104" s="44"/>
      <c r="G104" s="44"/>
      <c r="H104" s="44"/>
      <c r="I104" s="44"/>
      <c r="J104" s="44"/>
      <c r="K104" s="44"/>
      <c r="L104" s="44"/>
      <c r="M104" s="44"/>
      <c r="N104" s="44"/>
      <c r="O104" s="44"/>
      <c r="P104" s="44"/>
      <c r="Q104" s="44"/>
    </row>
    <row r="105" spans="1:21">
      <c r="A105" s="44"/>
      <c r="B105" s="44"/>
      <c r="C105" s="44"/>
      <c r="D105" s="44"/>
      <c r="E105" s="44"/>
      <c r="F105" s="44"/>
      <c r="G105" s="44"/>
      <c r="H105" s="44"/>
      <c r="I105" s="44"/>
      <c r="J105" s="44"/>
      <c r="K105" s="44"/>
      <c r="L105" s="44"/>
      <c r="M105" s="44"/>
      <c r="N105" s="44"/>
      <c r="O105" s="44"/>
      <c r="P105" s="44"/>
      <c r="Q105" s="44"/>
    </row>
    <row r="106" spans="1:21">
      <c r="A106" s="44"/>
      <c r="B106" s="44"/>
      <c r="C106" s="44"/>
      <c r="D106" s="44"/>
      <c r="E106" s="44"/>
      <c r="F106" s="44"/>
      <c r="G106" s="44"/>
      <c r="H106" s="44"/>
      <c r="I106" s="44"/>
      <c r="J106" s="44"/>
      <c r="K106" s="44"/>
      <c r="L106" s="44"/>
      <c r="M106" s="44"/>
      <c r="N106" s="44"/>
      <c r="O106" s="44"/>
      <c r="P106" s="44"/>
      <c r="Q106" s="44"/>
    </row>
    <row r="107" spans="1:21">
      <c r="A107" s="44"/>
      <c r="B107" s="44"/>
      <c r="C107" s="44"/>
      <c r="D107" s="44"/>
      <c r="E107" s="44"/>
      <c r="F107" s="44"/>
      <c r="G107" s="44"/>
      <c r="H107" s="44"/>
      <c r="I107" s="44"/>
      <c r="J107" s="44"/>
      <c r="K107" s="44"/>
      <c r="L107" s="44"/>
      <c r="M107" s="44"/>
      <c r="N107" s="44"/>
      <c r="O107" s="44"/>
      <c r="P107" s="44"/>
      <c r="Q107" s="44"/>
    </row>
    <row r="108" spans="1:21">
      <c r="A108" s="44"/>
      <c r="B108" s="44"/>
      <c r="C108" s="44"/>
      <c r="D108" s="44"/>
      <c r="E108" s="44"/>
      <c r="F108" s="44"/>
      <c r="G108" s="44"/>
      <c r="H108" s="44"/>
      <c r="I108" s="44"/>
      <c r="J108" s="44"/>
      <c r="K108" s="44"/>
      <c r="L108" s="44"/>
      <c r="M108" s="44"/>
      <c r="N108" s="44"/>
      <c r="O108" s="44"/>
      <c r="P108" s="44"/>
      <c r="Q108" s="44"/>
    </row>
    <row r="109" spans="1:21">
      <c r="A109" s="44"/>
      <c r="B109" s="44"/>
      <c r="C109" s="44"/>
      <c r="D109" s="44"/>
      <c r="E109" s="44"/>
      <c r="F109" s="44"/>
      <c r="G109" s="44"/>
      <c r="H109" s="44"/>
      <c r="I109" s="44"/>
      <c r="J109" s="44"/>
      <c r="K109" s="44"/>
      <c r="L109" s="44"/>
      <c r="M109" s="44"/>
      <c r="N109" s="44"/>
      <c r="O109" s="44"/>
      <c r="P109" s="44"/>
      <c r="Q109" s="44"/>
    </row>
    <row r="110" spans="1:21">
      <c r="A110" s="44"/>
      <c r="B110" s="44"/>
      <c r="C110" s="44"/>
      <c r="D110" s="44"/>
      <c r="E110" s="44"/>
      <c r="F110" s="44"/>
      <c r="G110" s="44"/>
      <c r="H110" s="44"/>
      <c r="I110" s="44"/>
      <c r="J110" s="44"/>
      <c r="K110" s="44"/>
      <c r="L110" s="44"/>
      <c r="M110" s="44"/>
      <c r="N110" s="44"/>
      <c r="O110" s="44"/>
      <c r="P110" s="44"/>
      <c r="Q110" s="44"/>
    </row>
    <row r="111" spans="1:21">
      <c r="A111" s="44"/>
      <c r="B111" s="44"/>
      <c r="C111" s="44"/>
      <c r="D111" s="44"/>
      <c r="E111" s="44"/>
      <c r="F111" s="44"/>
      <c r="G111" s="44"/>
      <c r="H111" s="44"/>
      <c r="I111" s="44"/>
      <c r="J111" s="44"/>
      <c r="K111" s="44"/>
      <c r="L111" s="44"/>
      <c r="M111" s="44"/>
      <c r="N111" s="44"/>
      <c r="O111" s="44"/>
      <c r="P111" s="44"/>
      <c r="Q111" s="44"/>
    </row>
    <row r="112" spans="1:21">
      <c r="A112" s="44"/>
      <c r="B112" s="44"/>
      <c r="C112" s="44"/>
      <c r="D112" s="44"/>
      <c r="E112" s="44"/>
      <c r="F112" s="44"/>
      <c r="G112" s="44"/>
      <c r="H112" s="44"/>
      <c r="I112" s="44"/>
      <c r="J112" s="44"/>
      <c r="K112" s="44"/>
      <c r="L112" s="44"/>
      <c r="M112" s="44"/>
      <c r="N112" s="44"/>
      <c r="O112" s="44"/>
      <c r="P112" s="44"/>
      <c r="Q112" s="44"/>
    </row>
    <row r="113" spans="1:22">
      <c r="A113" s="44"/>
      <c r="B113" s="44"/>
      <c r="C113" s="44"/>
      <c r="D113" s="44"/>
      <c r="E113" s="44"/>
      <c r="F113" s="44"/>
      <c r="G113" s="44"/>
      <c r="H113" s="44"/>
      <c r="I113" s="44"/>
      <c r="J113" s="44"/>
      <c r="K113" s="44"/>
      <c r="L113" s="44"/>
      <c r="M113" s="44"/>
      <c r="N113" s="44"/>
      <c r="O113" s="44"/>
      <c r="P113" s="44"/>
      <c r="Q113" s="44"/>
    </row>
    <row r="114" spans="1:22">
      <c r="A114" s="44"/>
      <c r="B114" s="44"/>
      <c r="C114" s="44"/>
      <c r="D114" s="44"/>
      <c r="E114" s="44"/>
      <c r="F114" s="44"/>
      <c r="G114" s="44"/>
      <c r="H114" s="44"/>
      <c r="I114" s="44"/>
      <c r="J114" s="44"/>
      <c r="K114" s="44"/>
      <c r="L114" s="44"/>
      <c r="M114" s="44"/>
      <c r="N114" s="44"/>
      <c r="O114" s="44"/>
      <c r="P114" s="44"/>
      <c r="Q114" s="44"/>
    </row>
    <row r="115" spans="1:22">
      <c r="A115" s="44"/>
      <c r="B115" s="44"/>
      <c r="C115" s="44"/>
      <c r="D115" s="44"/>
      <c r="E115" s="44"/>
      <c r="F115" s="44"/>
      <c r="G115" s="44"/>
      <c r="H115" s="44"/>
      <c r="I115" s="44"/>
      <c r="J115" s="44"/>
      <c r="K115" s="44"/>
      <c r="L115" s="44"/>
      <c r="M115" s="44"/>
      <c r="N115" s="44"/>
      <c r="O115" s="44"/>
      <c r="P115" s="44"/>
      <c r="Q115" s="44"/>
    </row>
    <row r="116" spans="1:22">
      <c r="A116" s="44"/>
      <c r="C116" s="44"/>
      <c r="D116" s="44"/>
      <c r="E116" s="44"/>
      <c r="F116" s="44"/>
      <c r="G116" s="44"/>
      <c r="H116" s="44"/>
      <c r="I116" s="44"/>
      <c r="J116" s="44"/>
      <c r="K116" s="44"/>
      <c r="L116" s="44"/>
      <c r="M116" s="44"/>
      <c r="N116" s="44"/>
      <c r="O116" s="44"/>
      <c r="P116" s="44"/>
      <c r="Q116" s="44"/>
    </row>
    <row r="117" spans="1:22" ht="21">
      <c r="A117" s="44"/>
      <c r="B117" s="17" t="s">
        <v>82</v>
      </c>
      <c r="C117" s="62"/>
      <c r="D117" s="62"/>
      <c r="E117" s="62"/>
      <c r="F117" s="62"/>
      <c r="G117" s="62"/>
      <c r="H117" s="62"/>
    </row>
    <row r="118" spans="1:22">
      <c r="C118" s="385">
        <v>2016</v>
      </c>
      <c r="D118" s="386">
        <v>2017</v>
      </c>
      <c r="E118" s="386">
        <v>2018</v>
      </c>
      <c r="F118" s="386">
        <v>2019</v>
      </c>
      <c r="G118" s="386">
        <v>2020</v>
      </c>
      <c r="H118" s="386">
        <v>2021</v>
      </c>
      <c r="I118" s="386">
        <v>2022</v>
      </c>
      <c r="J118" s="386">
        <v>2023</v>
      </c>
      <c r="K118" s="386">
        <v>2024</v>
      </c>
      <c r="L118" s="386">
        <v>2025</v>
      </c>
      <c r="M118" s="386">
        <v>2026</v>
      </c>
      <c r="N118" s="386">
        <v>2027</v>
      </c>
    </row>
    <row r="119" spans="1:22">
      <c r="B119" s="273" t="s">
        <v>63</v>
      </c>
      <c r="C119" s="387">
        <f>SUM('Products x speed'!E9:E12)</f>
        <v>13567410.105</v>
      </c>
      <c r="D119" s="388">
        <f>SUM('Products x speed'!F9:F12)</f>
        <v>11273695.050000001</v>
      </c>
      <c r="E119" s="388">
        <f>SUM('Products x speed'!G9:G12)</f>
        <v>14338976</v>
      </c>
      <c r="F119" s="388"/>
      <c r="G119" s="388"/>
      <c r="H119" s="388"/>
      <c r="I119" s="388"/>
      <c r="J119" s="388"/>
      <c r="K119" s="388"/>
      <c r="L119" s="388"/>
      <c r="M119" s="388"/>
      <c r="N119" s="388"/>
    </row>
    <row r="120" spans="1:22" ht="15.6">
      <c r="B120" s="275" t="s">
        <v>60</v>
      </c>
      <c r="C120" s="389">
        <f>SUM('Products x speed'!E14:E22)</f>
        <v>18516818.93</v>
      </c>
      <c r="D120" s="390">
        <f>SUM('Products x speed'!F14:F22)</f>
        <v>19945022.100000001</v>
      </c>
      <c r="E120" s="390">
        <f>SUM('Products x speed'!G14:G22)</f>
        <v>22017005.100000001</v>
      </c>
      <c r="F120" s="390"/>
      <c r="G120" s="390"/>
      <c r="H120" s="390"/>
      <c r="I120" s="390"/>
      <c r="J120" s="390"/>
      <c r="K120" s="390"/>
      <c r="L120" s="390"/>
      <c r="M120" s="390"/>
      <c r="N120" s="390"/>
      <c r="U120" s="539"/>
    </row>
    <row r="121" spans="1:22" ht="15.6">
      <c r="B121" s="275" t="s">
        <v>75</v>
      </c>
      <c r="C121" s="389">
        <f>SUM('Products x speed'!E24:E26)</f>
        <v>11694</v>
      </c>
      <c r="D121" s="390">
        <f>SUM('Products x speed'!F24:F26)</f>
        <v>113327</v>
      </c>
      <c r="E121" s="390">
        <f>SUM('Products x speed'!G24:G26)</f>
        <v>375687</v>
      </c>
      <c r="F121" s="390"/>
      <c r="G121" s="390"/>
      <c r="H121" s="390"/>
      <c r="I121" s="390"/>
      <c r="J121" s="390"/>
      <c r="K121" s="390"/>
      <c r="L121" s="390"/>
      <c r="M121" s="390"/>
      <c r="N121" s="390"/>
      <c r="U121" s="540"/>
    </row>
    <row r="122" spans="1:22" ht="15.6">
      <c r="B122" s="275" t="s">
        <v>62</v>
      </c>
      <c r="C122" s="389">
        <f>SUM('Products x speed'!E27:E35)</f>
        <v>3153068</v>
      </c>
      <c r="D122" s="390">
        <f>SUM('Products x speed'!F27:F35)</f>
        <v>3864160</v>
      </c>
      <c r="E122" s="390">
        <f>SUM('Products x speed'!G27:G35)</f>
        <v>3098123.5</v>
      </c>
      <c r="F122" s="390"/>
      <c r="G122" s="390"/>
      <c r="H122" s="390"/>
      <c r="I122" s="390"/>
      <c r="J122" s="390"/>
      <c r="K122" s="390"/>
      <c r="L122" s="390"/>
      <c r="M122" s="390"/>
      <c r="N122" s="390"/>
      <c r="U122" s="540"/>
    </row>
    <row r="123" spans="1:22">
      <c r="B123" s="275" t="s">
        <v>136</v>
      </c>
      <c r="C123" s="389"/>
      <c r="D123" s="390"/>
      <c r="E123" s="390">
        <f>SUM('Products x speed'!G36:G40)</f>
        <v>0</v>
      </c>
      <c r="F123" s="390"/>
      <c r="G123" s="390"/>
      <c r="H123" s="390"/>
      <c r="I123" s="390"/>
      <c r="J123" s="390"/>
      <c r="K123" s="390"/>
      <c r="L123" s="390"/>
      <c r="M123" s="390"/>
      <c r="N123" s="390"/>
    </row>
    <row r="124" spans="1:22">
      <c r="B124" s="275" t="s">
        <v>61</v>
      </c>
      <c r="C124" s="389">
        <f>SUM('Products x speed'!E41:E59)</f>
        <v>919370</v>
      </c>
      <c r="D124" s="390">
        <f>SUM('Products x speed'!F41:F59)</f>
        <v>2881490</v>
      </c>
      <c r="E124" s="390">
        <f>SUM('Products x speed'!G41:G59)</f>
        <v>6187018.7366946787</v>
      </c>
      <c r="F124" s="390"/>
      <c r="G124" s="390"/>
      <c r="H124" s="390"/>
      <c r="I124" s="390"/>
      <c r="J124" s="390"/>
      <c r="K124" s="390"/>
      <c r="L124" s="390"/>
      <c r="M124" s="390"/>
      <c r="N124" s="390"/>
      <c r="V124" s="523"/>
    </row>
    <row r="125" spans="1:22">
      <c r="B125" s="275" t="s">
        <v>137</v>
      </c>
      <c r="C125" s="389"/>
      <c r="D125" s="67"/>
      <c r="E125" s="161">
        <f>SUM('Products x speed'!G60:G64)</f>
        <v>1000</v>
      </c>
      <c r="F125" s="161"/>
      <c r="G125" s="161"/>
      <c r="H125" s="161"/>
      <c r="I125" s="161"/>
      <c r="J125" s="161"/>
      <c r="K125" s="161"/>
      <c r="L125" s="161"/>
      <c r="M125" s="161"/>
      <c r="N125" s="161"/>
    </row>
    <row r="126" spans="1:22">
      <c r="B126" s="275" t="s">
        <v>127</v>
      </c>
      <c r="C126" s="389"/>
      <c r="D126" s="161">
        <f>SUM('Products x speed'!F65:F71)</f>
        <v>89</v>
      </c>
      <c r="E126" s="161">
        <f>SUM('Products x speed'!G65:G71)</f>
        <v>39000</v>
      </c>
      <c r="F126" s="161"/>
      <c r="G126" s="161"/>
      <c r="H126" s="161"/>
      <c r="I126" s="161"/>
      <c r="J126" s="161"/>
      <c r="K126" s="161"/>
      <c r="L126" s="161"/>
      <c r="M126" s="161"/>
      <c r="N126" s="161"/>
    </row>
    <row r="127" spans="1:22" s="291" customFormat="1">
      <c r="B127" s="645" t="s">
        <v>370</v>
      </c>
      <c r="C127" s="389"/>
      <c r="D127" s="390"/>
      <c r="E127" s="390"/>
      <c r="F127" s="390"/>
      <c r="G127" s="390"/>
      <c r="H127" s="390"/>
      <c r="I127" s="390"/>
      <c r="J127" s="390"/>
      <c r="K127" s="390"/>
      <c r="L127" s="390"/>
      <c r="M127" s="390"/>
      <c r="N127" s="390"/>
    </row>
    <row r="128" spans="1:22" s="291" customFormat="1">
      <c r="B128" s="374" t="s">
        <v>465</v>
      </c>
      <c r="C128" s="389"/>
      <c r="D128" s="390"/>
      <c r="E128" s="390"/>
      <c r="F128" s="390"/>
      <c r="G128" s="390"/>
      <c r="H128" s="390"/>
      <c r="I128" s="390"/>
      <c r="J128" s="390"/>
      <c r="K128" s="390"/>
      <c r="L128" s="390"/>
      <c r="M128" s="390"/>
      <c r="N128" s="390"/>
    </row>
    <row r="129" spans="1:21" s="291" customFormat="1">
      <c r="B129" s="375" t="str">
        <f>'Products x speed'!D23</f>
        <v>Legacy/discontinued</v>
      </c>
      <c r="C129" s="391">
        <f>'Products x speed'!E13+'Products x speed'!E23</f>
        <v>265053</v>
      </c>
      <c r="D129" s="383">
        <f>'Products x speed'!F13+'Products x speed'!F23</f>
        <v>24329</v>
      </c>
      <c r="E129" s="383">
        <f>'Products x speed'!G13+'Products x speed'!G23</f>
        <v>3500</v>
      </c>
      <c r="F129" s="383"/>
      <c r="G129" s="383"/>
      <c r="H129" s="383"/>
      <c r="I129" s="383"/>
      <c r="J129" s="383"/>
      <c r="K129" s="383"/>
      <c r="L129" s="383"/>
      <c r="M129" s="383"/>
      <c r="N129" s="383"/>
    </row>
    <row r="130" spans="1:21">
      <c r="B130" s="271" t="s">
        <v>13</v>
      </c>
      <c r="C130" s="391">
        <f t="shared" ref="C130:E130" si="0">SUM(C119:C129)</f>
        <v>36433414.034999996</v>
      </c>
      <c r="D130" s="383">
        <f t="shared" si="0"/>
        <v>38102112.150000006</v>
      </c>
      <c r="E130" s="383">
        <f t="shared" si="0"/>
        <v>46060310.33669468</v>
      </c>
      <c r="F130" s="383"/>
      <c r="G130" s="383"/>
      <c r="H130" s="383"/>
      <c r="I130" s="383"/>
      <c r="J130" s="383"/>
      <c r="K130" s="383"/>
      <c r="L130" s="383"/>
      <c r="M130" s="383"/>
      <c r="N130" s="383"/>
    </row>
    <row r="131" spans="1:21">
      <c r="B131" s="324" t="s">
        <v>90</v>
      </c>
      <c r="C131" s="270"/>
      <c r="D131" s="270">
        <f t="shared" ref="D131:E131" si="1">D130/C130-1</f>
        <v>4.5801310670390727E-2</v>
      </c>
      <c r="E131" s="270">
        <f t="shared" si="1"/>
        <v>0.20886501397520751</v>
      </c>
      <c r="F131" s="270"/>
      <c r="G131" s="270"/>
      <c r="H131" s="270"/>
      <c r="I131" s="270"/>
      <c r="J131" s="270"/>
      <c r="K131" s="270"/>
      <c r="L131" s="270"/>
      <c r="M131" s="270"/>
      <c r="N131" s="270"/>
    </row>
    <row r="132" spans="1:21">
      <c r="B132" s="324" t="s">
        <v>277</v>
      </c>
      <c r="C132" s="270"/>
      <c r="D132" s="270">
        <f t="shared" ref="D132:E132" si="2">SUM(D121:D126)/SUM(C121:C126)-1</f>
        <v>0.67944278000808978</v>
      </c>
      <c r="E132" s="270">
        <f t="shared" si="2"/>
        <v>0.41430760932970734</v>
      </c>
      <c r="F132" s="270"/>
      <c r="G132" s="270"/>
      <c r="H132" s="270"/>
      <c r="I132" s="270"/>
      <c r="J132" s="270"/>
      <c r="K132" s="270"/>
      <c r="L132" s="270"/>
      <c r="M132" s="270"/>
      <c r="N132" s="270"/>
    </row>
    <row r="133" spans="1:21">
      <c r="B133" s="324"/>
      <c r="C133" s="67">
        <f>C130-'Products x speed'!E89</f>
        <v>0</v>
      </c>
      <c r="D133" s="67">
        <f>D130-'Products x speed'!F89</f>
        <v>0</v>
      </c>
      <c r="E133" s="67">
        <f>E130-'Products x speed'!G89</f>
        <v>0</v>
      </c>
      <c r="F133" s="67"/>
      <c r="G133" s="67"/>
      <c r="H133" s="67"/>
      <c r="I133" s="67"/>
      <c r="J133" s="67"/>
      <c r="K133" s="67"/>
      <c r="L133" s="67"/>
      <c r="M133" s="67"/>
      <c r="N133" s="67"/>
    </row>
    <row r="134" spans="1:21">
      <c r="C134" s="67"/>
      <c r="D134" s="67"/>
      <c r="E134" s="67"/>
      <c r="F134" s="67"/>
      <c r="G134" s="67"/>
      <c r="H134" s="67"/>
      <c r="I134" s="67"/>
      <c r="J134" s="67"/>
      <c r="K134" s="67"/>
      <c r="L134" s="67"/>
      <c r="M134" s="67"/>
      <c r="N134" s="67"/>
      <c r="O134" s="67"/>
      <c r="P134" s="67"/>
      <c r="Q134" s="67"/>
    </row>
    <row r="135" spans="1:21" ht="21">
      <c r="A135" s="44"/>
      <c r="B135" s="17" t="s">
        <v>83</v>
      </c>
      <c r="C135" s="44"/>
      <c r="D135" s="44"/>
    </row>
    <row r="136" spans="1:21">
      <c r="C136" s="385">
        <v>2016</v>
      </c>
      <c r="D136" s="386">
        <v>2017</v>
      </c>
      <c r="E136" s="386">
        <v>2018</v>
      </c>
      <c r="F136" s="386">
        <v>2019</v>
      </c>
      <c r="G136" s="386">
        <v>2020</v>
      </c>
      <c r="H136" s="386">
        <v>2021</v>
      </c>
      <c r="I136" s="386">
        <v>2022</v>
      </c>
      <c r="J136" s="386">
        <v>2023</v>
      </c>
      <c r="K136" s="386">
        <v>2024</v>
      </c>
      <c r="L136" s="386">
        <v>2025</v>
      </c>
      <c r="M136" s="386">
        <v>2026</v>
      </c>
      <c r="N136" s="386">
        <v>2027</v>
      </c>
    </row>
    <row r="137" spans="1:21">
      <c r="B137" s="273" t="str">
        <f t="shared" ref="B137:B148" si="3">B119</f>
        <v>1G</v>
      </c>
      <c r="C137" s="392">
        <f>SUM('Products x speed'!E201:E204)</f>
        <v>154.16513112975395</v>
      </c>
      <c r="D137" s="393">
        <f>SUM('Products x speed'!F201:F204)</f>
        <v>110.62740763127242</v>
      </c>
      <c r="E137" s="393">
        <f>SUM('Products x speed'!G201:G204)</f>
        <v>131.91376511999999</v>
      </c>
      <c r="F137" s="393"/>
      <c r="G137" s="393"/>
      <c r="H137" s="393"/>
      <c r="I137" s="393"/>
      <c r="J137" s="393"/>
      <c r="K137" s="393"/>
      <c r="L137" s="393"/>
      <c r="M137" s="393"/>
      <c r="N137" s="393"/>
    </row>
    <row r="138" spans="1:21">
      <c r="B138" s="275" t="str">
        <f t="shared" si="3"/>
        <v>10G</v>
      </c>
      <c r="C138" s="394">
        <f>SUM('Products x speed'!E206:E214)</f>
        <v>588.89972784362988</v>
      </c>
      <c r="D138" s="279">
        <f>SUM('Products x speed'!F206:F214)</f>
        <v>486.60483553423245</v>
      </c>
      <c r="E138" s="279">
        <f>SUM('Products x speed'!G206:G214)</f>
        <v>471.41983653865219</v>
      </c>
      <c r="F138" s="279"/>
      <c r="G138" s="279"/>
      <c r="H138" s="279"/>
      <c r="I138" s="279"/>
      <c r="J138" s="279"/>
      <c r="K138" s="279"/>
      <c r="L138" s="279"/>
      <c r="M138" s="279"/>
      <c r="N138" s="279"/>
    </row>
    <row r="139" spans="1:21">
      <c r="B139" s="275" t="str">
        <f t="shared" si="3"/>
        <v>25G</v>
      </c>
      <c r="C139" s="281">
        <f>SUM('Products x speed'!E216:E218)</f>
        <v>3.4123060000000001</v>
      </c>
      <c r="D139" s="279">
        <f>SUM('Products x speed'!F216:F218)</f>
        <v>19.187075306914231</v>
      </c>
      <c r="E139" s="279">
        <f>SUM('Products x speed'!G216:G218)</f>
        <v>38.882710120000013</v>
      </c>
      <c r="F139" s="279"/>
      <c r="G139" s="279"/>
      <c r="H139" s="279"/>
      <c r="I139" s="279"/>
      <c r="J139" s="279"/>
      <c r="K139" s="279"/>
      <c r="L139" s="279"/>
      <c r="M139" s="279"/>
      <c r="N139" s="279"/>
    </row>
    <row r="140" spans="1:21" ht="15.6">
      <c r="B140" s="275" t="str">
        <f t="shared" si="3"/>
        <v>40G</v>
      </c>
      <c r="C140" s="394">
        <f>SUM('Products x speed'!E219:E227)</f>
        <v>787.93297017215446</v>
      </c>
      <c r="D140" s="279">
        <f>SUM('Products x speed'!F219:F227)</f>
        <v>904.27751564220159</v>
      </c>
      <c r="E140" s="279">
        <f>SUM('Products x speed'!G219:G227)</f>
        <v>539.48394892970373</v>
      </c>
      <c r="F140" s="279"/>
      <c r="G140" s="279"/>
      <c r="H140" s="279"/>
      <c r="I140" s="279"/>
      <c r="J140" s="279"/>
      <c r="K140" s="279"/>
      <c r="L140" s="279"/>
      <c r="M140" s="279"/>
      <c r="N140" s="279"/>
      <c r="U140" s="653"/>
    </row>
    <row r="141" spans="1:21" ht="15.6">
      <c r="B141" s="275" t="str">
        <f t="shared" si="3"/>
        <v>50G</v>
      </c>
      <c r="C141" s="394"/>
      <c r="D141" s="279"/>
      <c r="E141" s="279">
        <f>SUM('Products x speed'!G228:G232)</f>
        <v>0</v>
      </c>
      <c r="F141" s="279"/>
      <c r="G141" s="279"/>
      <c r="H141" s="279"/>
      <c r="I141" s="279"/>
      <c r="J141" s="279"/>
      <c r="K141" s="279"/>
      <c r="L141" s="279"/>
      <c r="M141" s="279"/>
      <c r="N141" s="279"/>
      <c r="U141" s="653"/>
    </row>
    <row r="142" spans="1:21" ht="15.6">
      <c r="B142" s="275" t="str">
        <f t="shared" si="3"/>
        <v>100G</v>
      </c>
      <c r="C142" s="394">
        <f>SUM('Products x speed'!E233:E251)</f>
        <v>1143.1589634696481</v>
      </c>
      <c r="D142" s="279">
        <f>SUM('Products x speed'!F233:F251)</f>
        <v>1653.9743919741536</v>
      </c>
      <c r="E142" s="279">
        <f>SUM('Products x speed'!G233:G251)</f>
        <v>2155.6052671051739</v>
      </c>
      <c r="F142" s="279"/>
      <c r="G142" s="279"/>
      <c r="H142" s="279"/>
      <c r="I142" s="279"/>
      <c r="J142" s="279"/>
      <c r="K142" s="279"/>
      <c r="L142" s="279"/>
      <c r="M142" s="279"/>
      <c r="N142" s="279"/>
      <c r="U142" s="653"/>
    </row>
    <row r="143" spans="1:21">
      <c r="B143" s="275" t="str">
        <f t="shared" si="3"/>
        <v>200G</v>
      </c>
      <c r="C143" s="394"/>
      <c r="D143" s="597"/>
      <c r="E143" s="170">
        <f>SUM('Products x speed'!G252:G256)</f>
        <v>1.1000000000000001</v>
      </c>
      <c r="F143" s="170"/>
      <c r="G143" s="170"/>
      <c r="H143" s="170"/>
      <c r="I143" s="170"/>
      <c r="J143" s="170"/>
      <c r="K143" s="170"/>
      <c r="L143" s="170"/>
      <c r="M143" s="170"/>
      <c r="N143" s="170"/>
    </row>
    <row r="144" spans="1:21">
      <c r="B144" s="275" t="str">
        <f t="shared" si="3"/>
        <v>400G</v>
      </c>
      <c r="C144" s="394"/>
      <c r="D144" s="170">
        <f>SUM('Products x speed'!F257:F263)</f>
        <v>1.3482999999999998</v>
      </c>
      <c r="E144" s="170">
        <f>SUM('Products x speed'!G257:G263)</f>
        <v>49.212000000000003</v>
      </c>
      <c r="F144" s="170"/>
      <c r="G144" s="170"/>
      <c r="H144" s="170"/>
      <c r="I144" s="170"/>
      <c r="J144" s="170"/>
      <c r="K144" s="170"/>
      <c r="L144" s="170"/>
      <c r="M144" s="170"/>
      <c r="N144" s="170"/>
    </row>
    <row r="145" spans="2:21" s="291" customFormat="1">
      <c r="B145" s="374" t="str">
        <f t="shared" si="3"/>
        <v>800G</v>
      </c>
      <c r="C145" s="394"/>
      <c r="D145" s="279"/>
      <c r="E145" s="279"/>
      <c r="F145" s="279"/>
      <c r="G145" s="279"/>
      <c r="H145" s="279"/>
      <c r="I145" s="279"/>
      <c r="J145" s="279"/>
      <c r="K145" s="279"/>
      <c r="L145" s="279"/>
      <c r="M145" s="279"/>
      <c r="N145" s="279"/>
    </row>
    <row r="146" spans="2:21" s="291" customFormat="1">
      <c r="B146" s="374" t="str">
        <f t="shared" si="3"/>
        <v>1.6T</v>
      </c>
      <c r="C146" s="394"/>
      <c r="D146" s="279"/>
      <c r="E146" s="279"/>
      <c r="F146" s="279"/>
      <c r="G146" s="279"/>
      <c r="H146" s="279"/>
      <c r="I146" s="279"/>
      <c r="J146" s="279"/>
      <c r="K146" s="279"/>
      <c r="L146" s="279"/>
      <c r="M146" s="279"/>
      <c r="N146" s="279"/>
    </row>
    <row r="147" spans="2:21" s="291" customFormat="1">
      <c r="B147" s="375" t="str">
        <f t="shared" si="3"/>
        <v>Legacy/discontinued</v>
      </c>
      <c r="C147" s="395">
        <f>'Products x speed'!E215+'Products x speed'!E205</f>
        <v>10.04630903</v>
      </c>
      <c r="D147" s="396">
        <f>'Products x speed'!F215+'Products x speed'!F205</f>
        <v>2.2937660000000006</v>
      </c>
      <c r="E147" s="396">
        <f>'Products x speed'!G215+'Products x speed'!G205</f>
        <v>0.4</v>
      </c>
      <c r="F147" s="396"/>
      <c r="G147" s="396"/>
      <c r="H147" s="396"/>
      <c r="I147" s="396"/>
      <c r="J147" s="396"/>
      <c r="K147" s="396"/>
      <c r="L147" s="396"/>
      <c r="M147" s="396"/>
      <c r="N147" s="396"/>
    </row>
    <row r="148" spans="2:21">
      <c r="B148" s="271" t="str">
        <f t="shared" si="3"/>
        <v>Total</v>
      </c>
      <c r="C148" s="395">
        <f t="shared" ref="C148:E148" si="4">SUM(C137:C147)</f>
        <v>2687.6154076451867</v>
      </c>
      <c r="D148" s="396">
        <f t="shared" si="4"/>
        <v>3178.3132920887742</v>
      </c>
      <c r="E148" s="396">
        <f t="shared" si="4"/>
        <v>3388.0175278135298</v>
      </c>
      <c r="F148" s="396"/>
      <c r="G148" s="396"/>
      <c r="H148" s="396"/>
      <c r="I148" s="396"/>
      <c r="J148" s="396"/>
      <c r="K148" s="396"/>
      <c r="L148" s="396"/>
      <c r="M148" s="396"/>
      <c r="N148" s="396"/>
      <c r="O148" s="269" t="e">
        <f>(M148/H148)^(1/5)-1</f>
        <v>#DIV/0!</v>
      </c>
    </row>
    <row r="149" spans="2:21">
      <c r="B149" s="324" t="s">
        <v>90</v>
      </c>
      <c r="C149" s="270"/>
      <c r="D149" s="270">
        <f t="shared" ref="D149:E149" si="5">D148/C148-1</f>
        <v>0.18257741901901192</v>
      </c>
      <c r="E149" s="270">
        <f t="shared" si="5"/>
        <v>6.5979724606361589E-2</v>
      </c>
      <c r="F149" s="270"/>
      <c r="G149" s="270"/>
      <c r="H149" s="270"/>
      <c r="I149" s="270"/>
      <c r="J149" s="270"/>
      <c r="K149" s="270"/>
      <c r="L149" s="270"/>
      <c r="M149" s="270"/>
      <c r="N149" s="270"/>
    </row>
    <row r="150" spans="2:21">
      <c r="B150" s="324" t="s">
        <v>277</v>
      </c>
      <c r="C150" s="270"/>
      <c r="D150" s="270">
        <f t="shared" ref="D150:E150" si="6">SUM(D139:D144)/SUM(C139:C144)-1</f>
        <v>0.33304814229859958</v>
      </c>
      <c r="E150" s="270">
        <f t="shared" si="6"/>
        <v>7.9687318373410143E-2</v>
      </c>
      <c r="F150" s="270"/>
      <c r="G150" s="270"/>
      <c r="H150" s="270"/>
      <c r="I150" s="270"/>
      <c r="J150" s="270"/>
      <c r="K150" s="270"/>
      <c r="L150" s="270"/>
      <c r="M150" s="270"/>
      <c r="N150" s="270"/>
    </row>
    <row r="151" spans="2:21" ht="11.55" customHeight="1">
      <c r="C151" s="67">
        <f>C148-'Products x speed'!E281</f>
        <v>0</v>
      </c>
      <c r="D151" s="67">
        <f>D148-'Products x speed'!F281</f>
        <v>0</v>
      </c>
      <c r="E151" s="67">
        <f>E148-'Products x speed'!G281</f>
        <v>0</v>
      </c>
      <c r="F151" s="67">
        <f>F148-'Products x speed'!H281</f>
        <v>0</v>
      </c>
      <c r="G151" s="67">
        <f>G148-'Products x speed'!I281</f>
        <v>0</v>
      </c>
      <c r="H151" s="67">
        <f>H148-'Products x speed'!J281</f>
        <v>0</v>
      </c>
      <c r="I151" s="67">
        <f>I148-'Products x speed'!K281</f>
        <v>0</v>
      </c>
      <c r="J151" s="67">
        <f>J148-'Products x speed'!L281</f>
        <v>0</v>
      </c>
      <c r="K151" s="67">
        <f>K148-'Products x speed'!M281</f>
        <v>0</v>
      </c>
      <c r="L151" s="67">
        <f>L148-'Products x speed'!N281</f>
        <v>0</v>
      </c>
      <c r="M151" s="67">
        <f>M148-'Products x speed'!O281</f>
        <v>0</v>
      </c>
      <c r="N151" s="67">
        <f>N148-'Products x speed'!P281</f>
        <v>0</v>
      </c>
    </row>
    <row r="153" spans="2:21">
      <c r="B153" s="531" t="s">
        <v>22</v>
      </c>
      <c r="C153" s="380">
        <v>2016</v>
      </c>
      <c r="D153" s="381">
        <v>2017</v>
      </c>
      <c r="E153" s="381">
        <v>2018</v>
      </c>
      <c r="F153" s="381">
        <v>2019</v>
      </c>
      <c r="G153" s="381">
        <v>2020</v>
      </c>
      <c r="H153" s="381">
        <v>2021</v>
      </c>
      <c r="I153" s="381">
        <v>2022</v>
      </c>
      <c r="J153" s="381">
        <v>2023</v>
      </c>
      <c r="K153" s="381">
        <v>2024</v>
      </c>
      <c r="L153" s="381">
        <v>2025</v>
      </c>
      <c r="M153" s="381">
        <v>2026</v>
      </c>
      <c r="N153" s="513">
        <v>2027</v>
      </c>
    </row>
    <row r="154" spans="2:21">
      <c r="B154" s="547" t="s">
        <v>349</v>
      </c>
      <c r="C154" s="158">
        <f>SUM(C119:C124)</f>
        <v>36168361.034999996</v>
      </c>
      <c r="D154" s="159">
        <f t="shared" ref="D154:M154" si="7">SUM(D119:D124)</f>
        <v>38077694.150000006</v>
      </c>
      <c r="E154" s="159">
        <f t="shared" si="7"/>
        <v>46016810.33669468</v>
      </c>
      <c r="F154" s="159">
        <f t="shared" si="7"/>
        <v>0</v>
      </c>
      <c r="G154" s="159">
        <f t="shared" si="7"/>
        <v>0</v>
      </c>
      <c r="H154" s="159">
        <f t="shared" si="7"/>
        <v>0</v>
      </c>
      <c r="I154" s="159">
        <f t="shared" si="7"/>
        <v>0</v>
      </c>
      <c r="J154" s="159">
        <f t="shared" si="7"/>
        <v>0</v>
      </c>
      <c r="K154" s="159">
        <f t="shared" si="7"/>
        <v>0</v>
      </c>
      <c r="L154" s="159">
        <f t="shared" si="7"/>
        <v>0</v>
      </c>
      <c r="M154" s="159">
        <f t="shared" si="7"/>
        <v>0</v>
      </c>
      <c r="N154" s="159">
        <f t="shared" ref="N154" si="8">SUM(N119:N124)</f>
        <v>0</v>
      </c>
    </row>
    <row r="155" spans="2:21">
      <c r="B155" s="548" t="s">
        <v>350</v>
      </c>
      <c r="C155" s="162">
        <f>SUM(C125:C127)</f>
        <v>0</v>
      </c>
      <c r="D155" s="163">
        <f>SUM(D125:D128)</f>
        <v>89</v>
      </c>
      <c r="E155" s="163">
        <f t="shared" ref="E155:M155" si="9">SUM(E125:E128)</f>
        <v>40000</v>
      </c>
      <c r="F155" s="163">
        <f t="shared" si="9"/>
        <v>0</v>
      </c>
      <c r="G155" s="163">
        <f t="shared" si="9"/>
        <v>0</v>
      </c>
      <c r="H155" s="163">
        <f t="shared" si="9"/>
        <v>0</v>
      </c>
      <c r="I155" s="163">
        <f t="shared" si="9"/>
        <v>0</v>
      </c>
      <c r="J155" s="163">
        <f t="shared" si="9"/>
        <v>0</v>
      </c>
      <c r="K155" s="163">
        <f t="shared" si="9"/>
        <v>0</v>
      </c>
      <c r="L155" s="163">
        <f t="shared" si="9"/>
        <v>0</v>
      </c>
      <c r="M155" s="163">
        <f t="shared" si="9"/>
        <v>0</v>
      </c>
      <c r="N155" s="163">
        <f t="shared" ref="N155" si="10">SUM(N125:N128)</f>
        <v>0</v>
      </c>
      <c r="U155" s="651"/>
    </row>
    <row r="156" spans="2:21">
      <c r="B156" s="324"/>
      <c r="C156" s="270"/>
      <c r="D156" s="270"/>
      <c r="E156" s="270"/>
      <c r="F156" s="270"/>
      <c r="G156" s="270"/>
      <c r="H156" s="270"/>
      <c r="I156" s="270"/>
      <c r="J156" s="270"/>
      <c r="K156" s="270"/>
      <c r="L156" s="270"/>
      <c r="M156" s="270"/>
      <c r="N156" s="270"/>
      <c r="U156" s="651"/>
    </row>
    <row r="157" spans="2:21">
      <c r="B157" s="531" t="s">
        <v>15</v>
      </c>
      <c r="C157" s="385">
        <v>2016</v>
      </c>
      <c r="D157" s="386">
        <v>2017</v>
      </c>
      <c r="E157" s="386">
        <v>2018</v>
      </c>
      <c r="F157" s="386">
        <v>2019</v>
      </c>
      <c r="G157" s="386">
        <v>2020</v>
      </c>
      <c r="H157" s="386">
        <v>2021</v>
      </c>
      <c r="I157" s="386">
        <v>2022</v>
      </c>
      <c r="J157" s="386">
        <v>2023</v>
      </c>
      <c r="K157" s="386">
        <v>2024</v>
      </c>
      <c r="L157" s="386">
        <v>2025</v>
      </c>
      <c r="M157" s="386">
        <v>2026</v>
      </c>
      <c r="N157" s="652">
        <v>2027</v>
      </c>
    </row>
    <row r="158" spans="2:21">
      <c r="B158" s="547" t="s">
        <v>349</v>
      </c>
      <c r="C158" s="171">
        <f t="shared" ref="C158:L158" si="11">SUM(C137:C142)</f>
        <v>2677.5690986151867</v>
      </c>
      <c r="D158" s="168">
        <f t="shared" si="11"/>
        <v>3174.6712260887743</v>
      </c>
      <c r="E158" s="168">
        <f t="shared" si="11"/>
        <v>3337.3055278135298</v>
      </c>
      <c r="F158" s="168">
        <f t="shared" si="11"/>
        <v>0</v>
      </c>
      <c r="G158" s="168">
        <f t="shared" si="11"/>
        <v>0</v>
      </c>
      <c r="H158" s="168">
        <f t="shared" si="11"/>
        <v>0</v>
      </c>
      <c r="I158" s="168">
        <f t="shared" si="11"/>
        <v>0</v>
      </c>
      <c r="J158" s="168">
        <f t="shared" si="11"/>
        <v>0</v>
      </c>
      <c r="K158" s="168">
        <f t="shared" si="11"/>
        <v>0</v>
      </c>
      <c r="L158" s="168">
        <f t="shared" si="11"/>
        <v>0</v>
      </c>
      <c r="M158" s="168">
        <f t="shared" ref="M158:N158" si="12">SUM(M137:M142)</f>
        <v>0</v>
      </c>
      <c r="N158" s="169">
        <f t="shared" si="12"/>
        <v>0</v>
      </c>
    </row>
    <row r="159" spans="2:21">
      <c r="B159" s="548" t="s">
        <v>350</v>
      </c>
      <c r="C159" s="177">
        <f t="shared" ref="C159" si="13">SUM(C143:C145)</f>
        <v>0</v>
      </c>
      <c r="D159" s="166">
        <f>SUM(D143:D146)</f>
        <v>1.3482999999999998</v>
      </c>
      <c r="E159" s="166">
        <f t="shared" ref="E159:M159" si="14">SUM(E143:E146)</f>
        <v>50.312000000000005</v>
      </c>
      <c r="F159" s="166">
        <f t="shared" si="14"/>
        <v>0</v>
      </c>
      <c r="G159" s="166">
        <f t="shared" si="14"/>
        <v>0</v>
      </c>
      <c r="H159" s="166">
        <f t="shared" si="14"/>
        <v>0</v>
      </c>
      <c r="I159" s="166">
        <f t="shared" si="14"/>
        <v>0</v>
      </c>
      <c r="J159" s="166">
        <f t="shared" si="14"/>
        <v>0</v>
      </c>
      <c r="K159" s="166">
        <f t="shared" si="14"/>
        <v>0</v>
      </c>
      <c r="L159" s="166">
        <f t="shared" si="14"/>
        <v>0</v>
      </c>
      <c r="M159" s="166">
        <f t="shared" si="14"/>
        <v>0</v>
      </c>
      <c r="N159" s="167">
        <f t="shared" ref="N159" si="15">SUM(N143:N146)</f>
        <v>0</v>
      </c>
      <c r="U159" s="614"/>
    </row>
    <row r="160" spans="2:21">
      <c r="B160" s="324"/>
      <c r="C160" s="270"/>
      <c r="D160" s="270"/>
      <c r="E160" s="270"/>
      <c r="F160" s="270"/>
      <c r="G160" s="270"/>
      <c r="H160" s="270"/>
      <c r="I160" s="270"/>
      <c r="J160" s="270"/>
      <c r="K160" s="270"/>
      <c r="L160" s="270"/>
      <c r="M160" s="270"/>
      <c r="N160" s="270"/>
      <c r="U160" s="614"/>
    </row>
    <row r="161" spans="2:20">
      <c r="B161" s="531" t="s">
        <v>15</v>
      </c>
      <c r="C161" s="380">
        <v>2016</v>
      </c>
      <c r="D161" s="381">
        <v>2017</v>
      </c>
      <c r="E161" s="381">
        <v>2018</v>
      </c>
      <c r="F161" s="381">
        <v>2019</v>
      </c>
      <c r="G161" s="381">
        <v>2020</v>
      </c>
      <c r="H161" s="381">
        <v>2021</v>
      </c>
      <c r="I161" s="381">
        <v>2022</v>
      </c>
      <c r="J161" s="381">
        <v>2023</v>
      </c>
      <c r="K161" s="381">
        <v>2024</v>
      </c>
      <c r="L161" s="381">
        <v>2025</v>
      </c>
      <c r="M161" s="381">
        <v>2026</v>
      </c>
      <c r="N161" s="513">
        <v>2027</v>
      </c>
    </row>
    <row r="162" spans="2:20">
      <c r="B162" s="549" t="s">
        <v>362</v>
      </c>
      <c r="C162" s="105">
        <f>SUM(C137:C141)</f>
        <v>1534.4101351455383</v>
      </c>
      <c r="D162" s="106">
        <f t="shared" ref="D162:L162" si="16">SUM(D137:D141)</f>
        <v>1520.6968341146207</v>
      </c>
      <c r="E162" s="106">
        <f t="shared" si="16"/>
        <v>1181.7002607083559</v>
      </c>
      <c r="F162" s="106">
        <f t="shared" si="16"/>
        <v>0</v>
      </c>
      <c r="G162" s="106">
        <f t="shared" si="16"/>
        <v>0</v>
      </c>
      <c r="H162" s="106">
        <f t="shared" si="16"/>
        <v>0</v>
      </c>
      <c r="I162" s="106">
        <f t="shared" si="16"/>
        <v>0</v>
      </c>
      <c r="J162" s="106">
        <f t="shared" si="16"/>
        <v>0</v>
      </c>
      <c r="K162" s="106">
        <f t="shared" si="16"/>
        <v>0</v>
      </c>
      <c r="L162" s="106">
        <f t="shared" si="16"/>
        <v>0</v>
      </c>
      <c r="M162" s="106">
        <f t="shared" ref="M162:N162" si="17">SUM(M137:M141)</f>
        <v>0</v>
      </c>
      <c r="N162" s="107">
        <f t="shared" si="17"/>
        <v>0</v>
      </c>
    </row>
    <row r="163" spans="2:20">
      <c r="B163" s="324"/>
      <c r="C163" s="67"/>
      <c r="D163" s="270"/>
      <c r="E163" s="270"/>
      <c r="F163" s="270"/>
      <c r="G163" s="270"/>
      <c r="H163" s="270"/>
      <c r="I163" s="270"/>
      <c r="J163" s="270"/>
      <c r="K163" s="270"/>
      <c r="L163" s="270"/>
      <c r="M163" s="270"/>
      <c r="N163" s="270"/>
      <c r="O163" s="270"/>
      <c r="P163" s="270"/>
      <c r="Q163" s="270"/>
      <c r="R163" s="270"/>
      <c r="S163" s="270"/>
      <c r="T163" s="270"/>
    </row>
    <row r="165" spans="2:20" ht="21">
      <c r="B165" s="148" t="s">
        <v>417</v>
      </c>
      <c r="H165" s="148" t="s">
        <v>416</v>
      </c>
    </row>
    <row r="188" spans="2:21" s="4" customFormat="1" ht="22.5" customHeight="1">
      <c r="B188" s="17"/>
      <c r="U188" s="29"/>
    </row>
    <row r="190" spans="2:21" s="4" customFormat="1" ht="13.5" customHeight="1">
      <c r="B190" s="17"/>
      <c r="U190" s="29"/>
    </row>
    <row r="191" spans="2:21" s="4" customFormat="1" ht="13.5" customHeight="1">
      <c r="B191" s="17"/>
      <c r="U191" s="29"/>
    </row>
    <row r="192" spans="2:21" s="4" customFormat="1" ht="13.5" customHeight="1">
      <c r="B192" s="17"/>
      <c r="U192" s="29"/>
    </row>
    <row r="193" spans="2:21" s="4" customFormat="1" ht="13.5" customHeight="1">
      <c r="B193" s="17"/>
      <c r="U193" s="29"/>
    </row>
    <row r="194" spans="2:21" s="4" customFormat="1" ht="13.5" customHeight="1">
      <c r="B194" s="17"/>
      <c r="U194" s="29"/>
    </row>
    <row r="195" spans="2:21" s="4" customFormat="1" ht="13.2">
      <c r="U195" s="29"/>
    </row>
    <row r="196" spans="2:21" s="4" customFormat="1" ht="13.2">
      <c r="U196" s="29"/>
    </row>
    <row r="197" spans="2:21" s="4" customFormat="1" ht="13.2">
      <c r="U197" s="29"/>
    </row>
    <row r="198" spans="2:21" s="4" customFormat="1" ht="13.2">
      <c r="U198" s="29"/>
    </row>
    <row r="199" spans="2:21" s="4" customFormat="1" ht="13.2">
      <c r="U199" s="29"/>
    </row>
    <row r="200" spans="2:21" s="4" customFormat="1" ht="13.2">
      <c r="U200" s="29"/>
    </row>
    <row r="201" spans="2:21" s="4" customFormat="1" ht="13.2">
      <c r="U201" s="29"/>
    </row>
    <row r="202" spans="2:21" s="4" customFormat="1" ht="13.2">
      <c r="U202" s="29"/>
    </row>
    <row r="203" spans="2:21" s="4" customFormat="1" ht="13.2">
      <c r="U203" s="29"/>
    </row>
    <row r="204" spans="2:21" s="4" customFormat="1" ht="13.2">
      <c r="U204" s="29"/>
    </row>
    <row r="205" spans="2:21" s="4" customFormat="1" ht="13.2">
      <c r="U205" s="29"/>
    </row>
    <row r="206" spans="2:21" s="4" customFormat="1" ht="13.2">
      <c r="U206" s="29"/>
    </row>
    <row r="207" spans="2:21" s="4" customFormat="1" ht="13.2">
      <c r="B207" s="3"/>
      <c r="U207" s="29"/>
    </row>
    <row r="208" spans="2:21" s="4" customFormat="1">
      <c r="C208" s="385">
        <v>2016</v>
      </c>
      <c r="D208" s="386">
        <v>2017</v>
      </c>
      <c r="E208" s="386">
        <v>2018</v>
      </c>
      <c r="F208" s="386">
        <v>2019</v>
      </c>
      <c r="G208" s="386">
        <v>2020</v>
      </c>
      <c r="H208" s="386">
        <v>2021</v>
      </c>
      <c r="I208" s="386">
        <v>2022</v>
      </c>
      <c r="J208" s="386">
        <v>2023</v>
      </c>
      <c r="K208" s="386">
        <v>2024</v>
      </c>
      <c r="L208" s="386">
        <v>2025</v>
      </c>
      <c r="M208" s="386">
        <v>2026</v>
      </c>
      <c r="N208" s="386">
        <v>2027</v>
      </c>
      <c r="U208" s="29"/>
    </row>
    <row r="209" spans="1:21" s="4" customFormat="1">
      <c r="B209" s="397" t="s">
        <v>124</v>
      </c>
      <c r="C209" s="550"/>
      <c r="D209" s="398"/>
      <c r="E209" s="398"/>
      <c r="F209" s="398"/>
      <c r="G209" s="398"/>
      <c r="H209" s="398"/>
      <c r="I209" s="398"/>
      <c r="J209" s="398"/>
      <c r="K209" s="398"/>
      <c r="L209" s="398"/>
      <c r="M209" s="398"/>
      <c r="N209" s="398"/>
      <c r="U209" s="29"/>
    </row>
    <row r="210" spans="1:21" s="4" customFormat="1">
      <c r="B210" s="283" t="s">
        <v>177</v>
      </c>
      <c r="C210" s="551">
        <f>'Products x speed'!E9</f>
        <v>4496175.0999999996</v>
      </c>
      <c r="D210" s="399">
        <f>'Products x speed'!F9</f>
        <v>4278484</v>
      </c>
      <c r="E210" s="399">
        <f>'Products x speed'!G9</f>
        <v>4962296</v>
      </c>
      <c r="F210" s="399"/>
      <c r="G210" s="399"/>
      <c r="H210" s="399"/>
      <c r="I210" s="399"/>
      <c r="J210" s="399"/>
      <c r="K210" s="399"/>
      <c r="L210" s="399"/>
      <c r="M210" s="399"/>
      <c r="N210" s="399"/>
      <c r="U210" s="29"/>
    </row>
    <row r="211" spans="1:21" s="4" customFormat="1" ht="15.6">
      <c r="B211" s="283" t="s">
        <v>70</v>
      </c>
      <c r="C211" s="551">
        <f>+'Products x speed'!E14+'Products x speed'!E15+'Products x speed'!E16</f>
        <v>11471385.93</v>
      </c>
      <c r="D211" s="399">
        <f>+'Products x speed'!F14+'Products x speed'!F15+'Products x speed'!F16</f>
        <v>12691744</v>
      </c>
      <c r="E211" s="399">
        <f>+'Products x speed'!G14+'Products x speed'!G15+'Products x speed'!G16</f>
        <v>14084264</v>
      </c>
      <c r="F211" s="399"/>
      <c r="G211" s="399"/>
      <c r="H211" s="399"/>
      <c r="I211" s="399"/>
      <c r="J211" s="399"/>
      <c r="K211" s="399"/>
      <c r="L211" s="399"/>
      <c r="M211" s="399"/>
      <c r="N211" s="399"/>
      <c r="U211" s="539"/>
    </row>
    <row r="212" spans="1:21" s="4" customFormat="1" ht="15.6">
      <c r="B212" s="283" t="s">
        <v>71</v>
      </c>
      <c r="C212" s="551">
        <f>'Products x speed'!E24</f>
        <v>7146</v>
      </c>
      <c r="D212" s="399">
        <f>'Products x speed'!F24</f>
        <v>95865</v>
      </c>
      <c r="E212" s="399">
        <f>'Products x speed'!G24</f>
        <v>318978</v>
      </c>
      <c r="F212" s="399"/>
      <c r="G212" s="399"/>
      <c r="H212" s="399"/>
      <c r="I212" s="399"/>
      <c r="J212" s="399"/>
      <c r="K212" s="399"/>
      <c r="L212" s="399"/>
      <c r="M212" s="399"/>
      <c r="N212" s="399"/>
      <c r="U212" s="539"/>
    </row>
    <row r="213" spans="1:21" s="4" customFormat="1" ht="15.6">
      <c r="A213" s="269"/>
      <c r="B213" s="283" t="s">
        <v>138</v>
      </c>
      <c r="C213" s="551">
        <f>'Products x speed'!E27+'Products x speed'!E28+'Products x speed'!E29</f>
        <v>1529498</v>
      </c>
      <c r="D213" s="399">
        <f>'Products x speed'!F27+'Products x speed'!F28+'Products x speed'!F29</f>
        <v>2010866</v>
      </c>
      <c r="E213" s="399">
        <f>'Products x speed'!G27+'Products x speed'!G28+'Products x speed'!G29</f>
        <v>2046033.5</v>
      </c>
      <c r="F213" s="399"/>
      <c r="G213" s="399"/>
      <c r="H213" s="399"/>
      <c r="I213" s="399"/>
      <c r="J213" s="399"/>
      <c r="K213" s="399"/>
      <c r="L213" s="399"/>
      <c r="M213" s="399"/>
      <c r="N213" s="399"/>
      <c r="U213" s="540"/>
    </row>
    <row r="214" spans="1:21" s="4" customFormat="1" ht="15.6">
      <c r="A214" s="269"/>
      <c r="B214" s="283" t="s">
        <v>147</v>
      </c>
      <c r="C214" s="551"/>
      <c r="D214" s="399"/>
      <c r="E214" s="399">
        <f>'Products x speed'!G36</f>
        <v>0</v>
      </c>
      <c r="F214" s="399"/>
      <c r="G214" s="399"/>
      <c r="H214" s="399"/>
      <c r="I214" s="399"/>
      <c r="J214" s="399"/>
      <c r="K214" s="399"/>
      <c r="L214" s="399"/>
      <c r="M214" s="399"/>
      <c r="N214" s="399"/>
      <c r="U214" s="540"/>
    </row>
    <row r="215" spans="1:21" s="4" customFormat="1">
      <c r="A215" s="269"/>
      <c r="B215" s="283" t="s">
        <v>156</v>
      </c>
      <c r="C215" s="551">
        <f>SUM('Products x speed'!E41:E46)</f>
        <v>299241</v>
      </c>
      <c r="D215" s="399">
        <f>SUM('Products x speed'!F41:F46)</f>
        <v>631974</v>
      </c>
      <c r="E215" s="399">
        <f>SUM('Products x speed'!G41:G46)</f>
        <v>2082911</v>
      </c>
      <c r="F215" s="399"/>
      <c r="G215" s="399"/>
      <c r="H215" s="399"/>
      <c r="I215" s="399"/>
      <c r="J215" s="399"/>
      <c r="K215" s="399"/>
      <c r="L215" s="399"/>
      <c r="M215" s="399"/>
      <c r="N215" s="399"/>
      <c r="U215" s="29"/>
    </row>
    <row r="216" spans="1:21" s="4" customFormat="1">
      <c r="A216" s="269"/>
      <c r="B216" s="283" t="s">
        <v>157</v>
      </c>
      <c r="C216" s="551"/>
      <c r="D216" s="399">
        <f>'Products x speed'!F60</f>
        <v>0</v>
      </c>
      <c r="E216" s="399">
        <f>'Products x speed'!G60</f>
        <v>500</v>
      </c>
      <c r="F216" s="399"/>
      <c r="G216" s="399"/>
      <c r="H216" s="399"/>
      <c r="I216" s="399"/>
      <c r="J216" s="399"/>
      <c r="K216" s="399"/>
      <c r="L216" s="399"/>
      <c r="M216" s="399"/>
      <c r="N216" s="399"/>
      <c r="U216" s="29"/>
    </row>
    <row r="217" spans="1:21" s="4" customFormat="1">
      <c r="A217" s="269"/>
      <c r="B217" s="283" t="s">
        <v>158</v>
      </c>
      <c r="C217" s="551"/>
      <c r="D217" s="399">
        <f>'Products x speed'!F66+'Products x speed'!F65</f>
        <v>0</v>
      </c>
      <c r="E217" s="399">
        <f>'Products x speed'!G66+'Products x speed'!G65</f>
        <v>23000</v>
      </c>
      <c r="F217" s="399"/>
      <c r="G217" s="399"/>
      <c r="H217" s="399"/>
      <c r="I217" s="399"/>
      <c r="J217" s="399"/>
      <c r="K217" s="399"/>
      <c r="L217" s="399"/>
      <c r="M217" s="399"/>
      <c r="N217" s="399"/>
      <c r="U217" s="29"/>
    </row>
    <row r="218" spans="1:21" s="4" customFormat="1">
      <c r="A218" s="269"/>
      <c r="B218" s="283" t="s">
        <v>478</v>
      </c>
      <c r="C218" s="551"/>
      <c r="D218" s="399"/>
      <c r="E218" s="399"/>
      <c r="F218" s="399"/>
      <c r="G218" s="399"/>
      <c r="H218" s="399"/>
      <c r="I218" s="399"/>
      <c r="J218" s="399"/>
      <c r="K218" s="399"/>
      <c r="L218" s="399"/>
      <c r="M218" s="399"/>
      <c r="N218" s="399"/>
      <c r="U218" s="29"/>
    </row>
    <row r="219" spans="1:21" s="29" customFormat="1">
      <c r="A219" s="291"/>
      <c r="B219" s="283" t="s">
        <v>479</v>
      </c>
      <c r="C219" s="551"/>
      <c r="D219" s="399"/>
      <c r="E219" s="399"/>
      <c r="F219" s="399"/>
      <c r="G219" s="399"/>
      <c r="H219" s="399"/>
      <c r="I219" s="399"/>
      <c r="J219" s="399"/>
      <c r="K219" s="399"/>
      <c r="L219" s="399"/>
      <c r="M219" s="399"/>
      <c r="N219" s="399"/>
    </row>
    <row r="220" spans="1:21" s="4" customFormat="1">
      <c r="A220" s="269"/>
      <c r="B220" s="400" t="s">
        <v>132</v>
      </c>
      <c r="C220" s="552"/>
      <c r="D220" s="401"/>
      <c r="E220" s="401"/>
      <c r="F220" s="401"/>
      <c r="G220" s="401"/>
      <c r="H220" s="401"/>
      <c r="I220" s="401"/>
      <c r="J220" s="401"/>
      <c r="K220" s="401"/>
      <c r="L220" s="401"/>
      <c r="M220" s="401"/>
      <c r="N220" s="401"/>
      <c r="U220" s="29"/>
    </row>
    <row r="221" spans="1:21" s="4" customFormat="1">
      <c r="A221" s="269"/>
      <c r="B221" s="402" t="s">
        <v>178</v>
      </c>
      <c r="C221" s="552">
        <f>'Products x speed'!E10+'Products x speed'!E11+'Products x speed'!E12</f>
        <v>9071235.0050000008</v>
      </c>
      <c r="D221" s="403">
        <f>'Products x speed'!F10+'Products x speed'!F11+'Products x speed'!F12</f>
        <v>6995211.0500000007</v>
      </c>
      <c r="E221" s="403">
        <f>'Products x speed'!G10+'Products x speed'!G11+'Products x speed'!G12</f>
        <v>9376680</v>
      </c>
      <c r="F221" s="403"/>
      <c r="G221" s="403"/>
      <c r="H221" s="403"/>
      <c r="I221" s="403"/>
      <c r="J221" s="403"/>
      <c r="K221" s="403"/>
      <c r="L221" s="403"/>
      <c r="M221" s="403"/>
      <c r="N221" s="403"/>
      <c r="U221" s="29"/>
    </row>
    <row r="222" spans="1:21" s="4" customFormat="1">
      <c r="A222" s="269"/>
      <c r="B222" s="402" t="s">
        <v>73</v>
      </c>
      <c r="C222" s="552">
        <f>SUM('Products x speed'!E17:E22)</f>
        <v>7045433</v>
      </c>
      <c r="D222" s="403">
        <f>SUM('Products x speed'!F17:F22)</f>
        <v>7253278.0999999996</v>
      </c>
      <c r="E222" s="403">
        <f>SUM('Products x speed'!G17:G22)</f>
        <v>7932741.0999999996</v>
      </c>
      <c r="F222" s="403"/>
      <c r="G222" s="403"/>
      <c r="H222" s="403"/>
      <c r="I222" s="403"/>
      <c r="J222" s="403"/>
      <c r="K222" s="403"/>
      <c r="L222" s="403"/>
      <c r="M222" s="403"/>
      <c r="N222" s="403"/>
      <c r="U222" s="29"/>
    </row>
    <row r="223" spans="1:21" s="4" customFormat="1">
      <c r="A223" s="269"/>
      <c r="B223" s="402" t="s">
        <v>74</v>
      </c>
      <c r="C223" s="552">
        <f>SUM('Products x speed'!E25:E26)</f>
        <v>4548</v>
      </c>
      <c r="D223" s="403">
        <f>SUM('Products x speed'!F25:F26)</f>
        <v>17462</v>
      </c>
      <c r="E223" s="403">
        <f>SUM('Products x speed'!G25:G26)</f>
        <v>56709</v>
      </c>
      <c r="F223" s="403"/>
      <c r="G223" s="403"/>
      <c r="H223" s="403"/>
      <c r="I223" s="403"/>
      <c r="J223" s="403"/>
      <c r="K223" s="403"/>
      <c r="L223" s="403"/>
      <c r="M223" s="403"/>
      <c r="N223" s="403"/>
      <c r="U223" s="29"/>
    </row>
    <row r="224" spans="1:21" s="4" customFormat="1">
      <c r="A224" s="269"/>
      <c r="B224" s="402" t="s">
        <v>141</v>
      </c>
      <c r="C224" s="552">
        <f>SUM('Products x speed'!E30:E35)</f>
        <v>1623570</v>
      </c>
      <c r="D224" s="403">
        <f>SUM('Products x speed'!F30:F35)</f>
        <v>1853294</v>
      </c>
      <c r="E224" s="403">
        <f>SUM('Products x speed'!G30:G35)</f>
        <v>1052090</v>
      </c>
      <c r="F224" s="403"/>
      <c r="G224" s="403"/>
      <c r="H224" s="403"/>
      <c r="I224" s="403"/>
      <c r="J224" s="403"/>
      <c r="K224" s="403"/>
      <c r="L224" s="403"/>
      <c r="M224" s="403"/>
      <c r="N224" s="403"/>
      <c r="U224" s="29"/>
    </row>
    <row r="225" spans="1:21" s="4" customFormat="1">
      <c r="A225" s="269"/>
      <c r="B225" s="402" t="s">
        <v>146</v>
      </c>
      <c r="C225" s="552"/>
      <c r="D225" s="403"/>
      <c r="E225" s="403">
        <f>SUM('Products x speed'!G37:G40)</f>
        <v>0</v>
      </c>
      <c r="F225" s="403"/>
      <c r="G225" s="403"/>
      <c r="H225" s="403"/>
      <c r="I225" s="403"/>
      <c r="J225" s="403"/>
      <c r="K225" s="403"/>
      <c r="L225" s="403"/>
      <c r="M225" s="403"/>
      <c r="N225" s="403"/>
      <c r="U225" s="29"/>
    </row>
    <row r="226" spans="1:21" s="4" customFormat="1">
      <c r="A226" s="269"/>
      <c r="B226" s="402" t="s">
        <v>140</v>
      </c>
      <c r="C226" s="552">
        <f>SUM('Products x speed'!E47:E59)</f>
        <v>620129</v>
      </c>
      <c r="D226" s="403">
        <f>SUM('Products x speed'!F47:F59)</f>
        <v>2249516</v>
      </c>
      <c r="E226" s="403">
        <f>SUM('Products x speed'!G47:G59)</f>
        <v>4104107.7366946777</v>
      </c>
      <c r="F226" s="403"/>
      <c r="G226" s="403"/>
      <c r="H226" s="403"/>
      <c r="I226" s="403"/>
      <c r="J226" s="403"/>
      <c r="K226" s="403"/>
      <c r="L226" s="403"/>
      <c r="M226" s="403"/>
      <c r="N226" s="403"/>
      <c r="U226" s="29"/>
    </row>
    <row r="227" spans="1:21" s="4" customFormat="1">
      <c r="A227" s="269"/>
      <c r="B227" s="402" t="s">
        <v>160</v>
      </c>
      <c r="C227" s="552"/>
      <c r="D227" s="403">
        <f>SUM('Products x speed'!F61:F64)</f>
        <v>0</v>
      </c>
      <c r="E227" s="403">
        <f>SUM('Products x speed'!G61:G64)</f>
        <v>500</v>
      </c>
      <c r="F227" s="403"/>
      <c r="G227" s="403"/>
      <c r="H227" s="403"/>
      <c r="I227" s="403"/>
      <c r="J227" s="403"/>
      <c r="K227" s="403"/>
      <c r="L227" s="403"/>
      <c r="M227" s="403"/>
      <c r="N227" s="403"/>
      <c r="U227" s="29"/>
    </row>
    <row r="228" spans="1:21" s="4" customFormat="1">
      <c r="A228" s="269"/>
      <c r="B228" s="402" t="s">
        <v>161</v>
      </c>
      <c r="C228" s="552"/>
      <c r="D228" s="403">
        <f>SUM('Products x speed'!F67:F71)</f>
        <v>89</v>
      </c>
      <c r="E228" s="403">
        <f>SUM('Products x speed'!G67:G71)</f>
        <v>16000</v>
      </c>
      <c r="F228" s="403"/>
      <c r="G228" s="403"/>
      <c r="H228" s="403"/>
      <c r="I228" s="403"/>
      <c r="J228" s="403"/>
      <c r="K228" s="403"/>
      <c r="L228" s="403"/>
      <c r="M228" s="403"/>
      <c r="N228" s="403"/>
      <c r="U228" s="29"/>
    </row>
    <row r="229" spans="1:21" s="4" customFormat="1">
      <c r="A229" s="269"/>
      <c r="B229" s="402" t="s">
        <v>480</v>
      </c>
      <c r="C229" s="552"/>
      <c r="D229" s="403"/>
      <c r="E229" s="403"/>
      <c r="F229" s="403"/>
      <c r="G229" s="403"/>
      <c r="H229" s="403"/>
      <c r="I229" s="403"/>
      <c r="J229" s="403"/>
      <c r="K229" s="403"/>
      <c r="L229" s="403"/>
      <c r="M229" s="403"/>
      <c r="N229" s="403"/>
      <c r="U229" s="29"/>
    </row>
    <row r="230" spans="1:21" s="4" customFormat="1">
      <c r="A230" s="269"/>
      <c r="B230" s="646" t="s">
        <v>481</v>
      </c>
      <c r="C230" s="401"/>
      <c r="D230" s="403"/>
      <c r="E230" s="403"/>
      <c r="F230" s="403"/>
      <c r="G230" s="403"/>
      <c r="H230" s="403"/>
      <c r="I230" s="403"/>
      <c r="J230" s="403"/>
      <c r="K230" s="403"/>
      <c r="L230" s="403"/>
      <c r="M230" s="403"/>
      <c r="N230" s="403"/>
      <c r="U230" s="29"/>
    </row>
    <row r="231" spans="1:21" s="4" customFormat="1">
      <c r="A231" s="269"/>
      <c r="B231" s="182"/>
      <c r="U231" s="29"/>
    </row>
    <row r="232" spans="1:21" s="4" customFormat="1">
      <c r="A232" s="269"/>
      <c r="B232" s="647" t="s">
        <v>159</v>
      </c>
      <c r="C232" s="292"/>
      <c r="D232" s="292"/>
      <c r="E232" s="292"/>
      <c r="F232" s="292"/>
      <c r="G232" s="292"/>
      <c r="H232" s="292"/>
      <c r="I232" s="292"/>
      <c r="J232" s="292"/>
      <c r="U232" s="29"/>
    </row>
    <row r="233" spans="1:21" s="4" customFormat="1">
      <c r="A233" s="269"/>
      <c r="B233" s="648" t="s">
        <v>482</v>
      </c>
      <c r="C233" s="623">
        <f>(C210+C221)/SUM(C210:C230)</f>
        <v>0.37511818939959324</v>
      </c>
      <c r="D233" s="623">
        <f t="shared" ref="D233:E233" si="18">(D210+D221)/SUM(D210:D230)</f>
        <v>0.2960701521301668</v>
      </c>
      <c r="E233" s="623">
        <f t="shared" si="18"/>
        <v>0.31133237180725382</v>
      </c>
      <c r="F233" s="623"/>
      <c r="G233" s="623"/>
      <c r="H233" s="623"/>
      <c r="I233" s="623"/>
      <c r="J233" s="623"/>
      <c r="K233" s="623"/>
      <c r="L233" s="623"/>
      <c r="M233" s="623"/>
      <c r="N233" s="623"/>
      <c r="U233" s="29"/>
    </row>
    <row r="234" spans="1:21" s="4" customFormat="1">
      <c r="A234" s="269"/>
      <c r="B234" s="648" t="s">
        <v>483</v>
      </c>
      <c r="C234" s="623">
        <f>(C211+C222)/SUM(C$210:C$228)</f>
        <v>0.51196179202262815</v>
      </c>
      <c r="D234" s="623">
        <f t="shared" ref="D234:E234" si="19">(D211+D222)/SUM(D$210:D$228)</f>
        <v>0.52379682980572895</v>
      </c>
      <c r="E234" s="623">
        <f t="shared" si="19"/>
        <v>0.47804016255243081</v>
      </c>
      <c r="F234" s="623"/>
      <c r="G234" s="623"/>
      <c r="H234" s="623"/>
      <c r="I234" s="623"/>
      <c r="J234" s="623"/>
      <c r="K234" s="623"/>
      <c r="L234" s="623"/>
      <c r="M234" s="623"/>
      <c r="N234" s="623"/>
      <c r="U234" s="29"/>
    </row>
    <row r="235" spans="1:21" s="4" customFormat="1">
      <c r="A235" s="269"/>
      <c r="B235" s="648" t="s">
        <v>484</v>
      </c>
      <c r="C235" s="623">
        <f t="shared" ref="C235:E235" si="20">(C212+C223)/SUM(C$210:C$228)</f>
        <v>3.2332125828659351E-4</v>
      </c>
      <c r="D235" s="623">
        <f t="shared" si="20"/>
        <v>2.976197420778683E-3</v>
      </c>
      <c r="E235" s="623">
        <f t="shared" si="20"/>
        <v>8.1570346980950233E-3</v>
      </c>
      <c r="F235" s="623"/>
      <c r="G235" s="623"/>
      <c r="H235" s="623"/>
      <c r="I235" s="623"/>
      <c r="J235" s="623"/>
      <c r="K235" s="623"/>
      <c r="L235" s="623"/>
      <c r="M235" s="623"/>
      <c r="N235" s="623"/>
      <c r="U235" s="29"/>
    </row>
    <row r="236" spans="1:21" s="4" customFormat="1">
      <c r="A236" s="269"/>
      <c r="B236" s="648" t="s">
        <v>485</v>
      </c>
      <c r="C236" s="623">
        <f t="shared" ref="C236:E236" si="21">(C213+C224)/SUM(C$210:C$228)</f>
        <v>8.7177519516264138E-2</v>
      </c>
      <c r="D236" s="623">
        <f t="shared" si="21"/>
        <v>0.10148069767554208</v>
      </c>
      <c r="E236" s="623">
        <f t="shared" si="21"/>
        <v>6.7267435094862466E-2</v>
      </c>
      <c r="F236" s="623"/>
      <c r="G236" s="623"/>
      <c r="H236" s="623"/>
      <c r="I236" s="623"/>
      <c r="J236" s="623"/>
      <c r="K236" s="623"/>
      <c r="L236" s="623"/>
      <c r="M236" s="623"/>
      <c r="N236" s="623"/>
      <c r="U236" s="29"/>
    </row>
    <row r="237" spans="1:21" s="4" customFormat="1">
      <c r="B237" s="648" t="s">
        <v>249</v>
      </c>
      <c r="C237" s="623">
        <f t="shared" ref="C237:E237" si="22">(C214+C225)/SUM(C$210:C$228)</f>
        <v>0</v>
      </c>
      <c r="D237" s="623">
        <f t="shared" si="22"/>
        <v>0</v>
      </c>
      <c r="E237" s="623">
        <f t="shared" si="22"/>
        <v>0</v>
      </c>
      <c r="F237" s="623"/>
      <c r="G237" s="623"/>
      <c r="H237" s="623"/>
      <c r="I237" s="623"/>
      <c r="J237" s="623"/>
      <c r="K237" s="623"/>
      <c r="L237" s="623"/>
      <c r="M237" s="623"/>
      <c r="N237" s="623"/>
      <c r="U237" s="29"/>
    </row>
    <row r="238" spans="1:21" s="4" customFormat="1">
      <c r="B238" s="648" t="s">
        <v>379</v>
      </c>
      <c r="C238" s="623">
        <f t="shared" ref="C238:E238" si="23">(C215+C226)/SUM(C$210:C$228)</f>
        <v>2.5419177803227763E-2</v>
      </c>
      <c r="D238" s="623">
        <f t="shared" si="23"/>
        <v>7.5673785646841157E-2</v>
      </c>
      <c r="E238" s="623">
        <f t="shared" si="23"/>
        <v>0.13433450322471238</v>
      </c>
      <c r="F238" s="623"/>
      <c r="G238" s="623"/>
      <c r="H238" s="623"/>
      <c r="I238" s="623"/>
      <c r="J238" s="623"/>
      <c r="K238" s="623"/>
      <c r="L238" s="623"/>
      <c r="M238" s="623"/>
      <c r="N238" s="623"/>
      <c r="U238" s="29"/>
    </row>
    <row r="239" spans="1:21" s="4" customFormat="1">
      <c r="B239" s="648" t="s">
        <v>486</v>
      </c>
      <c r="C239" s="623">
        <f>(C216+C227)/SUM(C$210:C$228)</f>
        <v>0</v>
      </c>
      <c r="D239" s="623">
        <f t="shared" ref="D239:E239" si="24">(D216+D227)/SUM(D$210:D$228)</f>
        <v>0</v>
      </c>
      <c r="E239" s="623">
        <f t="shared" si="24"/>
        <v>2.1712315566136232E-5</v>
      </c>
      <c r="F239" s="623"/>
      <c r="G239" s="623"/>
      <c r="H239" s="623"/>
      <c r="I239" s="623"/>
      <c r="J239" s="623"/>
      <c r="K239" s="623"/>
      <c r="L239" s="623"/>
      <c r="M239" s="623"/>
      <c r="N239" s="623"/>
      <c r="U239" s="29"/>
    </row>
    <row r="240" spans="1:21" s="4" customFormat="1">
      <c r="B240" s="648" t="s">
        <v>487</v>
      </c>
      <c r="C240" s="623">
        <f t="shared" ref="C240:E240" si="25">(C217+C228)/SUM(C$210:C$228)</f>
        <v>0</v>
      </c>
      <c r="D240" s="623">
        <f t="shared" si="25"/>
        <v>2.3373209424876932E-6</v>
      </c>
      <c r="E240" s="623">
        <f t="shared" si="25"/>
        <v>8.4678030707931303E-4</v>
      </c>
      <c r="F240" s="623"/>
      <c r="G240" s="623"/>
      <c r="H240" s="623"/>
      <c r="I240" s="623"/>
      <c r="J240" s="623"/>
      <c r="K240" s="623"/>
      <c r="L240" s="623"/>
      <c r="M240" s="623"/>
      <c r="N240" s="623"/>
      <c r="U240" s="29"/>
    </row>
    <row r="241" spans="1:32" s="4" customFormat="1">
      <c r="B241" s="648" t="s">
        <v>370</v>
      </c>
      <c r="C241" s="623">
        <f t="shared" ref="C241:E241" si="26">(C218+C229)/SUM(C$210:C$228)</f>
        <v>0</v>
      </c>
      <c r="D241" s="623">
        <f t="shared" si="26"/>
        <v>0</v>
      </c>
      <c r="E241" s="623">
        <f t="shared" si="26"/>
        <v>0</v>
      </c>
      <c r="F241" s="623"/>
      <c r="G241" s="623"/>
      <c r="H241" s="623"/>
      <c r="I241" s="623"/>
      <c r="J241" s="623"/>
      <c r="K241" s="623"/>
      <c r="L241" s="623"/>
      <c r="M241" s="623"/>
      <c r="N241" s="623"/>
      <c r="U241" s="29"/>
    </row>
    <row r="242" spans="1:32" s="29" customFormat="1">
      <c r="B242" s="648" t="s">
        <v>465</v>
      </c>
      <c r="C242" s="623">
        <f t="shared" ref="C242:E242" si="27">(C219+C230)/SUM(C$210:C$228)</f>
        <v>0</v>
      </c>
      <c r="D242" s="650">
        <f t="shared" si="27"/>
        <v>0</v>
      </c>
      <c r="E242" s="650">
        <f t="shared" si="27"/>
        <v>0</v>
      </c>
      <c r="F242" s="650"/>
      <c r="G242" s="650"/>
      <c r="H242" s="650"/>
      <c r="I242" s="650"/>
      <c r="J242" s="650"/>
      <c r="K242" s="650"/>
      <c r="L242" s="650"/>
      <c r="M242" s="650"/>
      <c r="N242" s="650"/>
    </row>
    <row r="243" spans="1:32" s="4" customFormat="1">
      <c r="A243" s="404"/>
      <c r="B243" s="649" t="s">
        <v>155</v>
      </c>
      <c r="C243" s="264">
        <f t="shared" ref="C243:E243" si="28">SUM(C233:C242)-1</f>
        <v>0</v>
      </c>
      <c r="D243" s="62">
        <f t="shared" si="28"/>
        <v>0</v>
      </c>
      <c r="E243" s="62">
        <f t="shared" si="28"/>
        <v>0</v>
      </c>
      <c r="F243" s="62"/>
      <c r="G243" s="62"/>
      <c r="H243" s="62"/>
      <c r="I243" s="62"/>
      <c r="J243" s="62"/>
      <c r="K243" s="62"/>
      <c r="L243" s="62"/>
      <c r="M243" s="62"/>
      <c r="N243" s="62"/>
      <c r="U243" s="29"/>
    </row>
    <row r="244" spans="1:32" s="4" customFormat="1">
      <c r="A244" s="404"/>
      <c r="B244" s="648" t="s">
        <v>162</v>
      </c>
      <c r="C244" s="272">
        <f>SUM(C210:C219)</f>
        <v>17803446.030000001</v>
      </c>
      <c r="D244" s="272">
        <f t="shared" ref="D244:E244" si="29">SUM(D210:D219)</f>
        <v>19708933</v>
      </c>
      <c r="E244" s="272">
        <f t="shared" si="29"/>
        <v>23517982.5</v>
      </c>
      <c r="F244" s="272"/>
      <c r="G244" s="272"/>
      <c r="H244" s="272"/>
      <c r="I244" s="272"/>
      <c r="J244" s="272"/>
      <c r="K244" s="272"/>
      <c r="L244" s="272"/>
      <c r="M244" s="272"/>
      <c r="N244" s="272"/>
      <c r="U244" s="29"/>
    </row>
    <row r="245" spans="1:32" s="4" customFormat="1">
      <c r="A245" s="404"/>
      <c r="B245" s="648" t="s">
        <v>163</v>
      </c>
      <c r="C245" s="272">
        <f>SUM(C221:C230)</f>
        <v>18364915.005000003</v>
      </c>
      <c r="D245" s="272">
        <f t="shared" ref="D245:E245" si="30">SUM(D221:D230)</f>
        <v>18368850.149999999</v>
      </c>
      <c r="E245" s="272">
        <f t="shared" si="30"/>
        <v>22538827.83669468</v>
      </c>
      <c r="F245" s="272"/>
      <c r="G245" s="272"/>
      <c r="H245" s="272"/>
      <c r="I245" s="272"/>
      <c r="J245" s="272"/>
      <c r="K245" s="272"/>
      <c r="L245" s="272"/>
      <c r="M245" s="272"/>
      <c r="N245" s="272"/>
      <c r="U245" s="29"/>
    </row>
    <row r="246" spans="1:32" s="4" customFormat="1">
      <c r="A246" s="404"/>
      <c r="B246" s="648" t="s">
        <v>78</v>
      </c>
      <c r="C246" s="623">
        <f t="shared" ref="C246:E246" si="31">SUM(C210:C217)/SUM(C210:C228)</f>
        <v>0.49223811974149628</v>
      </c>
      <c r="D246" s="270">
        <f t="shared" si="31"/>
        <v>0.51759665005603139</v>
      </c>
      <c r="E246" s="270">
        <f t="shared" si="31"/>
        <v>0.51062985751886947</v>
      </c>
      <c r="F246" s="270"/>
      <c r="G246" s="270"/>
      <c r="H246" s="270"/>
      <c r="I246" s="270"/>
      <c r="J246" s="270"/>
      <c r="K246" s="270"/>
      <c r="L246" s="270"/>
      <c r="M246" s="270"/>
      <c r="N246" s="270"/>
      <c r="U246" s="29"/>
    </row>
    <row r="247" spans="1:32" s="4" customFormat="1">
      <c r="A247" s="404"/>
      <c r="B247" s="648" t="s">
        <v>79</v>
      </c>
      <c r="C247" s="623">
        <f t="shared" ref="C247:E247" si="32">SUM(C221:C228)/SUM(C210:C228)</f>
        <v>0.50776188025850366</v>
      </c>
      <c r="D247" s="270">
        <f t="shared" si="32"/>
        <v>0.48240334994396855</v>
      </c>
      <c r="E247" s="270">
        <f t="shared" si="32"/>
        <v>0.48937014248113053</v>
      </c>
      <c r="F247" s="270"/>
      <c r="G247" s="270"/>
      <c r="H247" s="270"/>
      <c r="I247" s="270"/>
      <c r="J247" s="270"/>
      <c r="K247" s="270"/>
      <c r="L247" s="270"/>
      <c r="M247" s="270"/>
      <c r="N247" s="270"/>
      <c r="U247" s="29"/>
    </row>
    <row r="248" spans="1:32" s="4" customFormat="1">
      <c r="A248" s="269"/>
      <c r="B248" s="648"/>
      <c r="C248" s="19"/>
      <c r="U248" s="29"/>
    </row>
    <row r="249" spans="1:32" s="4" customFormat="1">
      <c r="B249" s="157" t="s">
        <v>488</v>
      </c>
      <c r="C249" s="275"/>
      <c r="D249" s="269"/>
      <c r="E249" s="269"/>
      <c r="F249" s="269"/>
      <c r="G249" s="269"/>
      <c r="H249" s="269"/>
      <c r="I249" s="269"/>
      <c r="J249" s="269"/>
      <c r="K249" s="269"/>
      <c r="L249" s="269"/>
      <c r="M249" s="269"/>
      <c r="N249" s="269"/>
      <c r="U249" s="541" t="s">
        <v>337</v>
      </c>
      <c r="V249" s="381">
        <v>2016</v>
      </c>
      <c r="W249" s="381">
        <v>2017</v>
      </c>
      <c r="X249" s="381">
        <v>2018</v>
      </c>
      <c r="Y249" s="381">
        <v>2019</v>
      </c>
      <c r="Z249" s="381">
        <v>2020</v>
      </c>
      <c r="AA249" s="381">
        <v>2021</v>
      </c>
      <c r="AB249" s="381">
        <v>2022</v>
      </c>
      <c r="AC249" s="381">
        <v>2023</v>
      </c>
      <c r="AD249" s="381">
        <v>2024</v>
      </c>
      <c r="AE249" s="381">
        <v>2025</v>
      </c>
      <c r="AF249" s="381">
        <v>2026</v>
      </c>
    </row>
    <row r="250" spans="1:32" s="4" customFormat="1">
      <c r="A250" s="269"/>
      <c r="B250" s="284" t="s">
        <v>162</v>
      </c>
      <c r="C250" s="272">
        <f>SUM(C215:C219)</f>
        <v>299241</v>
      </c>
      <c r="D250" s="272">
        <f t="shared" ref="D250:E250" si="33">SUM(D215:D219)</f>
        <v>631974</v>
      </c>
      <c r="E250" s="272">
        <f t="shared" si="33"/>
        <v>2106411</v>
      </c>
      <c r="F250" s="272"/>
      <c r="G250" s="272"/>
      <c r="H250" s="272"/>
      <c r="I250" s="272"/>
      <c r="J250" s="272"/>
      <c r="K250" s="272"/>
      <c r="L250" s="272"/>
      <c r="M250" s="272"/>
      <c r="N250" s="272"/>
      <c r="U250" s="284" t="s">
        <v>162</v>
      </c>
      <c r="V250" s="405">
        <f t="shared" ref="V250:AF250" si="34">SUM(C213:C217)</f>
        <v>1828739</v>
      </c>
      <c r="W250" s="405">
        <f t="shared" si="34"/>
        <v>2642840</v>
      </c>
      <c r="X250" s="405">
        <f t="shared" si="34"/>
        <v>4152444.5</v>
      </c>
      <c r="Y250" s="405">
        <f t="shared" si="34"/>
        <v>0</v>
      </c>
      <c r="Z250" s="405">
        <f t="shared" si="34"/>
        <v>0</v>
      </c>
      <c r="AA250" s="405">
        <f t="shared" si="34"/>
        <v>0</v>
      </c>
      <c r="AB250" s="405">
        <f t="shared" si="34"/>
        <v>0</v>
      </c>
      <c r="AC250" s="405">
        <f t="shared" si="34"/>
        <v>0</v>
      </c>
      <c r="AD250" s="405">
        <f t="shared" si="34"/>
        <v>0</v>
      </c>
      <c r="AE250" s="405">
        <f t="shared" si="34"/>
        <v>0</v>
      </c>
      <c r="AF250" s="405">
        <f t="shared" si="34"/>
        <v>0</v>
      </c>
    </row>
    <row r="251" spans="1:32" s="4" customFormat="1">
      <c r="A251" s="269"/>
      <c r="B251" s="284" t="s">
        <v>163</v>
      </c>
      <c r="C251" s="272">
        <f>SUM(C226:C230)</f>
        <v>620129</v>
      </c>
      <c r="D251" s="272">
        <f t="shared" ref="D251:E251" si="35">SUM(D226:D230)</f>
        <v>2249605</v>
      </c>
      <c r="E251" s="272">
        <f t="shared" si="35"/>
        <v>4120607.7366946777</v>
      </c>
      <c r="F251" s="272"/>
      <c r="G251" s="272"/>
      <c r="H251" s="272"/>
      <c r="I251" s="272"/>
      <c r="J251" s="272"/>
      <c r="K251" s="272"/>
      <c r="L251" s="272"/>
      <c r="M251" s="272"/>
      <c r="N251" s="272"/>
      <c r="U251" s="284" t="s">
        <v>163</v>
      </c>
      <c r="V251" s="405">
        <f t="shared" ref="V251:AF251" si="36">SUM(C224:C230)</f>
        <v>2243699</v>
      </c>
      <c r="W251" s="405">
        <f t="shared" si="36"/>
        <v>4102899</v>
      </c>
      <c r="X251" s="405">
        <f t="shared" si="36"/>
        <v>5172697.7366946777</v>
      </c>
      <c r="Y251" s="405">
        <f t="shared" si="36"/>
        <v>0</v>
      </c>
      <c r="Z251" s="405">
        <f t="shared" si="36"/>
        <v>0</v>
      </c>
      <c r="AA251" s="405">
        <f t="shared" si="36"/>
        <v>0</v>
      </c>
      <c r="AB251" s="405">
        <f t="shared" si="36"/>
        <v>0</v>
      </c>
      <c r="AC251" s="405">
        <f t="shared" si="36"/>
        <v>0</v>
      </c>
      <c r="AD251" s="405">
        <f t="shared" si="36"/>
        <v>0</v>
      </c>
      <c r="AE251" s="405">
        <f t="shared" si="36"/>
        <v>0</v>
      </c>
      <c r="AF251" s="405">
        <f t="shared" si="36"/>
        <v>0</v>
      </c>
    </row>
    <row r="252" spans="1:32" s="4" customFormat="1">
      <c r="A252" s="269"/>
      <c r="B252" s="284" t="s">
        <v>78</v>
      </c>
      <c r="C252" s="623">
        <f>C250/(C250+C251)</f>
        <v>0.32548484288153845</v>
      </c>
      <c r="D252" s="270">
        <f t="shared" ref="D252:E252" si="37">D250/(D250+D251)</f>
        <v>0.21931517407643517</v>
      </c>
      <c r="E252" s="270">
        <f t="shared" si="37"/>
        <v>0.33826957795827833</v>
      </c>
      <c r="F252" s="270"/>
      <c r="G252" s="270"/>
      <c r="H252" s="270"/>
      <c r="I252" s="270"/>
      <c r="J252" s="270"/>
      <c r="K252" s="270"/>
      <c r="L252" s="270"/>
      <c r="M252" s="270"/>
      <c r="N252" s="270"/>
      <c r="U252" s="284" t="s">
        <v>78</v>
      </c>
      <c r="V252" s="270">
        <f t="shared" ref="V252:AF252" si="38">V250/(SUM(C213:C217)+SUM(C224:C230))</f>
        <v>0.44905263137216578</v>
      </c>
      <c r="W252" s="270">
        <f t="shared" si="38"/>
        <v>0.39177916607802349</v>
      </c>
      <c r="X252" s="270">
        <f t="shared" si="38"/>
        <v>0.44529556703811146</v>
      </c>
      <c r="Y252" s="270" t="e">
        <f t="shared" si="38"/>
        <v>#DIV/0!</v>
      </c>
      <c r="Z252" s="270" t="e">
        <f t="shared" si="38"/>
        <v>#DIV/0!</v>
      </c>
      <c r="AA252" s="270" t="e">
        <f t="shared" si="38"/>
        <v>#DIV/0!</v>
      </c>
      <c r="AB252" s="270" t="e">
        <f t="shared" si="38"/>
        <v>#DIV/0!</v>
      </c>
      <c r="AC252" s="270" t="e">
        <f t="shared" si="38"/>
        <v>#DIV/0!</v>
      </c>
      <c r="AD252" s="270" t="e">
        <f t="shared" si="38"/>
        <v>#DIV/0!</v>
      </c>
      <c r="AE252" s="270" t="e">
        <f t="shared" si="38"/>
        <v>#DIV/0!</v>
      </c>
      <c r="AF252" s="270" t="e">
        <f t="shared" si="38"/>
        <v>#DIV/0!</v>
      </c>
    </row>
    <row r="253" spans="1:32" s="4" customFormat="1">
      <c r="A253" s="269"/>
      <c r="B253" s="284" t="s">
        <v>79</v>
      </c>
      <c r="C253" s="623">
        <f t="shared" ref="C253:E253" si="39">1-C252</f>
        <v>0.67451515711846155</v>
      </c>
      <c r="D253" s="270">
        <f t="shared" si="39"/>
        <v>0.78068482592356481</v>
      </c>
      <c r="E253" s="270">
        <f t="shared" si="39"/>
        <v>0.66173042204172172</v>
      </c>
      <c r="F253" s="270"/>
      <c r="G253" s="270"/>
      <c r="H253" s="270"/>
      <c r="I253" s="270"/>
      <c r="J253" s="270"/>
      <c r="K253" s="270"/>
      <c r="L253" s="270"/>
      <c r="M253" s="270"/>
      <c r="N253" s="270"/>
      <c r="U253" s="284" t="s">
        <v>79</v>
      </c>
      <c r="V253" s="270">
        <f t="shared" ref="V253:AF253" si="40">V251/(SUM(C224:C230)+SUM(C213:C217))</f>
        <v>0.55094736862783422</v>
      </c>
      <c r="W253" s="270">
        <f t="shared" si="40"/>
        <v>0.60822083392197657</v>
      </c>
      <c r="X253" s="270">
        <f t="shared" si="40"/>
        <v>0.55470443296188843</v>
      </c>
      <c r="Y253" s="270" t="e">
        <f t="shared" si="40"/>
        <v>#DIV/0!</v>
      </c>
      <c r="Z253" s="270" t="e">
        <f t="shared" si="40"/>
        <v>#DIV/0!</v>
      </c>
      <c r="AA253" s="270" t="e">
        <f t="shared" si="40"/>
        <v>#DIV/0!</v>
      </c>
      <c r="AB253" s="270" t="e">
        <f t="shared" si="40"/>
        <v>#DIV/0!</v>
      </c>
      <c r="AC253" s="270" t="e">
        <f t="shared" si="40"/>
        <v>#DIV/0!</v>
      </c>
      <c r="AD253" s="270" t="e">
        <f t="shared" si="40"/>
        <v>#DIV/0!</v>
      </c>
      <c r="AE253" s="270" t="e">
        <f t="shared" si="40"/>
        <v>#DIV/0!</v>
      </c>
      <c r="AF253" s="270" t="e">
        <f t="shared" si="40"/>
        <v>#DIV/0!</v>
      </c>
    </row>
    <row r="254" spans="1:32" s="4" customFormat="1">
      <c r="A254" s="269"/>
      <c r="U254" s="29"/>
      <c r="V254" s="500"/>
      <c r="W254" s="500"/>
      <c r="X254" s="500"/>
      <c r="Y254" s="500"/>
      <c r="Z254" s="500"/>
      <c r="AA254" s="500"/>
      <c r="AB254" s="500"/>
      <c r="AC254" s="500"/>
      <c r="AD254" s="500"/>
      <c r="AE254" s="500"/>
      <c r="AF254" s="500"/>
    </row>
    <row r="255" spans="1:32" s="4" customFormat="1" ht="21">
      <c r="A255" s="269"/>
      <c r="B255" s="17" t="s">
        <v>181</v>
      </c>
      <c r="U255" s="29"/>
    </row>
    <row r="256" spans="1:32" s="4" customFormat="1" ht="22.5" customHeight="1">
      <c r="A256" s="269"/>
      <c r="U256" s="29"/>
    </row>
    <row r="257" spans="1:34">
      <c r="AH257" s="4"/>
    </row>
    <row r="258" spans="1:34" s="4" customFormat="1" ht="13.5" customHeight="1">
      <c r="A258" s="269"/>
      <c r="B258" s="17"/>
      <c r="U258" s="29"/>
    </row>
    <row r="259" spans="1:34" s="4" customFormat="1" ht="13.5" customHeight="1">
      <c r="A259" s="269"/>
      <c r="B259" s="17"/>
      <c r="U259" s="29"/>
    </row>
    <row r="260" spans="1:34" s="4" customFormat="1" ht="13.5" customHeight="1">
      <c r="A260" s="269"/>
      <c r="B260" s="17"/>
      <c r="U260" s="29"/>
    </row>
    <row r="261" spans="1:34" s="4" customFormat="1" ht="13.5" customHeight="1">
      <c r="A261" s="269"/>
      <c r="B261" s="17"/>
      <c r="U261" s="29"/>
    </row>
    <row r="262" spans="1:34" s="4" customFormat="1" ht="13.5" customHeight="1">
      <c r="A262" s="269"/>
      <c r="B262" s="17"/>
      <c r="U262" s="29"/>
    </row>
    <row r="263" spans="1:34" s="4" customFormat="1">
      <c r="A263" s="269"/>
      <c r="U263" s="29"/>
    </row>
    <row r="264" spans="1:34" s="4" customFormat="1">
      <c r="A264" s="269"/>
      <c r="U264" s="29"/>
    </row>
    <row r="265" spans="1:34" s="4" customFormat="1">
      <c r="A265" s="269"/>
      <c r="U265" s="29"/>
    </row>
    <row r="266" spans="1:34" s="4" customFormat="1">
      <c r="A266" s="269"/>
      <c r="U266" s="29"/>
    </row>
    <row r="267" spans="1:34" s="4" customFormat="1">
      <c r="A267" s="269"/>
      <c r="U267" s="29"/>
    </row>
    <row r="268" spans="1:34" s="4" customFormat="1">
      <c r="A268" s="269"/>
      <c r="U268" s="29"/>
    </row>
    <row r="269" spans="1:34" s="4" customFormat="1">
      <c r="A269" s="269"/>
      <c r="U269" s="29"/>
    </row>
    <row r="270" spans="1:34" s="4" customFormat="1">
      <c r="A270" s="269"/>
      <c r="U270" s="29"/>
    </row>
    <row r="271" spans="1:34" s="4" customFormat="1">
      <c r="A271" s="269"/>
      <c r="U271" s="29"/>
    </row>
    <row r="272" spans="1:34" s="4" customFormat="1">
      <c r="A272" s="269"/>
      <c r="U272" s="29"/>
    </row>
    <row r="273" spans="1:21" s="4" customFormat="1">
      <c r="A273" s="269"/>
      <c r="U273" s="29"/>
    </row>
    <row r="274" spans="1:21" s="4" customFormat="1">
      <c r="A274" s="269"/>
      <c r="U274" s="29"/>
    </row>
    <row r="275" spans="1:21" s="4" customFormat="1">
      <c r="A275" s="269"/>
      <c r="U275" s="29"/>
    </row>
    <row r="276" spans="1:21" s="4" customFormat="1">
      <c r="A276" s="269"/>
      <c r="U276" s="29"/>
    </row>
    <row r="277" spans="1:21" s="4" customFormat="1">
      <c r="A277" s="269"/>
      <c r="B277" s="3" t="s">
        <v>182</v>
      </c>
      <c r="U277" s="29"/>
    </row>
    <row r="278" spans="1:21" s="4" customFormat="1">
      <c r="A278" s="269"/>
      <c r="B278" s="4" t="s">
        <v>183</v>
      </c>
      <c r="U278" s="29"/>
    </row>
    <row r="279" spans="1:21" s="4" customFormat="1">
      <c r="A279" s="269"/>
      <c r="B279" s="4" t="s">
        <v>184</v>
      </c>
      <c r="U279" s="29"/>
    </row>
    <row r="280" spans="1:21" s="4" customFormat="1">
      <c r="A280" s="269"/>
      <c r="B280" s="4" t="s">
        <v>185</v>
      </c>
      <c r="C280" s="380">
        <v>2016</v>
      </c>
      <c r="D280" s="381">
        <v>2017</v>
      </c>
      <c r="E280" s="381">
        <v>2018</v>
      </c>
      <c r="F280" s="381">
        <v>2019</v>
      </c>
      <c r="G280" s="381">
        <v>2020</v>
      </c>
      <c r="H280" s="381">
        <v>2021</v>
      </c>
      <c r="I280" s="381">
        <v>2022</v>
      </c>
      <c r="J280" s="381">
        <v>2023</v>
      </c>
      <c r="K280" s="381">
        <v>2024</v>
      </c>
      <c r="L280" s="381">
        <v>2025</v>
      </c>
      <c r="M280" s="381">
        <v>2026</v>
      </c>
      <c r="N280" s="381">
        <v>2027</v>
      </c>
      <c r="U280" s="29"/>
    </row>
    <row r="281" spans="1:21" s="4" customFormat="1" ht="15.6">
      <c r="A281" s="269"/>
      <c r="B281" s="590" t="s">
        <v>69</v>
      </c>
      <c r="C281" s="389">
        <f>SUM('Products x speed'!E9)</f>
        <v>4496175.0999999996</v>
      </c>
      <c r="D281" s="382">
        <f>SUM('Products x speed'!F9)</f>
        <v>4278484</v>
      </c>
      <c r="E281" s="382">
        <f>SUM('Products x speed'!G9)</f>
        <v>4962296</v>
      </c>
      <c r="F281" s="382">
        <f>SUM('Products x speed'!H9)</f>
        <v>0</v>
      </c>
      <c r="G281" s="382">
        <f>SUM('Products x speed'!I9)</f>
        <v>0</v>
      </c>
      <c r="H281" s="382">
        <f>SUM('Products x speed'!J9)</f>
        <v>0</v>
      </c>
      <c r="I281" s="382">
        <f>SUM('Products x speed'!K9)</f>
        <v>0</v>
      </c>
      <c r="J281" s="382">
        <f>SUM('Products x speed'!L9)</f>
        <v>0</v>
      </c>
      <c r="K281" s="382">
        <f>SUM('Products x speed'!M9)</f>
        <v>0</v>
      </c>
      <c r="L281" s="382">
        <f>SUM('Products x speed'!N9)</f>
        <v>0</v>
      </c>
      <c r="M281" s="382">
        <f>SUM('Products x speed'!O9)</f>
        <v>0</v>
      </c>
      <c r="N281" s="382">
        <f>SUM('Products x speed'!P9)</f>
        <v>0</v>
      </c>
      <c r="U281" s="29"/>
    </row>
    <row r="282" spans="1:21" s="4" customFormat="1" ht="15.6">
      <c r="A282" s="269"/>
      <c r="B282" s="591" t="s">
        <v>70</v>
      </c>
      <c r="C282" s="389">
        <f>SUM('Products x speed'!E14:E16)+SUM('Products x speed'!E27:E29)</f>
        <v>13000883.93</v>
      </c>
      <c r="D282" s="382">
        <f>SUM('Products x speed'!F14:F16)+SUM('Products x speed'!F27:F29)</f>
        <v>14702610</v>
      </c>
      <c r="E282" s="382">
        <f>SUM('Products x speed'!G14:G16)+SUM('Products x speed'!G27:G29)</f>
        <v>16130297.5</v>
      </c>
      <c r="F282" s="382">
        <f>SUM('Products x speed'!H14:H16)+SUM('Products x speed'!H27:H29)</f>
        <v>0</v>
      </c>
      <c r="G282" s="382">
        <f>SUM('Products x speed'!I14:I16)+SUM('Products x speed'!I27:I29)</f>
        <v>0</v>
      </c>
      <c r="H282" s="382">
        <f>SUM('Products x speed'!J14:J16)+SUM('Products x speed'!J27:J29)</f>
        <v>0</v>
      </c>
      <c r="I282" s="382">
        <f>SUM('Products x speed'!K14:K16)+SUM('Products x speed'!K27:K29)</f>
        <v>0</v>
      </c>
      <c r="J282" s="382">
        <f>SUM('Products x speed'!L14:L16)+SUM('Products x speed'!L27:L29)</f>
        <v>0</v>
      </c>
      <c r="K282" s="382">
        <f>SUM('Products x speed'!M14:M16)+SUM('Products x speed'!M27:M29)</f>
        <v>0</v>
      </c>
      <c r="L282" s="382">
        <f>SUM('Products x speed'!N14:N16)+SUM('Products x speed'!N27:N29)</f>
        <v>0</v>
      </c>
      <c r="M282" s="382">
        <f>SUM('Products x speed'!O14:O16)+SUM('Products x speed'!O27:O29)</f>
        <v>0</v>
      </c>
      <c r="N282" s="382">
        <f>SUM('Products x speed'!P14:P16)+SUM('Products x speed'!P27:P29)</f>
        <v>0</v>
      </c>
      <c r="U282" s="29"/>
    </row>
    <row r="283" spans="1:21" s="4" customFormat="1" ht="15.6">
      <c r="A283" s="269"/>
      <c r="B283" s="592" t="s">
        <v>71</v>
      </c>
      <c r="C283" s="389">
        <f>'Products x speed'!E24+SUM('Products x speed'!E41:E44)+'Products x speed'!E46</f>
        <v>306387</v>
      </c>
      <c r="D283" s="382">
        <f>'Products x speed'!F24+SUM('Products x speed'!F41:F44)+'Products x speed'!F46</f>
        <v>727839</v>
      </c>
      <c r="E283" s="382">
        <f>'Products x speed'!G24+SUM('Products x speed'!G41:G44)+'Products x speed'!G46</f>
        <v>2251889</v>
      </c>
      <c r="F283" s="382">
        <f>'Products x speed'!H24+SUM('Products x speed'!H41:H44)+'Products x speed'!H46</f>
        <v>0</v>
      </c>
      <c r="G283" s="382">
        <f>'Products x speed'!I24+SUM('Products x speed'!I41:I44)+'Products x speed'!I46</f>
        <v>0</v>
      </c>
      <c r="H283" s="382">
        <f>'Products x speed'!J24+SUM('Products x speed'!J41:J44)+'Products x speed'!J46</f>
        <v>0</v>
      </c>
      <c r="I283" s="382">
        <f>'Products x speed'!K24+SUM('Products x speed'!K41:K44)+'Products x speed'!K46</f>
        <v>0</v>
      </c>
      <c r="J283" s="382">
        <f>'Products x speed'!L24+SUM('Products x speed'!L41:L44)+'Products x speed'!L46</f>
        <v>0</v>
      </c>
      <c r="K283" s="382">
        <f>'Products x speed'!M24+SUM('Products x speed'!M41:M44)+'Products x speed'!M46</f>
        <v>0</v>
      </c>
      <c r="L283" s="382">
        <f>'Products x speed'!N24+SUM('Products x speed'!N41:N44)+'Products x speed'!N46</f>
        <v>0</v>
      </c>
      <c r="M283" s="382">
        <f>'Products x speed'!O24+SUM('Products x speed'!O41:O44)+'Products x speed'!O46</f>
        <v>0</v>
      </c>
      <c r="N283" s="382">
        <f>'Products x speed'!P24+SUM('Products x speed'!P41:P44)+'Products x speed'!P46</f>
        <v>0</v>
      </c>
      <c r="U283" s="539"/>
    </row>
    <row r="284" spans="1:21" s="4" customFormat="1" ht="15.6">
      <c r="A284" s="269"/>
      <c r="B284" s="654" t="s">
        <v>147</v>
      </c>
      <c r="C284" s="382"/>
      <c r="D284" s="382"/>
      <c r="E284" s="382">
        <f>'Products x speed'!G36+'Products x speed'!G45+'Products x speed'!G60+'Products x speed'!G65</f>
        <v>173500</v>
      </c>
      <c r="F284" s="382">
        <f>'Products x speed'!H36+'Products x speed'!H45+'Products x speed'!H60+'Products x speed'!H65</f>
        <v>0</v>
      </c>
      <c r="G284" s="382">
        <f>'Products x speed'!I36+'Products x speed'!I45+'Products x speed'!I60+'Products x speed'!I65</f>
        <v>0</v>
      </c>
      <c r="H284" s="382">
        <f>'Products x speed'!J36+'Products x speed'!J45+'Products x speed'!J60+'Products x speed'!J65</f>
        <v>0</v>
      </c>
      <c r="I284" s="382">
        <f>'Products x speed'!K36+'Products x speed'!K45+'Products x speed'!K60+'Products x speed'!K65</f>
        <v>0</v>
      </c>
      <c r="J284" s="382">
        <f>'Products x speed'!L36+'Products x speed'!L45+'Products x speed'!L60+'Products x speed'!L65</f>
        <v>0</v>
      </c>
      <c r="K284" s="382">
        <f>'Products x speed'!M36+'Products x speed'!M45+'Products x speed'!M60+'Products x speed'!M65</f>
        <v>0</v>
      </c>
      <c r="L284" s="382">
        <f>'Products x speed'!N36+'Products x speed'!N45+'Products x speed'!N60+'Products x speed'!N65</f>
        <v>0</v>
      </c>
      <c r="M284" s="382">
        <f>'Products x speed'!O36+'Products x speed'!O45+'Products x speed'!O60+'Products x speed'!O65</f>
        <v>0</v>
      </c>
      <c r="N284" s="382">
        <f>'Products x speed'!P36+'Products x speed'!P45+'Products x speed'!P60+'Products x speed'!P65</f>
        <v>0</v>
      </c>
      <c r="O284" s="29" t="s">
        <v>501</v>
      </c>
      <c r="U284" s="540"/>
    </row>
    <row r="285" spans="1:21" s="4" customFormat="1" ht="16.2" thickBot="1">
      <c r="A285" s="269"/>
      <c r="B285" s="657" t="s">
        <v>156</v>
      </c>
      <c r="C285" s="382"/>
      <c r="D285" s="382"/>
      <c r="E285" s="382">
        <f>'Products x speed'!G66+'Products x speed'!G72+'Products x speed'!G78</f>
        <v>0</v>
      </c>
      <c r="F285" s="382">
        <f>'Products x speed'!H66+'Products x speed'!H72+'Products x speed'!H78</f>
        <v>0</v>
      </c>
      <c r="G285" s="382">
        <f>'Products x speed'!I66+'Products x speed'!I72+'Products x speed'!I78</f>
        <v>0</v>
      </c>
      <c r="H285" s="382">
        <f>'Products x speed'!J66+'Products x speed'!J72+'Products x speed'!J78</f>
        <v>0</v>
      </c>
      <c r="I285" s="382">
        <f>'Products x speed'!K66+'Products x speed'!K72+'Products x speed'!K78</f>
        <v>0</v>
      </c>
      <c r="J285" s="382">
        <f>'Products x speed'!L66+'Products x speed'!L72+'Products x speed'!L78</f>
        <v>0</v>
      </c>
      <c r="K285" s="382">
        <f>'Products x speed'!M66+'Products x speed'!M72+'Products x speed'!M78</f>
        <v>0</v>
      </c>
      <c r="L285" s="382">
        <f>'Products x speed'!N66+'Products x speed'!N72+'Products x speed'!N78</f>
        <v>0</v>
      </c>
      <c r="M285" s="382">
        <f>'Products x speed'!O66+'Products x speed'!O72+'Products x speed'!O78</f>
        <v>0</v>
      </c>
      <c r="N285" s="382">
        <f>'Products x speed'!P66+'Products x speed'!P72+'Products x speed'!P78</f>
        <v>0</v>
      </c>
      <c r="O285" s="29" t="s">
        <v>497</v>
      </c>
      <c r="U285" s="540"/>
    </row>
    <row r="286" spans="1:21" s="4" customFormat="1" ht="16.2" thickBot="1">
      <c r="A286" s="269"/>
      <c r="B286" s="688" t="s">
        <v>157</v>
      </c>
      <c r="C286" s="686"/>
      <c r="D286" s="687"/>
      <c r="E286" s="687"/>
      <c r="F286" s="687"/>
      <c r="G286" s="687"/>
      <c r="H286" s="687"/>
      <c r="I286" s="687"/>
      <c r="J286" s="687"/>
      <c r="K286" s="687"/>
      <c r="L286" s="687"/>
      <c r="M286" s="687"/>
      <c r="N286" s="687"/>
      <c r="O286" s="29"/>
      <c r="U286" s="540"/>
    </row>
    <row r="287" spans="1:21" s="4" customFormat="1" ht="15.6">
      <c r="A287" s="269"/>
      <c r="B287" s="593" t="s">
        <v>72</v>
      </c>
      <c r="C287" s="389">
        <f>SUM('Products x speed'!E10:E12)</f>
        <v>9071235.0050000008</v>
      </c>
      <c r="D287" s="382">
        <f>SUM('Products x speed'!F10:F12)</f>
        <v>6995211.0500000007</v>
      </c>
      <c r="E287" s="382">
        <f>SUM('Products x speed'!G10:G12)</f>
        <v>9376680</v>
      </c>
      <c r="F287" s="382">
        <f>SUM('Products x speed'!H10:H12)</f>
        <v>0</v>
      </c>
      <c r="G287" s="382">
        <f>SUM('Products x speed'!I10:I12)</f>
        <v>0</v>
      </c>
      <c r="H287" s="382">
        <f>SUM('Products x speed'!J10:J12)</f>
        <v>0</v>
      </c>
      <c r="I287" s="382">
        <f>SUM('Products x speed'!K10:K12)</f>
        <v>0</v>
      </c>
      <c r="J287" s="382">
        <f>SUM('Products x speed'!L10:L12)</f>
        <v>0</v>
      </c>
      <c r="K287" s="382">
        <f>SUM('Products x speed'!M10:M12)</f>
        <v>0</v>
      </c>
      <c r="L287" s="382">
        <f>SUM('Products x speed'!N10:N12)</f>
        <v>0</v>
      </c>
      <c r="M287" s="382">
        <f>SUM('Products x speed'!O10:O12)</f>
        <v>0</v>
      </c>
      <c r="N287" s="382">
        <f>SUM('Products x speed'!P10:P12)</f>
        <v>0</v>
      </c>
      <c r="O287" s="29"/>
    </row>
    <row r="288" spans="1:21" s="4" customFormat="1" ht="15.6">
      <c r="A288" s="269"/>
      <c r="B288" s="594" t="s">
        <v>73</v>
      </c>
      <c r="C288" s="389">
        <f>SUM('Products x speed'!E17:E22)+SUM('Products x speed'!E30:E35)</f>
        <v>8669003</v>
      </c>
      <c r="D288" s="382">
        <f>SUM('Products x speed'!F17:F22)+SUM('Products x speed'!F30:F35)</f>
        <v>9106572.0999999996</v>
      </c>
      <c r="E288" s="382">
        <f>SUM('Products x speed'!G17:G22)+SUM('Products x speed'!G30:G35)</f>
        <v>8984831.0999999996</v>
      </c>
      <c r="F288" s="382">
        <f>SUM('Products x speed'!H17:H22)+SUM('Products x speed'!H30:H35)</f>
        <v>0</v>
      </c>
      <c r="G288" s="382">
        <f>SUM('Products x speed'!I17:I22)+SUM('Products x speed'!I30:I35)</f>
        <v>0</v>
      </c>
      <c r="H288" s="382">
        <f>SUM('Products x speed'!J17:J22)+SUM('Products x speed'!J30:J35)</f>
        <v>0</v>
      </c>
      <c r="I288" s="382">
        <f>SUM('Products x speed'!K17:K22)+SUM('Products x speed'!K30:K35)</f>
        <v>0</v>
      </c>
      <c r="J288" s="382">
        <f>SUM('Products x speed'!L17:L22)+SUM('Products x speed'!L30:L35)</f>
        <v>0</v>
      </c>
      <c r="K288" s="382">
        <f>SUM('Products x speed'!M17:M22)+SUM('Products x speed'!M30:M35)</f>
        <v>0</v>
      </c>
      <c r="L288" s="382">
        <f>SUM('Products x speed'!N17:N22)+SUM('Products x speed'!N30:N35)</f>
        <v>0</v>
      </c>
      <c r="M288" s="382">
        <f>SUM('Products x speed'!O17:O22)+SUM('Products x speed'!O30:O35)</f>
        <v>0</v>
      </c>
      <c r="N288" s="382">
        <f>SUM('Products x speed'!P17:P22)+SUM('Products x speed'!P30:P35)</f>
        <v>0</v>
      </c>
      <c r="O288" s="29"/>
      <c r="U288" s="29"/>
    </row>
    <row r="289" spans="1:21" s="4" customFormat="1" ht="15.6">
      <c r="A289" s="269"/>
      <c r="B289" s="595" t="s">
        <v>74</v>
      </c>
      <c r="C289" s="389">
        <f>'Products x speed'!E25+'Products x speed'!E26+SUM('Products x speed'!E47:E59)-'Products x speed'!E48</f>
        <v>624677</v>
      </c>
      <c r="D289" s="382">
        <f>'Products x speed'!F25+'Products x speed'!F26+SUM('Products x speed'!F47:F59)-'Products x speed'!F48</f>
        <v>2266978</v>
      </c>
      <c r="E289" s="382">
        <f>'Products x speed'!G25+'Products x speed'!G26+SUM('Products x speed'!G47:G59)-'Products x speed'!G48</f>
        <v>4160816.7366946777</v>
      </c>
      <c r="F289" s="382">
        <f>'Products x speed'!H25+'Products x speed'!H26+SUM('Products x speed'!H47:H59)-'Products x speed'!H48</f>
        <v>0</v>
      </c>
      <c r="G289" s="382">
        <f>'Products x speed'!I25+'Products x speed'!I26+SUM('Products x speed'!I47:I59)-'Products x speed'!I48</f>
        <v>0</v>
      </c>
      <c r="H289" s="382">
        <f>'Products x speed'!J25+'Products x speed'!J26+SUM('Products x speed'!J47:J59)-'Products x speed'!J48</f>
        <v>0</v>
      </c>
      <c r="I289" s="382">
        <f>'Products x speed'!K25+'Products x speed'!K26+SUM('Products x speed'!K47:K59)-'Products x speed'!K48</f>
        <v>0</v>
      </c>
      <c r="J289" s="382">
        <f>'Products x speed'!L25+'Products x speed'!L26+SUM('Products x speed'!L47:L59)-'Products x speed'!L48</f>
        <v>0</v>
      </c>
      <c r="K289" s="382">
        <f>'Products x speed'!M25+'Products x speed'!M26+SUM('Products x speed'!M47:M59)-'Products x speed'!M48</f>
        <v>0</v>
      </c>
      <c r="L289" s="382">
        <f>'Products x speed'!N25+'Products x speed'!N26+SUM('Products x speed'!N47:N59)-'Products x speed'!N48</f>
        <v>0</v>
      </c>
      <c r="M289" s="382">
        <f>'Products x speed'!O25+'Products x speed'!O26+SUM('Products x speed'!O47:O59)-'Products x speed'!O48</f>
        <v>0</v>
      </c>
      <c r="N289" s="382">
        <f>'Products x speed'!P25+'Products x speed'!P26+SUM('Products x speed'!P47:P59)-'Products x speed'!P48</f>
        <v>0</v>
      </c>
      <c r="O289" s="29"/>
      <c r="U289" s="29"/>
    </row>
    <row r="290" spans="1:21" s="4" customFormat="1" ht="15.6">
      <c r="A290" s="269"/>
      <c r="B290" s="596" t="s">
        <v>146</v>
      </c>
      <c r="C290" s="389"/>
      <c r="D290" s="382">
        <f>'Products x speed'!F37+'Products x speed'!F38+'Products x speed'!F39+'Products x speed'!F40+'Products x speed'!F62+'Products x speed'!F68+'Products x speed'!F70</f>
        <v>82</v>
      </c>
      <c r="E290" s="382">
        <f>'Products x speed'!G37+'Products x speed'!G38+'Products x speed'!G39+'Products x speed'!G40+'Products x speed'!G62+'Products x speed'!G68+'Products x speed'!G70</f>
        <v>13500</v>
      </c>
      <c r="F290" s="382">
        <f>'Products x speed'!H37+'Products x speed'!H38+'Products x speed'!H39+'Products x speed'!H40+'Products x speed'!H62+'Products x speed'!H68+'Products x speed'!H70</f>
        <v>0</v>
      </c>
      <c r="G290" s="382">
        <f>'Products x speed'!I37+'Products x speed'!I38+'Products x speed'!I39+'Products x speed'!I40+'Products x speed'!I62+'Products x speed'!I68+'Products x speed'!I70</f>
        <v>0</v>
      </c>
      <c r="H290" s="382">
        <f>'Products x speed'!J37+'Products x speed'!J38+'Products x speed'!J39+'Products x speed'!J40+'Products x speed'!J62+'Products x speed'!J68+'Products x speed'!J70</f>
        <v>0</v>
      </c>
      <c r="I290" s="382">
        <f>'Products x speed'!K37+'Products x speed'!K38+'Products x speed'!K39+'Products x speed'!K40+'Products x speed'!K62+'Products x speed'!K68+'Products x speed'!K70</f>
        <v>0</v>
      </c>
      <c r="J290" s="382">
        <f>'Products x speed'!L37+'Products x speed'!L38+'Products x speed'!L39+'Products x speed'!L40+'Products x speed'!L62+'Products x speed'!L68+'Products x speed'!L70</f>
        <v>0</v>
      </c>
      <c r="K290" s="382">
        <f>'Products x speed'!M37+'Products x speed'!M38+'Products x speed'!M39+'Products x speed'!M40+'Products x speed'!M62+'Products x speed'!M68+'Products x speed'!M70</f>
        <v>0</v>
      </c>
      <c r="L290" s="382">
        <f>'Products x speed'!N37+'Products x speed'!N38+'Products x speed'!N39+'Products x speed'!N40+'Products x speed'!N62+'Products x speed'!N68+'Products x speed'!N70</f>
        <v>0</v>
      </c>
      <c r="M290" s="382">
        <f>'Products x speed'!O37+'Products x speed'!O38+'Products x speed'!O39+'Products x speed'!O40+'Products x speed'!O62+'Products x speed'!O68+'Products x speed'!O70</f>
        <v>0</v>
      </c>
      <c r="N290" s="382">
        <f>'Products x speed'!P37+'Products x speed'!P38+'Products x speed'!P39+'Products x speed'!P40+'Products x speed'!P62+'Products x speed'!P68+'Products x speed'!P70</f>
        <v>0</v>
      </c>
      <c r="O290" s="504" t="s">
        <v>447</v>
      </c>
      <c r="U290" s="29"/>
    </row>
    <row r="291" spans="1:21" s="4" customFormat="1" ht="15.6">
      <c r="A291" s="269"/>
      <c r="B291" s="655" t="s">
        <v>140</v>
      </c>
      <c r="C291" s="389"/>
      <c r="D291" s="382">
        <f>'Products x speed'!F48+'Products x speed'!F67+'Products x speed'!F69+'Products x speed'!F74+'Products x speed'!F73+'Products x speed'!F75+'Products x speed'!F76+'Products x speed'!F77-(3/4*D292)</f>
        <v>7</v>
      </c>
      <c r="E291" s="382">
        <f>'Products x speed'!G48+'Products x speed'!G67+'Products x speed'!G69+'Products x speed'!G74+'Products x speed'!G73+'Products x speed'!G75+'Products x speed'!G76+'Products x speed'!G77-(3/4*E292)</f>
        <v>3000</v>
      </c>
      <c r="F291" s="382">
        <f>'Products x speed'!H48+'Products x speed'!H67+'Products x speed'!H69+'Products x speed'!H74+'Products x speed'!H73+'Products x speed'!H75+'Products x speed'!H76+'Products x speed'!H77-(3/4*F292)</f>
        <v>0</v>
      </c>
      <c r="G291" s="382">
        <f>'Products x speed'!I48+'Products x speed'!I67+'Products x speed'!I69+'Products x speed'!I74+'Products x speed'!I73+'Products x speed'!I75+'Products x speed'!I76+'Products x speed'!I77-(3/4*G292)</f>
        <v>0</v>
      </c>
      <c r="H291" s="382">
        <f>'Products x speed'!J48+'Products x speed'!J67+'Products x speed'!J69+'Products x speed'!J74+'Products x speed'!J73+'Products x speed'!J75+'Products x speed'!J76+'Products x speed'!J77-(3/4*H292)</f>
        <v>0</v>
      </c>
      <c r="I291" s="382">
        <f>'Products x speed'!K48+'Products x speed'!K67+'Products x speed'!K69+'Products x speed'!K74+'Products x speed'!K73+'Products x speed'!K75+'Products x speed'!K76+'Products x speed'!K77-(3/4*I292)</f>
        <v>0</v>
      </c>
      <c r="J291" s="382">
        <f>'Products x speed'!L48+'Products x speed'!L67+'Products x speed'!L69+'Products x speed'!L74+'Products x speed'!L73+'Products x speed'!L75+'Products x speed'!L76+'Products x speed'!L77-(3/4*J292)</f>
        <v>0</v>
      </c>
      <c r="K291" s="382">
        <f>'Products x speed'!M48+'Products x speed'!M67+'Products x speed'!M69+'Products x speed'!M74+'Products x speed'!M73+'Products x speed'!M75+'Products x speed'!M76+'Products x speed'!M77-(3/4*K292)</f>
        <v>0</v>
      </c>
      <c r="L291" s="382">
        <f>'Products x speed'!N48+'Products x speed'!N67+'Products x speed'!N69+'Products x speed'!N74+'Products x speed'!N73+'Products x speed'!N75+'Products x speed'!N76+'Products x speed'!N77-(3/4*L292)</f>
        <v>0</v>
      </c>
      <c r="M291" s="382">
        <f>'Products x speed'!O48+'Products x speed'!O67+'Products x speed'!O69+'Products x speed'!O74+'Products x speed'!O73+'Products x speed'!O75+'Products x speed'!O76+'Products x speed'!O77-(3/4*M292)</f>
        <v>0</v>
      </c>
      <c r="N291" s="382">
        <f>'Products x speed'!P48+'Products x speed'!P67+'Products x speed'!P69+'Products x speed'!P74+'Products x speed'!P73+'Products x speed'!P75+'Products x speed'!P76+'Products x speed'!P77-(3/4*N292)</f>
        <v>0</v>
      </c>
      <c r="O291" s="504" t="s">
        <v>503</v>
      </c>
      <c r="U291" s="29"/>
    </row>
    <row r="292" spans="1:21" s="4" customFormat="1" ht="15.6">
      <c r="A292" s="269"/>
      <c r="B292" s="656" t="s">
        <v>160</v>
      </c>
      <c r="C292" s="391"/>
      <c r="D292" s="383"/>
      <c r="E292" s="383"/>
      <c r="F292" s="383"/>
      <c r="G292" s="383"/>
      <c r="H292" s="383"/>
      <c r="I292" s="383"/>
      <c r="J292" s="383"/>
      <c r="K292" s="383">
        <f>('Products x speed'!M79+'Products x speed'!M80)*4</f>
        <v>0</v>
      </c>
      <c r="L292" s="383">
        <f>('Products x speed'!N79+'Products x speed'!N80)*4</f>
        <v>0</v>
      </c>
      <c r="M292" s="383">
        <f>('Products x speed'!O79+'Products x speed'!O80)*4</f>
        <v>0</v>
      </c>
      <c r="N292" s="383">
        <f>('Products x speed'!P79+'Products x speed'!P80)*4</f>
        <v>0</v>
      </c>
      <c r="O292" s="29" t="s">
        <v>502</v>
      </c>
      <c r="P292" s="504"/>
      <c r="U292" s="29"/>
    </row>
    <row r="293" spans="1:21" s="4" customFormat="1">
      <c r="A293" s="269"/>
      <c r="B293" s="98"/>
      <c r="C293" s="184"/>
      <c r="D293" s="184"/>
      <c r="E293" s="184"/>
      <c r="F293" s="184"/>
      <c r="G293" s="184"/>
      <c r="H293" s="184"/>
      <c r="I293" s="184"/>
      <c r="J293" s="184"/>
      <c r="K293" s="184"/>
      <c r="L293" s="184"/>
      <c r="M293" s="184"/>
      <c r="N293" s="184"/>
      <c r="U293" s="29"/>
    </row>
    <row r="294" spans="1:21" s="4" customFormat="1">
      <c r="A294" s="269"/>
      <c r="B294" s="406" t="s">
        <v>76</v>
      </c>
      <c r="C294" s="554"/>
      <c r="D294" s="292"/>
      <c r="E294" s="292"/>
      <c r="F294" s="292"/>
      <c r="G294" s="292"/>
      <c r="H294" s="292"/>
      <c r="I294" s="292"/>
      <c r="J294" s="292"/>
      <c r="K294" s="292"/>
      <c r="L294" s="292"/>
      <c r="M294" s="292"/>
      <c r="N294" s="292"/>
      <c r="U294" s="29"/>
    </row>
    <row r="295" spans="1:21" s="4" customFormat="1">
      <c r="A295" s="269"/>
      <c r="B295" s="284" t="s">
        <v>150</v>
      </c>
      <c r="C295" s="553">
        <f>(C281+C287)/SUM(C$281:C$292)</f>
        <v>0.37511818939959324</v>
      </c>
      <c r="D295" s="623">
        <f t="shared" ref="D295:M295" si="41">(D281+D287)/SUM(D$281:D$292)</f>
        <v>0.2960701521301668</v>
      </c>
      <c r="E295" s="623">
        <f t="shared" si="41"/>
        <v>0.31133237180725382</v>
      </c>
      <c r="F295" s="623" t="e">
        <f t="shared" si="41"/>
        <v>#DIV/0!</v>
      </c>
      <c r="G295" s="623" t="e">
        <f t="shared" si="41"/>
        <v>#DIV/0!</v>
      </c>
      <c r="H295" s="623" t="e">
        <f t="shared" si="41"/>
        <v>#DIV/0!</v>
      </c>
      <c r="I295" s="623" t="e">
        <f t="shared" si="41"/>
        <v>#DIV/0!</v>
      </c>
      <c r="J295" s="623" t="e">
        <f t="shared" si="41"/>
        <v>#DIV/0!</v>
      </c>
      <c r="K295" s="623" t="e">
        <f t="shared" si="41"/>
        <v>#DIV/0!</v>
      </c>
      <c r="L295" s="623" t="e">
        <f t="shared" si="41"/>
        <v>#DIV/0!</v>
      </c>
      <c r="M295" s="623" t="e">
        <f t="shared" si="41"/>
        <v>#DIV/0!</v>
      </c>
      <c r="N295" s="623" t="e">
        <f t="shared" ref="N295" si="42">(N281+N287)/SUM(N$281:N$292)</f>
        <v>#DIV/0!</v>
      </c>
      <c r="U295" s="29"/>
    </row>
    <row r="296" spans="1:21" s="4" customFormat="1">
      <c r="A296" s="269"/>
      <c r="B296" s="284" t="s">
        <v>60</v>
      </c>
      <c r="C296" s="553">
        <f t="shared" ref="C296:M300" si="43">(C282+C288)/SUM(C$281:C$292)</f>
        <v>0.59913931153889233</v>
      </c>
      <c r="D296" s="623">
        <f t="shared" si="43"/>
        <v>0.62527752748127097</v>
      </c>
      <c r="E296" s="623">
        <f t="shared" si="43"/>
        <v>0.54530759764729331</v>
      </c>
      <c r="F296" s="623" t="e">
        <f t="shared" si="43"/>
        <v>#DIV/0!</v>
      </c>
      <c r="G296" s="623" t="e">
        <f t="shared" si="43"/>
        <v>#DIV/0!</v>
      </c>
      <c r="H296" s="623" t="e">
        <f t="shared" si="43"/>
        <v>#DIV/0!</v>
      </c>
      <c r="I296" s="623" t="e">
        <f t="shared" si="43"/>
        <v>#DIV/0!</v>
      </c>
      <c r="J296" s="623" t="e">
        <f t="shared" si="43"/>
        <v>#DIV/0!</v>
      </c>
      <c r="K296" s="623" t="e">
        <f t="shared" si="43"/>
        <v>#DIV/0!</v>
      </c>
      <c r="L296" s="623" t="e">
        <f t="shared" si="43"/>
        <v>#DIV/0!</v>
      </c>
      <c r="M296" s="623" t="e">
        <f t="shared" si="43"/>
        <v>#DIV/0!</v>
      </c>
      <c r="N296" s="623" t="e">
        <f t="shared" ref="N296" si="44">(N282+N288)/SUM(N$281:N$292)</f>
        <v>#DIV/0!</v>
      </c>
      <c r="U296" s="29"/>
    </row>
    <row r="297" spans="1:21" s="4" customFormat="1">
      <c r="A297" s="269"/>
      <c r="B297" s="284" t="s">
        <v>75</v>
      </c>
      <c r="C297" s="553">
        <f t="shared" si="43"/>
        <v>2.5742499061514355E-2</v>
      </c>
      <c r="D297" s="623">
        <f t="shared" si="43"/>
        <v>7.8649983067619847E-2</v>
      </c>
      <c r="E297" s="623">
        <f t="shared" si="43"/>
        <v>0.13923469058788696</v>
      </c>
      <c r="F297" s="623" t="e">
        <f t="shared" si="43"/>
        <v>#DIV/0!</v>
      </c>
      <c r="G297" s="623" t="e">
        <f t="shared" si="43"/>
        <v>#DIV/0!</v>
      </c>
      <c r="H297" s="623" t="e">
        <f t="shared" si="43"/>
        <v>#DIV/0!</v>
      </c>
      <c r="I297" s="623" t="e">
        <f t="shared" si="43"/>
        <v>#DIV/0!</v>
      </c>
      <c r="J297" s="623" t="e">
        <f t="shared" si="43"/>
        <v>#DIV/0!</v>
      </c>
      <c r="K297" s="623" t="e">
        <f t="shared" si="43"/>
        <v>#DIV/0!</v>
      </c>
      <c r="L297" s="623" t="e">
        <f t="shared" si="43"/>
        <v>#DIV/0!</v>
      </c>
      <c r="M297" s="623" t="e">
        <f t="shared" si="43"/>
        <v>#DIV/0!</v>
      </c>
      <c r="N297" s="623" t="e">
        <f t="shared" ref="N297" si="45">(N283+N289)/SUM(N$281:N$292)</f>
        <v>#DIV/0!</v>
      </c>
      <c r="U297" s="29"/>
    </row>
    <row r="298" spans="1:21" s="4" customFormat="1">
      <c r="A298" s="269"/>
      <c r="B298" s="284" t="s">
        <v>136</v>
      </c>
      <c r="C298" s="553">
        <f t="shared" si="43"/>
        <v>0</v>
      </c>
      <c r="D298" s="623">
        <f t="shared" si="43"/>
        <v>2.1534867110560769E-6</v>
      </c>
      <c r="E298" s="623">
        <f t="shared" si="43"/>
        <v>4.0602030108674754E-3</v>
      </c>
      <c r="F298" s="623" t="e">
        <f t="shared" si="43"/>
        <v>#DIV/0!</v>
      </c>
      <c r="G298" s="623" t="e">
        <f t="shared" si="43"/>
        <v>#DIV/0!</v>
      </c>
      <c r="H298" s="623" t="e">
        <f t="shared" si="43"/>
        <v>#DIV/0!</v>
      </c>
      <c r="I298" s="623" t="e">
        <f t="shared" si="43"/>
        <v>#DIV/0!</v>
      </c>
      <c r="J298" s="623" t="e">
        <f t="shared" si="43"/>
        <v>#DIV/0!</v>
      </c>
      <c r="K298" s="623" t="e">
        <f t="shared" si="43"/>
        <v>#DIV/0!</v>
      </c>
      <c r="L298" s="623" t="e">
        <f t="shared" si="43"/>
        <v>#DIV/0!</v>
      </c>
      <c r="M298" s="623" t="e">
        <f t="shared" si="43"/>
        <v>#DIV/0!</v>
      </c>
      <c r="N298" s="623" t="e">
        <f t="shared" ref="N298" si="46">(N284+N290)/SUM(N$281:N$292)</f>
        <v>#DIV/0!</v>
      </c>
      <c r="U298" s="29"/>
    </row>
    <row r="299" spans="1:21" s="4" customFormat="1">
      <c r="A299" s="269"/>
      <c r="B299" s="284" t="s">
        <v>61</v>
      </c>
      <c r="C299" s="553">
        <f t="shared" si="43"/>
        <v>0</v>
      </c>
      <c r="D299" s="623">
        <f t="shared" si="43"/>
        <v>1.8383423143161633E-7</v>
      </c>
      <c r="E299" s="623">
        <f t="shared" si="43"/>
        <v>6.5136946698408693E-5</v>
      </c>
      <c r="F299" s="623" t="e">
        <f t="shared" si="43"/>
        <v>#DIV/0!</v>
      </c>
      <c r="G299" s="623" t="e">
        <f t="shared" si="43"/>
        <v>#DIV/0!</v>
      </c>
      <c r="H299" s="623" t="e">
        <f t="shared" si="43"/>
        <v>#DIV/0!</v>
      </c>
      <c r="I299" s="623" t="e">
        <f t="shared" si="43"/>
        <v>#DIV/0!</v>
      </c>
      <c r="J299" s="623" t="e">
        <f t="shared" si="43"/>
        <v>#DIV/0!</v>
      </c>
      <c r="K299" s="623" t="e">
        <f t="shared" si="43"/>
        <v>#DIV/0!</v>
      </c>
      <c r="L299" s="623" t="e">
        <f t="shared" si="43"/>
        <v>#DIV/0!</v>
      </c>
      <c r="M299" s="623" t="e">
        <f t="shared" si="43"/>
        <v>#DIV/0!</v>
      </c>
      <c r="N299" s="623" t="e">
        <f t="shared" ref="N299" si="47">(N285+N291)/SUM(N$281:N$292)</f>
        <v>#DIV/0!</v>
      </c>
      <c r="U299" s="29"/>
    </row>
    <row r="300" spans="1:21" s="4" customFormat="1">
      <c r="A300" s="269"/>
      <c r="B300" s="284" t="s">
        <v>137</v>
      </c>
      <c r="C300" s="553">
        <f t="shared" si="43"/>
        <v>0</v>
      </c>
      <c r="D300" s="623">
        <f t="shared" si="43"/>
        <v>0</v>
      </c>
      <c r="E300" s="623">
        <f t="shared" si="43"/>
        <v>0</v>
      </c>
      <c r="F300" s="623" t="e">
        <f t="shared" si="43"/>
        <v>#DIV/0!</v>
      </c>
      <c r="G300" s="623" t="e">
        <f t="shared" si="43"/>
        <v>#DIV/0!</v>
      </c>
      <c r="H300" s="623" t="e">
        <f t="shared" si="43"/>
        <v>#DIV/0!</v>
      </c>
      <c r="I300" s="623" t="e">
        <f t="shared" si="43"/>
        <v>#DIV/0!</v>
      </c>
      <c r="J300" s="623" t="e">
        <f t="shared" si="43"/>
        <v>#DIV/0!</v>
      </c>
      <c r="K300" s="623" t="e">
        <f t="shared" si="43"/>
        <v>#DIV/0!</v>
      </c>
      <c r="L300" s="623" t="e">
        <f t="shared" si="43"/>
        <v>#DIV/0!</v>
      </c>
      <c r="M300" s="623" t="e">
        <f t="shared" si="43"/>
        <v>#DIV/0!</v>
      </c>
      <c r="N300" s="623" t="e">
        <f t="shared" ref="N300" si="48">(N286+N292)/SUM(N$281:N$292)</f>
        <v>#DIV/0!</v>
      </c>
      <c r="U300" s="29"/>
    </row>
    <row r="301" spans="1:21" s="4" customFormat="1">
      <c r="A301" s="269"/>
      <c r="B301" s="284"/>
      <c r="C301" s="555"/>
      <c r="D301" s="499"/>
      <c r="E301" s="499"/>
      <c r="F301" s="499"/>
      <c r="G301" s="499"/>
      <c r="H301" s="499"/>
      <c r="I301" s="499"/>
      <c r="J301" s="499"/>
      <c r="K301" s="499"/>
      <c r="L301" s="499"/>
      <c r="M301" s="499"/>
      <c r="N301" s="499"/>
      <c r="U301" s="29"/>
    </row>
    <row r="302" spans="1:21" s="4" customFormat="1">
      <c r="A302" s="269"/>
      <c r="B302" s="157" t="s">
        <v>77</v>
      </c>
      <c r="C302" s="554"/>
      <c r="D302" s="292"/>
      <c r="E302" s="292"/>
      <c r="F302" s="292"/>
      <c r="G302" s="292"/>
      <c r="H302" s="292"/>
      <c r="I302" s="292"/>
      <c r="J302" s="292"/>
      <c r="K302" s="292"/>
      <c r="L302" s="292"/>
      <c r="M302" s="292"/>
      <c r="N302" s="292"/>
      <c r="U302" s="29"/>
    </row>
    <row r="303" spans="1:21" s="4" customFormat="1">
      <c r="A303" s="269"/>
      <c r="B303" s="284" t="s">
        <v>78</v>
      </c>
      <c r="C303" s="553">
        <f t="shared" ref="C303:L303" si="49">SUM(C281:C284)/SUM(C281:C291)</f>
        <v>0.49223811974149628</v>
      </c>
      <c r="D303" s="270">
        <f t="shared" si="49"/>
        <v>0.51759665005603139</v>
      </c>
      <c r="E303" s="270">
        <f t="shared" si="49"/>
        <v>0.51062985751886947</v>
      </c>
      <c r="F303" s="270" t="e">
        <f t="shared" si="49"/>
        <v>#DIV/0!</v>
      </c>
      <c r="G303" s="270" t="e">
        <f t="shared" si="49"/>
        <v>#DIV/0!</v>
      </c>
      <c r="H303" s="270" t="e">
        <f t="shared" si="49"/>
        <v>#DIV/0!</v>
      </c>
      <c r="I303" s="270" t="e">
        <f t="shared" si="49"/>
        <v>#DIV/0!</v>
      </c>
      <c r="J303" s="270" t="e">
        <f t="shared" si="49"/>
        <v>#DIV/0!</v>
      </c>
      <c r="K303" s="270" t="e">
        <f t="shared" si="49"/>
        <v>#DIV/0!</v>
      </c>
      <c r="L303" s="270" t="e">
        <f t="shared" si="49"/>
        <v>#DIV/0!</v>
      </c>
      <c r="M303" s="270" t="e">
        <f t="shared" ref="M303:N303" si="50">SUM(M281:M284)/SUM(M281:M291)</f>
        <v>#DIV/0!</v>
      </c>
      <c r="N303" s="270" t="e">
        <f t="shared" si="50"/>
        <v>#DIV/0!</v>
      </c>
      <c r="U303" s="29"/>
    </row>
    <row r="304" spans="1:21" s="4" customFormat="1">
      <c r="A304" s="269"/>
      <c r="B304" s="284" t="s">
        <v>79</v>
      </c>
      <c r="C304" s="553">
        <f t="shared" ref="C304:L304" si="51">SUM(C287:C291)/SUM(C281:C291)</f>
        <v>0.50776188025850366</v>
      </c>
      <c r="D304" s="270">
        <f t="shared" si="51"/>
        <v>0.48240334994396855</v>
      </c>
      <c r="E304" s="270">
        <f t="shared" si="51"/>
        <v>0.48937014248113053</v>
      </c>
      <c r="F304" s="270" t="e">
        <f t="shared" si="51"/>
        <v>#DIV/0!</v>
      </c>
      <c r="G304" s="270" t="e">
        <f t="shared" si="51"/>
        <v>#DIV/0!</v>
      </c>
      <c r="H304" s="270" t="e">
        <f t="shared" si="51"/>
        <v>#DIV/0!</v>
      </c>
      <c r="I304" s="270" t="e">
        <f t="shared" si="51"/>
        <v>#DIV/0!</v>
      </c>
      <c r="J304" s="270" t="e">
        <f t="shared" si="51"/>
        <v>#DIV/0!</v>
      </c>
      <c r="K304" s="270" t="e">
        <f t="shared" si="51"/>
        <v>#DIV/0!</v>
      </c>
      <c r="L304" s="270" t="e">
        <f t="shared" si="51"/>
        <v>#DIV/0!</v>
      </c>
      <c r="M304" s="270" t="e">
        <f t="shared" ref="M304:N304" si="52">SUM(M287:M291)/SUM(M281:M291)</f>
        <v>#DIV/0!</v>
      </c>
      <c r="N304" s="270" t="e">
        <f t="shared" si="52"/>
        <v>#DIV/0!</v>
      </c>
      <c r="U304" s="29"/>
    </row>
    <row r="305" spans="1:34" s="4" customFormat="1">
      <c r="A305" s="269"/>
      <c r="B305" s="284"/>
      <c r="C305" s="555"/>
      <c r="D305" s="499"/>
      <c r="E305" s="499"/>
      <c r="F305" s="499"/>
      <c r="G305" s="499"/>
      <c r="H305" s="499"/>
      <c r="I305" s="499"/>
      <c r="J305" s="499"/>
      <c r="K305" s="499"/>
      <c r="L305" s="499"/>
      <c r="M305" s="499"/>
      <c r="N305" s="499"/>
      <c r="U305" s="29"/>
    </row>
    <row r="306" spans="1:34" s="4" customFormat="1">
      <c r="A306" s="269"/>
      <c r="B306" s="157" t="s">
        <v>80</v>
      </c>
      <c r="C306" s="275"/>
      <c r="D306" s="269"/>
      <c r="E306" s="269"/>
      <c r="F306" s="269"/>
      <c r="G306" s="269"/>
      <c r="H306" s="269"/>
      <c r="I306" s="269"/>
      <c r="J306" s="269"/>
      <c r="K306" s="269"/>
      <c r="L306" s="269"/>
      <c r="M306" s="269"/>
      <c r="N306" s="269"/>
      <c r="U306" s="29"/>
    </row>
    <row r="307" spans="1:34" s="4" customFormat="1">
      <c r="A307" s="269"/>
      <c r="B307" s="284" t="s">
        <v>78</v>
      </c>
      <c r="C307" s="553">
        <f t="shared" ref="C307:K307" si="53">(C282+C283+C284)/(C282+C283+C288+C289+C290+C291)</f>
        <v>0.5887925234303405</v>
      </c>
      <c r="D307" s="270">
        <f t="shared" si="53"/>
        <v>0.57567520829033536</v>
      </c>
      <c r="E307" s="270">
        <f t="shared" si="53"/>
        <v>0.58824149851894847</v>
      </c>
      <c r="F307" s="270" t="e">
        <f t="shared" si="53"/>
        <v>#DIV/0!</v>
      </c>
      <c r="G307" s="270" t="e">
        <f t="shared" si="53"/>
        <v>#DIV/0!</v>
      </c>
      <c r="H307" s="270" t="e">
        <f t="shared" si="53"/>
        <v>#DIV/0!</v>
      </c>
      <c r="I307" s="270" t="e">
        <f t="shared" si="53"/>
        <v>#DIV/0!</v>
      </c>
      <c r="J307" s="270" t="e">
        <f t="shared" si="53"/>
        <v>#DIV/0!</v>
      </c>
      <c r="K307" s="270" t="e">
        <f t="shared" si="53"/>
        <v>#DIV/0!</v>
      </c>
      <c r="L307" s="270" t="e">
        <f>(L282+L283+L284)/(L282+L283+L288+L289+L290+L291)</f>
        <v>#DIV/0!</v>
      </c>
      <c r="M307" s="270" t="e">
        <f>(M282+M283+M284)/(M282+M283+M288+M289+M290+M291)</f>
        <v>#DIV/0!</v>
      </c>
      <c r="N307" s="270" t="e">
        <f>(N282+N283+N284)/(N282+N283+N288+N289+N290+N291)</f>
        <v>#DIV/0!</v>
      </c>
      <c r="U307" s="29"/>
    </row>
    <row r="308" spans="1:34" s="4" customFormat="1">
      <c r="A308" s="269"/>
      <c r="B308" s="284" t="s">
        <v>79</v>
      </c>
      <c r="C308" s="553">
        <f t="shared" ref="C308:L308" si="54">1-C307</f>
        <v>0.4112074765696595</v>
      </c>
      <c r="D308" s="270">
        <f t="shared" si="54"/>
        <v>0.42432479170966464</v>
      </c>
      <c r="E308" s="270">
        <f t="shared" si="54"/>
        <v>0.41175850148105153</v>
      </c>
      <c r="F308" s="270" t="e">
        <f t="shared" si="54"/>
        <v>#DIV/0!</v>
      </c>
      <c r="G308" s="270" t="e">
        <f t="shared" si="54"/>
        <v>#DIV/0!</v>
      </c>
      <c r="H308" s="270" t="e">
        <f t="shared" si="54"/>
        <v>#DIV/0!</v>
      </c>
      <c r="I308" s="270" t="e">
        <f t="shared" si="54"/>
        <v>#DIV/0!</v>
      </c>
      <c r="J308" s="270" t="e">
        <f t="shared" si="54"/>
        <v>#DIV/0!</v>
      </c>
      <c r="K308" s="270" t="e">
        <f t="shared" si="54"/>
        <v>#DIV/0!</v>
      </c>
      <c r="L308" s="270" t="e">
        <f t="shared" si="54"/>
        <v>#DIV/0!</v>
      </c>
      <c r="M308" s="270" t="e">
        <f t="shared" ref="M308:N308" si="55">1-M307</f>
        <v>#DIV/0!</v>
      </c>
      <c r="N308" s="270" t="e">
        <f t="shared" si="55"/>
        <v>#DIV/0!</v>
      </c>
      <c r="U308" s="29"/>
    </row>
    <row r="309" spans="1:34" s="4" customFormat="1">
      <c r="A309" s="269"/>
      <c r="B309" s="269"/>
      <c r="C309" s="285"/>
      <c r="D309" s="285"/>
      <c r="E309" s="285"/>
      <c r="F309" s="285"/>
      <c r="G309" s="285"/>
      <c r="H309" s="285"/>
      <c r="I309" s="285"/>
      <c r="J309" s="285"/>
      <c r="K309" s="285"/>
      <c r="L309" s="285"/>
      <c r="M309" s="285"/>
      <c r="N309" s="285"/>
      <c r="O309" s="285"/>
      <c r="P309" s="285"/>
      <c r="Q309" s="285"/>
      <c r="U309" s="29"/>
    </row>
    <row r="310" spans="1:34">
      <c r="AH310" s="4"/>
    </row>
    <row r="311" spans="1:34" ht="21">
      <c r="B311" s="148" t="s">
        <v>278</v>
      </c>
    </row>
    <row r="331" spans="2:21" ht="15.6">
      <c r="B331" s="111" t="s">
        <v>279</v>
      </c>
      <c r="C331" s="385">
        <v>2016</v>
      </c>
      <c r="D331" s="386">
        <v>2017</v>
      </c>
      <c r="E331" s="386">
        <v>2018</v>
      </c>
      <c r="F331" s="386">
        <v>2019</v>
      </c>
      <c r="G331" s="386">
        <v>2020</v>
      </c>
      <c r="H331" s="386">
        <v>2021</v>
      </c>
      <c r="I331" s="386">
        <v>2022</v>
      </c>
      <c r="J331" s="386">
        <v>2023</v>
      </c>
      <c r="K331" s="386">
        <v>2024</v>
      </c>
      <c r="L331" s="386">
        <v>2025</v>
      </c>
      <c r="M331" s="386">
        <v>2026</v>
      </c>
      <c r="N331" s="386">
        <v>2027</v>
      </c>
    </row>
    <row r="332" spans="2:21" ht="15.6">
      <c r="B332" s="273" t="str">
        <f>'Products x speed'!C24</f>
        <v>100 - 300 m</v>
      </c>
      <c r="C332" s="158">
        <f>'Products x speed'!E24</f>
        <v>7146</v>
      </c>
      <c r="D332" s="159">
        <f>'Products x speed'!F24</f>
        <v>95865</v>
      </c>
      <c r="E332" s="159">
        <f>'Products x speed'!G24</f>
        <v>318978</v>
      </c>
      <c r="F332" s="159">
        <f>'Products x speed'!H24</f>
        <v>0</v>
      </c>
      <c r="G332" s="159">
        <f>'Products x speed'!I24</f>
        <v>0</v>
      </c>
      <c r="H332" s="159">
        <f>'Products x speed'!J24</f>
        <v>0</v>
      </c>
      <c r="I332" s="159">
        <f>'Products x speed'!K24</f>
        <v>0</v>
      </c>
      <c r="J332" s="159">
        <f>'Products x speed'!L24</f>
        <v>0</v>
      </c>
      <c r="K332" s="159">
        <f>'Products x speed'!M24</f>
        <v>0</v>
      </c>
      <c r="L332" s="159">
        <f>'Products x speed'!N24</f>
        <v>0</v>
      </c>
      <c r="M332" s="159">
        <f>'Products x speed'!O24</f>
        <v>0</v>
      </c>
      <c r="N332" s="159">
        <f>'Products x speed'!P24</f>
        <v>0</v>
      </c>
      <c r="U332" s="540"/>
    </row>
    <row r="333" spans="2:21" ht="15.6">
      <c r="B333" s="275" t="str">
        <f>'Products x speed'!C25</f>
        <v>10 km</v>
      </c>
      <c r="C333" s="160">
        <f>'Products x speed'!E25</f>
        <v>4548</v>
      </c>
      <c r="D333" s="161">
        <f>'Products x speed'!F25</f>
        <v>17462</v>
      </c>
      <c r="E333" s="161">
        <f>'Products x speed'!G25</f>
        <v>56709</v>
      </c>
      <c r="F333" s="161">
        <f>'Products x speed'!H25</f>
        <v>0</v>
      </c>
      <c r="G333" s="161">
        <f>'Products x speed'!I25</f>
        <v>0</v>
      </c>
      <c r="H333" s="161">
        <f>'Products x speed'!J25</f>
        <v>0</v>
      </c>
      <c r="I333" s="161">
        <f>'Products x speed'!K25</f>
        <v>0</v>
      </c>
      <c r="J333" s="161">
        <f>'Products x speed'!L25</f>
        <v>0</v>
      </c>
      <c r="K333" s="161">
        <f>'Products x speed'!M25</f>
        <v>0</v>
      </c>
      <c r="L333" s="161">
        <f>'Products x speed'!N25</f>
        <v>0</v>
      </c>
      <c r="M333" s="161">
        <f>'Products x speed'!O25</f>
        <v>0</v>
      </c>
      <c r="N333" s="161">
        <f>'Products x speed'!P25</f>
        <v>0</v>
      </c>
      <c r="U333" s="540"/>
    </row>
    <row r="334" spans="2:21" ht="15.6">
      <c r="B334" s="296" t="str">
        <f>'Products x speed'!C26</f>
        <v>40 km</v>
      </c>
      <c r="C334" s="160">
        <f>'Products x speed'!E26</f>
        <v>0</v>
      </c>
      <c r="D334" s="161">
        <f>'Products x speed'!F26</f>
        <v>0</v>
      </c>
      <c r="E334" s="161">
        <f>'Products x speed'!G26</f>
        <v>0</v>
      </c>
      <c r="F334" s="161">
        <f>'Products x speed'!H26</f>
        <v>0</v>
      </c>
      <c r="G334" s="161">
        <f>'Products x speed'!I26</f>
        <v>0</v>
      </c>
      <c r="H334" s="161">
        <f>'Products x speed'!J26</f>
        <v>0</v>
      </c>
      <c r="I334" s="161">
        <f>'Products x speed'!K26</f>
        <v>0</v>
      </c>
      <c r="J334" s="161">
        <f>'Products x speed'!L26</f>
        <v>0</v>
      </c>
      <c r="K334" s="161">
        <f>'Products x speed'!M26</f>
        <v>0</v>
      </c>
      <c r="L334" s="161">
        <f>'Products x speed'!N26</f>
        <v>0</v>
      </c>
      <c r="M334" s="161">
        <f>'Products x speed'!O26</f>
        <v>0</v>
      </c>
      <c r="N334" s="161">
        <f>'Products x speed'!P26</f>
        <v>0</v>
      </c>
      <c r="U334" s="540"/>
    </row>
    <row r="335" spans="2:21">
      <c r="B335" s="296" t="s">
        <v>84</v>
      </c>
      <c r="C335" s="376">
        <f t="shared" ref="C335:L335" si="56">SUM(C332:C334)</f>
        <v>11694</v>
      </c>
      <c r="D335" s="377">
        <f t="shared" si="56"/>
        <v>113327</v>
      </c>
      <c r="E335" s="377">
        <f t="shared" si="56"/>
        <v>375687</v>
      </c>
      <c r="F335" s="377">
        <f t="shared" si="56"/>
        <v>0</v>
      </c>
      <c r="G335" s="377">
        <f t="shared" si="56"/>
        <v>0</v>
      </c>
      <c r="H335" s="377">
        <f t="shared" si="56"/>
        <v>0</v>
      </c>
      <c r="I335" s="377">
        <f t="shared" si="56"/>
        <v>0</v>
      </c>
      <c r="J335" s="377">
        <f t="shared" si="56"/>
        <v>0</v>
      </c>
      <c r="K335" s="377">
        <f t="shared" si="56"/>
        <v>0</v>
      </c>
      <c r="L335" s="377">
        <f t="shared" si="56"/>
        <v>0</v>
      </c>
      <c r="M335" s="377">
        <f t="shared" ref="M335:N335" si="57">SUM(M332:M334)</f>
        <v>0</v>
      </c>
      <c r="N335" s="377">
        <f t="shared" si="57"/>
        <v>0</v>
      </c>
    </row>
    <row r="336" spans="2:21">
      <c r="B336" s="324" t="s">
        <v>90</v>
      </c>
      <c r="C336" s="270"/>
      <c r="D336" s="270">
        <f t="shared" ref="D336:N336" si="58">D335/C335-1</f>
        <v>8.6910381392166922</v>
      </c>
      <c r="E336" s="270">
        <f t="shared" si="58"/>
        <v>2.3150705480600386</v>
      </c>
      <c r="F336" s="270">
        <f t="shared" si="58"/>
        <v>-1</v>
      </c>
      <c r="G336" s="270" t="e">
        <f t="shared" si="58"/>
        <v>#DIV/0!</v>
      </c>
      <c r="H336" s="270" t="e">
        <f t="shared" si="58"/>
        <v>#DIV/0!</v>
      </c>
      <c r="I336" s="270" t="e">
        <f t="shared" si="58"/>
        <v>#DIV/0!</v>
      </c>
      <c r="J336" s="270" t="e">
        <f t="shared" si="58"/>
        <v>#DIV/0!</v>
      </c>
      <c r="K336" s="270" t="e">
        <f t="shared" si="58"/>
        <v>#DIV/0!</v>
      </c>
      <c r="L336" s="270" t="e">
        <f t="shared" si="58"/>
        <v>#DIV/0!</v>
      </c>
      <c r="M336" s="270" t="e">
        <f t="shared" si="58"/>
        <v>#DIV/0!</v>
      </c>
      <c r="N336" s="270" t="e">
        <f t="shared" si="58"/>
        <v>#DIV/0!</v>
      </c>
    </row>
    <row r="337" spans="2:21" s="276" customFormat="1">
      <c r="U337" s="506"/>
    </row>
    <row r="340" spans="2:21" ht="21">
      <c r="B340" s="148" t="s">
        <v>282</v>
      </c>
    </row>
    <row r="341" spans="2:21" ht="21">
      <c r="B341" s="300" t="s">
        <v>346</v>
      </c>
      <c r="H341" s="300" t="s">
        <v>347</v>
      </c>
    </row>
    <row r="363" spans="2:21" ht="15.6">
      <c r="B363" s="111" t="s">
        <v>283</v>
      </c>
    </row>
    <row r="364" spans="2:21">
      <c r="C364" s="385">
        <v>2016</v>
      </c>
      <c r="D364" s="386">
        <v>2017</v>
      </c>
      <c r="E364" s="386">
        <v>2018</v>
      </c>
      <c r="F364" s="386">
        <v>2019</v>
      </c>
      <c r="G364" s="386">
        <v>2020</v>
      </c>
      <c r="H364" s="386">
        <v>2021</v>
      </c>
      <c r="I364" s="386">
        <v>2022</v>
      </c>
      <c r="J364" s="386">
        <v>2023</v>
      </c>
      <c r="K364" s="386">
        <v>2024</v>
      </c>
      <c r="L364" s="386">
        <v>2025</v>
      </c>
      <c r="M364" s="386">
        <v>2026</v>
      </c>
      <c r="N364" s="386">
        <v>2027</v>
      </c>
    </row>
    <row r="365" spans="2:21">
      <c r="B365" s="273" t="s">
        <v>34</v>
      </c>
      <c r="C365" s="158">
        <f>'Products x speed'!E27+'Products x speed'!E28</f>
        <v>1254229</v>
      </c>
      <c r="D365" s="159">
        <f>'Products x speed'!F27+'Products x speed'!F28</f>
        <v>1544331</v>
      </c>
      <c r="E365" s="159">
        <f>'Products x speed'!G27+'Products x speed'!G28</f>
        <v>1554966.5</v>
      </c>
      <c r="F365" s="159">
        <f>'Products x speed'!H27+'Products x speed'!H28</f>
        <v>0</v>
      </c>
      <c r="G365" s="159">
        <f>'Products x speed'!I27+'Products x speed'!I28</f>
        <v>0</v>
      </c>
      <c r="H365" s="159">
        <f>'Products x speed'!J27+'Products x speed'!J28</f>
        <v>0</v>
      </c>
      <c r="I365" s="159">
        <f>'Products x speed'!K27+'Products x speed'!K28</f>
        <v>0</v>
      </c>
      <c r="J365" s="159">
        <f>'Products x speed'!L27+'Products x speed'!L28</f>
        <v>0</v>
      </c>
      <c r="K365" s="159">
        <f>'Products x speed'!M27+'Products x speed'!M28</f>
        <v>0</v>
      </c>
      <c r="L365" s="159">
        <f>'Products x speed'!N27+'Products x speed'!N28</f>
        <v>0</v>
      </c>
      <c r="M365" s="159">
        <f>'Products x speed'!O27+'Products x speed'!O28</f>
        <v>0</v>
      </c>
      <c r="N365" s="159">
        <f>'Products x speed'!P27+'Products x speed'!P28</f>
        <v>0</v>
      </c>
    </row>
    <row r="366" spans="2:21" ht="15.6">
      <c r="B366" s="275" t="s">
        <v>41</v>
      </c>
      <c r="C366" s="160">
        <f>'Products x speed'!E29</f>
        <v>275269</v>
      </c>
      <c r="D366" s="161">
        <f>'Products x speed'!F29</f>
        <v>466535</v>
      </c>
      <c r="E366" s="161">
        <f>'Products x speed'!G29</f>
        <v>491067</v>
      </c>
      <c r="F366" s="161">
        <f>'Products x speed'!H29</f>
        <v>0</v>
      </c>
      <c r="G366" s="161">
        <f>'Products x speed'!I29</f>
        <v>0</v>
      </c>
      <c r="H366" s="161">
        <f>'Products x speed'!J29</f>
        <v>0</v>
      </c>
      <c r="I366" s="161">
        <f>'Products x speed'!K29</f>
        <v>0</v>
      </c>
      <c r="J366" s="161">
        <f>'Products x speed'!L29</f>
        <v>0</v>
      </c>
      <c r="K366" s="161">
        <f>'Products x speed'!M29</f>
        <v>0</v>
      </c>
      <c r="L366" s="161">
        <f>'Products x speed'!N29</f>
        <v>0</v>
      </c>
      <c r="M366" s="161">
        <f>'Products x speed'!O29</f>
        <v>0</v>
      </c>
      <c r="N366" s="161">
        <f>'Products x speed'!P29</f>
        <v>0</v>
      </c>
      <c r="U366" s="539"/>
    </row>
    <row r="367" spans="2:21" ht="15.6">
      <c r="B367" s="275" t="s">
        <v>44</v>
      </c>
      <c r="C367" s="160">
        <f>'Products x speed'!E30</f>
        <v>813790</v>
      </c>
      <c r="D367" s="161">
        <f>'Products x speed'!F30</f>
        <v>613640</v>
      </c>
      <c r="E367" s="161">
        <f>'Products x speed'!G30</f>
        <v>502708</v>
      </c>
      <c r="F367" s="161">
        <f>'Products x speed'!H30</f>
        <v>0</v>
      </c>
      <c r="G367" s="161">
        <f>'Products x speed'!I30</f>
        <v>0</v>
      </c>
      <c r="H367" s="161">
        <f>'Products x speed'!J30</f>
        <v>0</v>
      </c>
      <c r="I367" s="161">
        <f>'Products x speed'!K30</f>
        <v>0</v>
      </c>
      <c r="J367" s="161">
        <f>'Products x speed'!L30</f>
        <v>0</v>
      </c>
      <c r="K367" s="161">
        <f>'Products x speed'!M30</f>
        <v>0</v>
      </c>
      <c r="L367" s="161">
        <f>'Products x speed'!N30</f>
        <v>0</v>
      </c>
      <c r="M367" s="161">
        <f>'Products x speed'!O30</f>
        <v>0</v>
      </c>
      <c r="N367" s="161">
        <f>'Products x speed'!P30</f>
        <v>0</v>
      </c>
      <c r="U367" s="540"/>
    </row>
    <row r="368" spans="2:21" ht="15.6">
      <c r="B368" s="275" t="s">
        <v>47</v>
      </c>
      <c r="C368" s="160">
        <f>'Products x speed'!E31+'Products x speed'!E32</f>
        <v>471000</v>
      </c>
      <c r="D368" s="161">
        <f>'Products x speed'!F31+'Products x speed'!F32</f>
        <v>807018</v>
      </c>
      <c r="E368" s="161">
        <f>'Products x speed'!G31+'Products x speed'!G32</f>
        <v>271821</v>
      </c>
      <c r="F368" s="161">
        <f>'Products x speed'!H31+'Products x speed'!H32</f>
        <v>0</v>
      </c>
      <c r="G368" s="161">
        <f>'Products x speed'!I31+'Products x speed'!I32</f>
        <v>0</v>
      </c>
      <c r="H368" s="161">
        <f>'Products x speed'!J31+'Products x speed'!J32</f>
        <v>0</v>
      </c>
      <c r="I368" s="161">
        <f>'Products x speed'!K31+'Products x speed'!K32</f>
        <v>0</v>
      </c>
      <c r="J368" s="161">
        <f>'Products x speed'!L31+'Products x speed'!L32</f>
        <v>0</v>
      </c>
      <c r="K368" s="161">
        <f>'Products x speed'!M31+'Products x speed'!M32</f>
        <v>0</v>
      </c>
      <c r="L368" s="161">
        <f>'Products x speed'!N31+'Products x speed'!N32</f>
        <v>0</v>
      </c>
      <c r="M368" s="161">
        <f>'Products x speed'!O31+'Products x speed'!O32</f>
        <v>0</v>
      </c>
      <c r="N368" s="161">
        <f>'Products x speed'!P31+'Products x speed'!P32</f>
        <v>0</v>
      </c>
      <c r="U368" s="540"/>
    </row>
    <row r="369" spans="1:21" ht="15.6">
      <c r="B369" s="275" t="s">
        <v>50</v>
      </c>
      <c r="C369" s="160">
        <f>'Products x speed'!E33+'Products x speed'!E34</f>
        <v>333886</v>
      </c>
      <c r="D369" s="161">
        <f>'Products x speed'!F33+'Products x speed'!F34</f>
        <v>427204</v>
      </c>
      <c r="E369" s="161">
        <f>'Products x speed'!G33+'Products x speed'!G34</f>
        <v>269337</v>
      </c>
      <c r="F369" s="161">
        <f>'Products x speed'!H33+'Products x speed'!H34</f>
        <v>0</v>
      </c>
      <c r="G369" s="161">
        <f>'Products x speed'!I33+'Products x speed'!I34</f>
        <v>0</v>
      </c>
      <c r="H369" s="161">
        <f>'Products x speed'!J33+'Products x speed'!J34</f>
        <v>0</v>
      </c>
      <c r="I369" s="161">
        <f>'Products x speed'!K33+'Products x speed'!K34</f>
        <v>0</v>
      </c>
      <c r="J369" s="161">
        <f>'Products x speed'!L33+'Products x speed'!L34</f>
        <v>0</v>
      </c>
      <c r="K369" s="161">
        <f>'Products x speed'!M33+'Products x speed'!M34</f>
        <v>0</v>
      </c>
      <c r="L369" s="161">
        <f>'Products x speed'!N33+'Products x speed'!N34</f>
        <v>0</v>
      </c>
      <c r="M369" s="161">
        <f>'Products x speed'!O33+'Products x speed'!O34</f>
        <v>0</v>
      </c>
      <c r="N369" s="161">
        <f>'Products x speed'!P33+'Products x speed'!P34</f>
        <v>0</v>
      </c>
      <c r="U369" s="540"/>
    </row>
    <row r="370" spans="1:21" s="4" customFormat="1">
      <c r="A370" s="10"/>
      <c r="B370" s="275" t="s">
        <v>55</v>
      </c>
      <c r="C370" s="162">
        <f>'Products x speed'!E35</f>
        <v>4894</v>
      </c>
      <c r="D370" s="163">
        <f>'Products x speed'!F35</f>
        <v>5432</v>
      </c>
      <c r="E370" s="163">
        <f>'Products x speed'!G35</f>
        <v>8224</v>
      </c>
      <c r="F370" s="163">
        <f>'Products x speed'!H35</f>
        <v>0</v>
      </c>
      <c r="G370" s="163">
        <f>'Products x speed'!I35</f>
        <v>0</v>
      </c>
      <c r="H370" s="163">
        <f>'Products x speed'!J35</f>
        <v>0</v>
      </c>
      <c r="I370" s="163">
        <f>'Products x speed'!K35</f>
        <v>0</v>
      </c>
      <c r="J370" s="163">
        <f>'Products x speed'!L35</f>
        <v>0</v>
      </c>
      <c r="K370" s="163">
        <f>'Products x speed'!M35</f>
        <v>0</v>
      </c>
      <c r="L370" s="163">
        <f>'Products x speed'!N35</f>
        <v>0</v>
      </c>
      <c r="M370" s="163">
        <f>'Products x speed'!O35</f>
        <v>0</v>
      </c>
      <c r="N370" s="163">
        <f>'Products x speed'!P35</f>
        <v>0</v>
      </c>
      <c r="U370" s="29"/>
    </row>
    <row r="371" spans="1:21">
      <c r="B371" s="271" t="s">
        <v>84</v>
      </c>
      <c r="C371" s="376">
        <f t="shared" ref="C371:L371" si="59">SUM(C365:C370)</f>
        <v>3153068</v>
      </c>
      <c r="D371" s="377">
        <f t="shared" si="59"/>
        <v>3864160</v>
      </c>
      <c r="E371" s="377">
        <f t="shared" si="59"/>
        <v>3098123.5</v>
      </c>
      <c r="F371" s="377">
        <f t="shared" si="59"/>
        <v>0</v>
      </c>
      <c r="G371" s="377">
        <f t="shared" si="59"/>
        <v>0</v>
      </c>
      <c r="H371" s="377">
        <f t="shared" si="59"/>
        <v>0</v>
      </c>
      <c r="I371" s="377">
        <f t="shared" si="59"/>
        <v>0</v>
      </c>
      <c r="J371" s="377">
        <f t="shared" si="59"/>
        <v>0</v>
      </c>
      <c r="K371" s="377">
        <f t="shared" si="59"/>
        <v>0</v>
      </c>
      <c r="L371" s="377">
        <f t="shared" si="59"/>
        <v>0</v>
      </c>
      <c r="M371" s="377">
        <f t="shared" ref="M371:N371" si="60">SUM(M365:M370)</f>
        <v>0</v>
      </c>
      <c r="N371" s="377">
        <f t="shared" si="60"/>
        <v>0</v>
      </c>
    </row>
    <row r="372" spans="1:21">
      <c r="B372" s="324" t="s">
        <v>90</v>
      </c>
      <c r="C372" s="270"/>
      <c r="D372" s="270">
        <f t="shared" ref="D372:N372" si="61">D371/C371-1</f>
        <v>0.22552383900378925</v>
      </c>
      <c r="E372" s="270">
        <f t="shared" si="61"/>
        <v>-0.19824140304749283</v>
      </c>
      <c r="F372" s="270">
        <f t="shared" si="61"/>
        <v>-1</v>
      </c>
      <c r="G372" s="270" t="e">
        <f t="shared" si="61"/>
        <v>#DIV/0!</v>
      </c>
      <c r="H372" s="270" t="e">
        <f t="shared" si="61"/>
        <v>#DIV/0!</v>
      </c>
      <c r="I372" s="270" t="e">
        <f t="shared" si="61"/>
        <v>#DIV/0!</v>
      </c>
      <c r="J372" s="270" t="e">
        <f t="shared" si="61"/>
        <v>#DIV/0!</v>
      </c>
      <c r="K372" s="270" t="e">
        <f t="shared" si="61"/>
        <v>#DIV/0!</v>
      </c>
      <c r="L372" s="270" t="e">
        <f t="shared" si="61"/>
        <v>#DIV/0!</v>
      </c>
      <c r="M372" s="270" t="e">
        <f t="shared" si="61"/>
        <v>#DIV/0!</v>
      </c>
      <c r="N372" s="270" t="e">
        <f t="shared" si="61"/>
        <v>#DIV/0!</v>
      </c>
    </row>
    <row r="373" spans="1:21" s="276" customFormat="1">
      <c r="B373" s="324"/>
      <c r="C373" s="269"/>
      <c r="D373" s="270"/>
      <c r="E373" s="270"/>
      <c r="F373" s="270"/>
      <c r="G373" s="270"/>
      <c r="H373" s="270"/>
      <c r="I373" s="270"/>
      <c r="J373" s="270"/>
      <c r="K373" s="270"/>
      <c r="L373" s="270"/>
      <c r="M373" s="270"/>
      <c r="N373" s="270"/>
      <c r="O373" s="270"/>
      <c r="P373" s="270"/>
      <c r="Q373" s="270"/>
      <c r="R373" s="270"/>
      <c r="S373" s="270"/>
      <c r="T373" s="270"/>
      <c r="U373" s="506"/>
    </row>
    <row r="374" spans="1:21" s="276" customFormat="1" ht="15.6">
      <c r="B374" s="111" t="s">
        <v>284</v>
      </c>
      <c r="C374" s="269"/>
      <c r="D374" s="269"/>
      <c r="E374" s="269"/>
      <c r="F374" s="269"/>
      <c r="G374" s="269"/>
      <c r="H374" s="269"/>
      <c r="I374" s="269"/>
      <c r="J374" s="269"/>
      <c r="K374" s="269"/>
      <c r="L374" s="269"/>
      <c r="M374" s="269"/>
      <c r="N374" s="269"/>
      <c r="O374" s="269"/>
      <c r="P374" s="269"/>
      <c r="Q374" s="269"/>
      <c r="R374" s="269"/>
      <c r="S374" s="269"/>
      <c r="T374" s="269"/>
      <c r="U374" s="506"/>
    </row>
    <row r="375" spans="1:21" s="276" customFormat="1">
      <c r="B375" s="269" t="s">
        <v>85</v>
      </c>
      <c r="C375" s="380">
        <v>2016</v>
      </c>
      <c r="D375" s="381">
        <v>2017</v>
      </c>
      <c r="E375" s="381">
        <v>2018</v>
      </c>
      <c r="F375" s="381">
        <v>2019</v>
      </c>
      <c r="G375" s="381">
        <v>2020</v>
      </c>
      <c r="H375" s="381">
        <v>2021</v>
      </c>
      <c r="I375" s="381">
        <v>2022</v>
      </c>
      <c r="J375" s="381">
        <v>2023</v>
      </c>
      <c r="K375" s="381">
        <v>2024</v>
      </c>
      <c r="L375" s="381">
        <v>2025</v>
      </c>
      <c r="M375" s="381">
        <v>2026</v>
      </c>
      <c r="N375" s="381">
        <v>2027</v>
      </c>
      <c r="U375" s="506"/>
    </row>
    <row r="376" spans="1:21" s="276" customFormat="1">
      <c r="B376" s="273" t="s">
        <v>38</v>
      </c>
      <c r="C376" s="160">
        <f>'Products x speed'!E31+'Products x speed'!E33</f>
        <v>7446</v>
      </c>
      <c r="D376" s="161">
        <f>'Products x speed'!F31+'Products x speed'!F33</f>
        <v>3248</v>
      </c>
      <c r="E376" s="161">
        <f>'Products x speed'!G31+'Products x speed'!G33</f>
        <v>0</v>
      </c>
      <c r="F376" s="161">
        <f>'Products x speed'!H31+'Products x speed'!H33</f>
        <v>0</v>
      </c>
      <c r="G376" s="161">
        <f>'Products x speed'!I31+'Products x speed'!I33</f>
        <v>0</v>
      </c>
      <c r="H376" s="161">
        <f>'Products x speed'!J31+'Products x speed'!J33</f>
        <v>0</v>
      </c>
      <c r="I376" s="161">
        <f>'Products x speed'!K31+'Products x speed'!K33</f>
        <v>0</v>
      </c>
      <c r="J376" s="161">
        <f>'Products x speed'!L31+'Products x speed'!L33</f>
        <v>0</v>
      </c>
      <c r="K376" s="161">
        <f>'Products x speed'!M31+'Products x speed'!M33</f>
        <v>0</v>
      </c>
      <c r="L376" s="161">
        <f>'Products x speed'!N31+'Products x speed'!N33</f>
        <v>0</v>
      </c>
      <c r="M376" s="161">
        <f>'Products x speed'!O31+'Products x speed'!O33</f>
        <v>0</v>
      </c>
      <c r="N376" s="161">
        <f>'Products x speed'!P31+'Products x speed'!P33</f>
        <v>0</v>
      </c>
      <c r="U376" s="506"/>
    </row>
    <row r="377" spans="1:21" s="276" customFormat="1">
      <c r="B377" s="275" t="s">
        <v>93</v>
      </c>
      <c r="C377" s="160">
        <f>'Products x speed'!E27+'Products x speed'!E28+'Products x speed'!E29+'Products x speed'!E30+'Products x speed'!E32+'Products x speed'!E34+'Products x speed'!E35</f>
        <v>3145622</v>
      </c>
      <c r="D377" s="161">
        <f>'Products x speed'!F27+'Products x speed'!F28+'Products x speed'!F29+'Products x speed'!F30+'Products x speed'!F32+'Products x speed'!F34+'Products x speed'!F35</f>
        <v>3860912</v>
      </c>
      <c r="E377" s="161">
        <f>'Products x speed'!G27+'Products x speed'!G28+'Products x speed'!G29+'Products x speed'!G30+'Products x speed'!G32+'Products x speed'!G34+'Products x speed'!G35</f>
        <v>3098123.5</v>
      </c>
      <c r="F377" s="161">
        <f>'Products x speed'!H27+'Products x speed'!H28+'Products x speed'!H29+'Products x speed'!H30+'Products x speed'!H32+'Products x speed'!H34+'Products x speed'!H35</f>
        <v>0</v>
      </c>
      <c r="G377" s="161">
        <f>'Products x speed'!I27+'Products x speed'!I28+'Products x speed'!I29+'Products x speed'!I30+'Products x speed'!I32+'Products x speed'!I34+'Products x speed'!I35</f>
        <v>0</v>
      </c>
      <c r="H377" s="161">
        <f>'Products x speed'!J27+'Products x speed'!J28+'Products x speed'!J29+'Products x speed'!J30+'Products x speed'!J32+'Products x speed'!J34+'Products x speed'!J35</f>
        <v>0</v>
      </c>
      <c r="I377" s="161">
        <f>'Products x speed'!K27+'Products x speed'!K28+'Products x speed'!K29+'Products x speed'!K30+'Products x speed'!K32+'Products x speed'!K34+'Products x speed'!K35</f>
        <v>0</v>
      </c>
      <c r="J377" s="161">
        <f>'Products x speed'!L27+'Products x speed'!L28+'Products x speed'!L29+'Products x speed'!L30+'Products x speed'!L32+'Products x speed'!L34+'Products x speed'!L35</f>
        <v>0</v>
      </c>
      <c r="K377" s="161">
        <f>'Products x speed'!M27+'Products x speed'!M28+'Products x speed'!M29+'Products x speed'!M30+'Products x speed'!M32+'Products x speed'!M34+'Products x speed'!M35</f>
        <v>0</v>
      </c>
      <c r="L377" s="161">
        <f>'Products x speed'!N27+'Products x speed'!N28+'Products x speed'!N29+'Products x speed'!N30+'Products x speed'!N32+'Products x speed'!N34+'Products x speed'!N35</f>
        <v>0</v>
      </c>
      <c r="M377" s="161">
        <f>'Products x speed'!O27+'Products x speed'!O28+'Products x speed'!O29+'Products x speed'!O30+'Products x speed'!O32+'Products x speed'!O34+'Products x speed'!O35</f>
        <v>0</v>
      </c>
      <c r="N377" s="161">
        <f>'Products x speed'!P27+'Products x speed'!P28+'Products x speed'!P29+'Products x speed'!P30+'Products x speed'!P32+'Products x speed'!P34+'Products x speed'!P35</f>
        <v>0</v>
      </c>
      <c r="U377" s="506"/>
    </row>
    <row r="378" spans="1:21">
      <c r="B378" s="271" t="s">
        <v>84</v>
      </c>
      <c r="C378" s="376">
        <f t="shared" ref="C378:L378" si="62">SUM(C376:C377)</f>
        <v>3153068</v>
      </c>
      <c r="D378" s="377">
        <f t="shared" si="62"/>
        <v>3864160</v>
      </c>
      <c r="E378" s="377">
        <f t="shared" si="62"/>
        <v>3098123.5</v>
      </c>
      <c r="F378" s="377">
        <f t="shared" si="62"/>
        <v>0</v>
      </c>
      <c r="G378" s="377">
        <f t="shared" si="62"/>
        <v>0</v>
      </c>
      <c r="H378" s="377">
        <f t="shared" si="62"/>
        <v>0</v>
      </c>
      <c r="I378" s="377">
        <f t="shared" si="62"/>
        <v>0</v>
      </c>
      <c r="J378" s="377">
        <f t="shared" si="62"/>
        <v>0</v>
      </c>
      <c r="K378" s="377">
        <f t="shared" si="62"/>
        <v>0</v>
      </c>
      <c r="L378" s="377">
        <f t="shared" si="62"/>
        <v>0</v>
      </c>
      <c r="M378" s="377">
        <f t="shared" ref="M378:N378" si="63">SUM(M376:M377)</f>
        <v>0</v>
      </c>
      <c r="N378" s="377">
        <f t="shared" si="63"/>
        <v>0</v>
      </c>
    </row>
    <row r="379" spans="1:21">
      <c r="B379" s="324" t="s">
        <v>90</v>
      </c>
      <c r="C379" s="270"/>
      <c r="D379" s="270">
        <f t="shared" ref="D379:N379" si="64">D378/C378-1</f>
        <v>0.22552383900378925</v>
      </c>
      <c r="E379" s="270">
        <f t="shared" si="64"/>
        <v>-0.19824140304749283</v>
      </c>
      <c r="F379" s="270">
        <f t="shared" si="64"/>
        <v>-1</v>
      </c>
      <c r="G379" s="270" t="e">
        <f t="shared" si="64"/>
        <v>#DIV/0!</v>
      </c>
      <c r="H379" s="270" t="e">
        <f t="shared" si="64"/>
        <v>#DIV/0!</v>
      </c>
      <c r="I379" s="270" t="e">
        <f t="shared" si="64"/>
        <v>#DIV/0!</v>
      </c>
      <c r="J379" s="270" t="e">
        <f t="shared" si="64"/>
        <v>#DIV/0!</v>
      </c>
      <c r="K379" s="270" t="e">
        <f t="shared" si="64"/>
        <v>#DIV/0!</v>
      </c>
      <c r="L379" s="270" t="e">
        <f t="shared" si="64"/>
        <v>#DIV/0!</v>
      </c>
      <c r="M379" s="270" t="e">
        <f t="shared" si="64"/>
        <v>#DIV/0!</v>
      </c>
      <c r="N379" s="270" t="e">
        <f t="shared" si="64"/>
        <v>#DIV/0!</v>
      </c>
    </row>
    <row r="380" spans="1:21" s="4" customFormat="1" ht="21">
      <c r="A380" s="10"/>
      <c r="B380" s="17"/>
      <c r="C380" s="269"/>
      <c r="U380" s="29"/>
    </row>
    <row r="381" spans="1:21" s="4" customFormat="1" ht="21">
      <c r="A381" s="10"/>
      <c r="B381" s="17" t="s">
        <v>186</v>
      </c>
      <c r="U381" s="29"/>
    </row>
    <row r="382" spans="1:21" ht="21">
      <c r="B382" s="300" t="s">
        <v>22</v>
      </c>
      <c r="H382" s="300" t="s">
        <v>21</v>
      </c>
      <c r="Q382" s="300" t="s">
        <v>15</v>
      </c>
    </row>
    <row r="383" spans="1:21" s="4" customFormat="1" ht="13.2">
      <c r="A383" s="10"/>
      <c r="U383" s="29"/>
    </row>
    <row r="384" spans="1:21" s="4" customFormat="1" ht="13.2">
      <c r="A384" s="10"/>
      <c r="U384" s="29"/>
    </row>
    <row r="385" spans="1:21" s="4" customFormat="1" ht="13.2">
      <c r="A385" s="10"/>
      <c r="U385" s="29"/>
    </row>
    <row r="386" spans="1:21" s="4" customFormat="1" ht="13.2">
      <c r="A386" s="10"/>
      <c r="U386" s="29"/>
    </row>
    <row r="387" spans="1:21" s="4" customFormat="1" ht="13.2">
      <c r="A387" s="10"/>
      <c r="U387" s="29"/>
    </row>
    <row r="388" spans="1:21" s="4" customFormat="1" ht="13.2">
      <c r="A388" s="10"/>
      <c r="U388" s="29"/>
    </row>
    <row r="389" spans="1:21" s="4" customFormat="1" ht="13.2">
      <c r="A389" s="10"/>
      <c r="U389" s="29"/>
    </row>
    <row r="390" spans="1:21" s="4" customFormat="1" ht="13.2">
      <c r="A390" s="10"/>
      <c r="U390" s="29"/>
    </row>
    <row r="391" spans="1:21" s="4" customFormat="1" ht="13.2">
      <c r="A391" s="10"/>
      <c r="U391" s="29"/>
    </row>
    <row r="392" spans="1:21" s="4" customFormat="1" ht="13.2">
      <c r="A392" s="10"/>
      <c r="U392" s="29"/>
    </row>
    <row r="393" spans="1:21" s="4" customFormat="1" ht="13.2">
      <c r="A393" s="10"/>
      <c r="U393" s="29"/>
    </row>
    <row r="394" spans="1:21" s="4" customFormat="1" ht="13.2">
      <c r="A394" s="10"/>
      <c r="U394" s="29"/>
    </row>
    <row r="395" spans="1:21" s="4" customFormat="1" ht="13.2">
      <c r="A395" s="10"/>
      <c r="U395" s="29"/>
    </row>
    <row r="396" spans="1:21" s="4" customFormat="1" ht="13.2">
      <c r="A396" s="10"/>
      <c r="U396" s="29"/>
    </row>
    <row r="397" spans="1:21" s="4" customFormat="1" ht="13.2">
      <c r="A397" s="10"/>
      <c r="U397" s="29"/>
    </row>
    <row r="398" spans="1:21" s="4" customFormat="1" ht="13.2">
      <c r="A398" s="10"/>
      <c r="U398" s="29"/>
    </row>
    <row r="399" spans="1:21" s="4" customFormat="1" ht="13.2">
      <c r="A399" s="10"/>
      <c r="U399" s="29"/>
    </row>
    <row r="400" spans="1:21" s="4" customFormat="1" ht="13.2">
      <c r="A400" s="10"/>
      <c r="U400" s="29"/>
    </row>
    <row r="401" spans="1:21" s="4" customFormat="1" ht="13.2">
      <c r="A401" s="10"/>
      <c r="U401" s="29"/>
    </row>
    <row r="402" spans="1:21" s="4" customFormat="1" ht="13.2">
      <c r="A402" s="10"/>
      <c r="U402" s="29"/>
    </row>
    <row r="403" spans="1:21" s="4" customFormat="1" ht="13.2">
      <c r="A403" s="10"/>
      <c r="U403" s="29"/>
    </row>
    <row r="404" spans="1:21" s="4" customFormat="1">
      <c r="A404" s="10"/>
      <c r="B404" s="73" t="s">
        <v>22</v>
      </c>
      <c r="C404" s="385">
        <v>2016</v>
      </c>
      <c r="D404" s="386">
        <v>2017</v>
      </c>
      <c r="E404" s="386">
        <v>2018</v>
      </c>
      <c r="F404" s="386">
        <v>2019</v>
      </c>
      <c r="G404" s="386">
        <v>2020</v>
      </c>
      <c r="H404" s="386">
        <v>2021</v>
      </c>
      <c r="I404" s="386">
        <v>2022</v>
      </c>
      <c r="J404" s="386">
        <v>2023</v>
      </c>
      <c r="K404" s="386">
        <v>2024</v>
      </c>
      <c r="L404" s="386">
        <v>2025</v>
      </c>
      <c r="M404" s="386">
        <v>2026</v>
      </c>
      <c r="N404" s="386">
        <v>2027</v>
      </c>
      <c r="U404" s="29"/>
    </row>
    <row r="405" spans="1:21" s="4" customFormat="1" ht="15.6">
      <c r="A405" s="10"/>
      <c r="B405" s="273" t="s">
        <v>120</v>
      </c>
      <c r="C405" s="387">
        <f>'Products x speed'!E27</f>
        <v>639935</v>
      </c>
      <c r="D405" s="388">
        <f>'Products x speed'!F27</f>
        <v>793812</v>
      </c>
      <c r="E405" s="388">
        <f>'Products x speed'!G27</f>
        <v>960639.5</v>
      </c>
      <c r="F405" s="388">
        <f>'Products x speed'!H27</f>
        <v>0</v>
      </c>
      <c r="G405" s="388">
        <f>'Products x speed'!I27</f>
        <v>0</v>
      </c>
      <c r="H405" s="388">
        <f>'Products x speed'!J27</f>
        <v>0</v>
      </c>
      <c r="I405" s="388">
        <f>'Products x speed'!K27</f>
        <v>0</v>
      </c>
      <c r="J405" s="388">
        <f>'Products x speed'!L27</f>
        <v>0</v>
      </c>
      <c r="K405" s="388">
        <f>'Products x speed'!M27</f>
        <v>0</v>
      </c>
      <c r="L405" s="388">
        <f>'Products x speed'!N27</f>
        <v>0</v>
      </c>
      <c r="M405" s="388">
        <f>'Products x speed'!O27</f>
        <v>0</v>
      </c>
      <c r="N405" s="388">
        <f>'Products x speed'!P27</f>
        <v>0</v>
      </c>
      <c r="U405" s="540"/>
    </row>
    <row r="406" spans="1:21" s="4" customFormat="1" ht="15.6">
      <c r="A406" s="10"/>
      <c r="B406" s="275" t="s">
        <v>119</v>
      </c>
      <c r="C406" s="389">
        <f>'Products x speed'!E28</f>
        <v>614294</v>
      </c>
      <c r="D406" s="390">
        <f>'Products x speed'!F28</f>
        <v>750519</v>
      </c>
      <c r="E406" s="390">
        <f>'Products x speed'!G28</f>
        <v>594327</v>
      </c>
      <c r="F406" s="390">
        <f>'Products x speed'!H28</f>
        <v>0</v>
      </c>
      <c r="G406" s="390">
        <f>'Products x speed'!I28</f>
        <v>0</v>
      </c>
      <c r="H406" s="390">
        <f>'Products x speed'!J28</f>
        <v>0</v>
      </c>
      <c r="I406" s="390">
        <f>'Products x speed'!K28</f>
        <v>0</v>
      </c>
      <c r="J406" s="390">
        <f>'Products x speed'!L28</f>
        <v>0</v>
      </c>
      <c r="K406" s="390">
        <f>'Products x speed'!M28</f>
        <v>0</v>
      </c>
      <c r="L406" s="390">
        <f>'Products x speed'!N28</f>
        <v>0</v>
      </c>
      <c r="M406" s="390">
        <f>'Products x speed'!O28</f>
        <v>0</v>
      </c>
      <c r="N406" s="390">
        <f>'Products x speed'!P28</f>
        <v>0</v>
      </c>
      <c r="U406" s="540"/>
    </row>
    <row r="407" spans="1:21" s="4" customFormat="1" ht="15.6">
      <c r="A407" s="10"/>
      <c r="B407" s="296" t="s">
        <v>285</v>
      </c>
      <c r="C407" s="391">
        <f>'Products x speed'!E29</f>
        <v>275269</v>
      </c>
      <c r="D407" s="383">
        <f>'Products x speed'!F29</f>
        <v>466535</v>
      </c>
      <c r="E407" s="383">
        <f>'Products x speed'!G29</f>
        <v>491067</v>
      </c>
      <c r="F407" s="383">
        <f>'Products x speed'!H29</f>
        <v>0</v>
      </c>
      <c r="G407" s="383">
        <f>'Products x speed'!I29</f>
        <v>0</v>
      </c>
      <c r="H407" s="383">
        <f>'Products x speed'!J29</f>
        <v>0</v>
      </c>
      <c r="I407" s="383">
        <f>'Products x speed'!K29</f>
        <v>0</v>
      </c>
      <c r="J407" s="383">
        <f>'Products x speed'!L29</f>
        <v>0</v>
      </c>
      <c r="K407" s="383">
        <f>'Products x speed'!M29</f>
        <v>0</v>
      </c>
      <c r="L407" s="383">
        <f>'Products x speed'!N29</f>
        <v>0</v>
      </c>
      <c r="M407" s="383">
        <f>'Products x speed'!O29</f>
        <v>0</v>
      </c>
      <c r="N407" s="383">
        <f>'Products x speed'!P29</f>
        <v>0</v>
      </c>
      <c r="U407" s="540"/>
    </row>
    <row r="408" spans="1:21" s="4" customFormat="1" ht="13.2">
      <c r="A408" s="10"/>
      <c r="C408" s="29"/>
      <c r="D408" s="29"/>
      <c r="E408" s="29"/>
      <c r="F408" s="29"/>
      <c r="G408" s="29"/>
      <c r="H408" s="29"/>
      <c r="I408" s="29"/>
      <c r="J408" s="29"/>
      <c r="K408" s="29"/>
      <c r="L408" s="29"/>
      <c r="M408" s="29"/>
      <c r="N408" s="29"/>
      <c r="U408" s="29"/>
    </row>
    <row r="409" spans="1:21" s="4" customFormat="1">
      <c r="A409" s="10"/>
      <c r="B409" s="73" t="s">
        <v>21</v>
      </c>
      <c r="C409" s="385">
        <v>2016</v>
      </c>
      <c r="D409" s="386">
        <v>2017</v>
      </c>
      <c r="E409" s="386">
        <v>2018</v>
      </c>
      <c r="F409" s="386">
        <v>2019</v>
      </c>
      <c r="G409" s="386">
        <v>2020</v>
      </c>
      <c r="H409" s="386">
        <v>2021</v>
      </c>
      <c r="I409" s="386">
        <v>2022</v>
      </c>
      <c r="J409" s="386">
        <v>2023</v>
      </c>
      <c r="K409" s="386">
        <v>2024</v>
      </c>
      <c r="L409" s="386">
        <v>2025</v>
      </c>
      <c r="M409" s="386">
        <v>2026</v>
      </c>
      <c r="N409" s="386">
        <v>2027</v>
      </c>
      <c r="U409" s="29"/>
    </row>
    <row r="410" spans="1:21" s="4" customFormat="1" ht="15.6">
      <c r="A410" s="10"/>
      <c r="B410" s="273" t="str">
        <f>B415</f>
        <v>100 m  40G QSFP+</v>
      </c>
      <c r="C410" s="392">
        <f t="shared" ref="C410:H412" si="65">IF(C405=0,"",C415*10^6/C405)</f>
        <v>96.595063887564976</v>
      </c>
      <c r="D410" s="393">
        <f t="shared" si="65"/>
        <v>80.379797575925679</v>
      </c>
      <c r="E410" s="393">
        <f t="shared" si="65"/>
        <v>58.660264540622045</v>
      </c>
      <c r="F410" s="393" t="str">
        <f t="shared" si="65"/>
        <v/>
      </c>
      <c r="G410" s="393" t="str">
        <f t="shared" si="65"/>
        <v/>
      </c>
      <c r="H410" s="393" t="str">
        <f t="shared" si="65"/>
        <v/>
      </c>
      <c r="I410" s="393" t="str">
        <f t="shared" ref="I410:J412" si="66">IF(I405=0,"",I415*10^6/I405)</f>
        <v/>
      </c>
      <c r="J410" s="393" t="str">
        <f t="shared" si="66"/>
        <v/>
      </c>
      <c r="K410" s="393" t="str">
        <f t="shared" ref="K410:L412" si="67">IF(K405=0,"",K415*10^6/K405)</f>
        <v/>
      </c>
      <c r="L410" s="393" t="str">
        <f t="shared" si="67"/>
        <v/>
      </c>
      <c r="M410" s="393" t="str">
        <f t="shared" ref="M410:N410" si="68">IF(M405=0,"",M415*10^6/M405)</f>
        <v/>
      </c>
      <c r="N410" s="393" t="str">
        <f t="shared" si="68"/>
        <v/>
      </c>
      <c r="U410" s="540"/>
    </row>
    <row r="411" spans="1:21" s="4" customFormat="1" ht="15.6">
      <c r="A411" s="10"/>
      <c r="B411" s="275" t="str">
        <f>B416</f>
        <v>100 m  40G MM duplex</v>
      </c>
      <c r="C411" s="394">
        <f t="shared" si="65"/>
        <v>250</v>
      </c>
      <c r="D411" s="279">
        <f t="shared" si="65"/>
        <v>240</v>
      </c>
      <c r="E411" s="279">
        <f t="shared" si="65"/>
        <v>227</v>
      </c>
      <c r="F411" s="279" t="str">
        <f t="shared" si="65"/>
        <v/>
      </c>
      <c r="G411" s="279" t="str">
        <f t="shared" si="65"/>
        <v/>
      </c>
      <c r="H411" s="279" t="str">
        <f t="shared" si="65"/>
        <v/>
      </c>
      <c r="I411" s="279" t="str">
        <f t="shared" si="66"/>
        <v/>
      </c>
      <c r="J411" s="279" t="str">
        <f t="shared" si="66"/>
        <v/>
      </c>
      <c r="K411" s="279" t="str">
        <f t="shared" si="67"/>
        <v/>
      </c>
      <c r="L411" s="279" t="str">
        <f t="shared" si="67"/>
        <v/>
      </c>
      <c r="M411" s="279" t="str">
        <f t="shared" ref="M411:N411" si="69">IF(M406=0,"",M416*10^6/M406)</f>
        <v/>
      </c>
      <c r="N411" s="279" t="str">
        <f t="shared" si="69"/>
        <v/>
      </c>
      <c r="U411" s="540"/>
    </row>
    <row r="412" spans="1:21" s="4" customFormat="1" ht="15.6">
      <c r="A412" s="10"/>
      <c r="B412" s="296" t="str">
        <f>B417</f>
        <v>300 m  40 G eSR QSFP+</v>
      </c>
      <c r="C412" s="395">
        <f t="shared" si="65"/>
        <v>106.66614587912188</v>
      </c>
      <c r="D412" s="396">
        <f t="shared" si="65"/>
        <v>80.99928194026171</v>
      </c>
      <c r="E412" s="396">
        <f t="shared" si="65"/>
        <v>63.850920529241115</v>
      </c>
      <c r="F412" s="396" t="str">
        <f t="shared" si="65"/>
        <v/>
      </c>
      <c r="G412" s="396" t="str">
        <f t="shared" si="65"/>
        <v/>
      </c>
      <c r="H412" s="396" t="str">
        <f t="shared" si="65"/>
        <v/>
      </c>
      <c r="I412" s="396" t="str">
        <f t="shared" si="66"/>
        <v/>
      </c>
      <c r="J412" s="396" t="str">
        <f t="shared" si="66"/>
        <v/>
      </c>
      <c r="K412" s="396" t="str">
        <f t="shared" si="67"/>
        <v/>
      </c>
      <c r="L412" s="396" t="str">
        <f t="shared" si="67"/>
        <v/>
      </c>
      <c r="M412" s="396" t="str">
        <f t="shared" ref="M412:N412" si="70">IF(M407=0,"",M417*10^6/M407)</f>
        <v/>
      </c>
      <c r="N412" s="396" t="str">
        <f t="shared" si="70"/>
        <v/>
      </c>
      <c r="U412" s="540"/>
    </row>
    <row r="413" spans="1:21" s="4" customFormat="1" ht="13.2">
      <c r="A413" s="10"/>
      <c r="U413" s="29"/>
    </row>
    <row r="414" spans="1:21" s="4" customFormat="1">
      <c r="A414" s="10"/>
      <c r="B414" s="73" t="s">
        <v>15</v>
      </c>
      <c r="C414" s="385">
        <v>2016</v>
      </c>
      <c r="D414" s="386">
        <v>2017</v>
      </c>
      <c r="E414" s="386">
        <v>2018</v>
      </c>
      <c r="F414" s="386">
        <v>2019</v>
      </c>
      <c r="G414" s="386">
        <v>2020</v>
      </c>
      <c r="H414" s="386">
        <v>2021</v>
      </c>
      <c r="I414" s="386">
        <v>2022</v>
      </c>
      <c r="J414" s="386">
        <v>2023</v>
      </c>
      <c r="K414" s="386">
        <v>2024</v>
      </c>
      <c r="L414" s="386">
        <v>2025</v>
      </c>
      <c r="M414" s="386">
        <v>2026</v>
      </c>
      <c r="N414" s="386">
        <v>2027</v>
      </c>
      <c r="U414" s="29"/>
    </row>
    <row r="415" spans="1:21" s="4" customFormat="1" ht="15.6">
      <c r="B415" s="273" t="str">
        <f>B405</f>
        <v>100 m  40G QSFP+</v>
      </c>
      <c r="C415" s="407">
        <f>'Products x speed'!E219</f>
        <v>61.814562208888887</v>
      </c>
      <c r="D415" s="408">
        <f>'Products x speed'!F219</f>
        <v>63.806447873340716</v>
      </c>
      <c r="E415" s="408">
        <f>'Products x speed'!G219</f>
        <v>56.351367198170891</v>
      </c>
      <c r="F415" s="408">
        <f>'Products x speed'!H219</f>
        <v>0</v>
      </c>
      <c r="G415" s="408">
        <f>'Products x speed'!I219</f>
        <v>0</v>
      </c>
      <c r="H415" s="408">
        <f>'Products x speed'!J219</f>
        <v>0</v>
      </c>
      <c r="I415" s="408">
        <f>'Products x speed'!K219</f>
        <v>0</v>
      </c>
      <c r="J415" s="408">
        <f>'Products x speed'!L219</f>
        <v>0</v>
      </c>
      <c r="K415" s="408">
        <f>'Products x speed'!M219</f>
        <v>0</v>
      </c>
      <c r="L415" s="408">
        <f>'Products x speed'!N219</f>
        <v>0</v>
      </c>
      <c r="M415" s="408">
        <f>'Products x speed'!O219</f>
        <v>0</v>
      </c>
      <c r="N415" s="408">
        <f>'Products x speed'!P219</f>
        <v>0</v>
      </c>
      <c r="U415" s="540"/>
    </row>
    <row r="416" spans="1:21" s="4" customFormat="1" ht="15.6">
      <c r="A416" s="10"/>
      <c r="B416" s="275" t="str">
        <f>B406</f>
        <v>100 m  40G MM duplex</v>
      </c>
      <c r="C416" s="281">
        <f>'Products x speed'!E220</f>
        <v>153.5735</v>
      </c>
      <c r="D416" s="282">
        <f>'Products x speed'!F220</f>
        <v>180.12456</v>
      </c>
      <c r="E416" s="282">
        <f>'Products x speed'!G220</f>
        <v>134.912229</v>
      </c>
      <c r="F416" s="282">
        <f>'Products x speed'!H220</f>
        <v>0</v>
      </c>
      <c r="G416" s="282">
        <f>'Products x speed'!I220</f>
        <v>0</v>
      </c>
      <c r="H416" s="282">
        <f>'Products x speed'!J220</f>
        <v>0</v>
      </c>
      <c r="I416" s="282">
        <f>'Products x speed'!K220</f>
        <v>0</v>
      </c>
      <c r="J416" s="282">
        <f>'Products x speed'!L220</f>
        <v>0</v>
      </c>
      <c r="K416" s="282">
        <f>'Products x speed'!M220</f>
        <v>0</v>
      </c>
      <c r="L416" s="282">
        <f>'Products x speed'!N220</f>
        <v>0</v>
      </c>
      <c r="M416" s="282">
        <f>'Products x speed'!O220</f>
        <v>0</v>
      </c>
      <c r="N416" s="282">
        <f>'Products x speed'!P220</f>
        <v>0</v>
      </c>
      <c r="U416" s="540"/>
    </row>
    <row r="417" spans="1:21" s="4" customFormat="1" ht="15.6">
      <c r="A417" s="10"/>
      <c r="B417" s="296" t="str">
        <f>B407</f>
        <v>300 m  40 G eSR QSFP+</v>
      </c>
      <c r="C417" s="409">
        <f>'Products x speed'!E221</f>
        <v>29.361883310000003</v>
      </c>
      <c r="D417" s="410">
        <f>'Products x speed'!F221</f>
        <v>37.789000000000001</v>
      </c>
      <c r="E417" s="410">
        <f>'Products x speed'!G221</f>
        <v>31.355079991532847</v>
      </c>
      <c r="F417" s="410">
        <f>'Products x speed'!H221</f>
        <v>0</v>
      </c>
      <c r="G417" s="410">
        <f>'Products x speed'!I221</f>
        <v>0</v>
      </c>
      <c r="H417" s="410">
        <f>'Products x speed'!J221</f>
        <v>0</v>
      </c>
      <c r="I417" s="410">
        <f>'Products x speed'!K221</f>
        <v>0</v>
      </c>
      <c r="J417" s="410">
        <f>'Products x speed'!L221</f>
        <v>0</v>
      </c>
      <c r="K417" s="410">
        <f>'Products x speed'!M221</f>
        <v>0</v>
      </c>
      <c r="L417" s="410">
        <f>'Products x speed'!N221</f>
        <v>0</v>
      </c>
      <c r="M417" s="410">
        <f>'Products x speed'!O221</f>
        <v>0</v>
      </c>
      <c r="N417" s="410">
        <f>'Products x speed'!P221</f>
        <v>0</v>
      </c>
      <c r="U417" s="540"/>
    </row>
    <row r="418" spans="1:21" s="4" customFormat="1">
      <c r="A418" s="10"/>
      <c r="B418" s="271" t="s">
        <v>186</v>
      </c>
      <c r="C418" s="395">
        <f t="shared" ref="C418:L418" si="71">SUM(C415:C417)</f>
        <v>244.74994551888886</v>
      </c>
      <c r="D418" s="396">
        <f t="shared" si="71"/>
        <v>281.72000787334071</v>
      </c>
      <c r="E418" s="396">
        <f t="shared" si="71"/>
        <v>222.61867618970373</v>
      </c>
      <c r="F418" s="396">
        <f t="shared" si="71"/>
        <v>0</v>
      </c>
      <c r="G418" s="396">
        <f t="shared" si="71"/>
        <v>0</v>
      </c>
      <c r="H418" s="396">
        <f t="shared" si="71"/>
        <v>0</v>
      </c>
      <c r="I418" s="396">
        <f t="shared" si="71"/>
        <v>0</v>
      </c>
      <c r="J418" s="396">
        <f t="shared" si="71"/>
        <v>0</v>
      </c>
      <c r="K418" s="396">
        <f t="shared" si="71"/>
        <v>0</v>
      </c>
      <c r="L418" s="396">
        <f t="shared" si="71"/>
        <v>0</v>
      </c>
      <c r="M418" s="396">
        <f t="shared" ref="M418:N418" si="72">SUM(M415:M417)</f>
        <v>0</v>
      </c>
      <c r="N418" s="396">
        <f t="shared" si="72"/>
        <v>0</v>
      </c>
      <c r="U418" s="29"/>
    </row>
    <row r="419" spans="1:21" s="4" customFormat="1" ht="13.2">
      <c r="A419" s="10"/>
      <c r="C419" s="59"/>
      <c r="D419" s="59"/>
      <c r="E419" s="59"/>
      <c r="F419" s="59"/>
      <c r="G419" s="59"/>
      <c r="H419" s="59"/>
      <c r="I419" s="59"/>
      <c r="J419" s="59"/>
      <c r="K419" s="59"/>
      <c r="L419" s="59"/>
      <c r="M419" s="59"/>
      <c r="N419" s="59"/>
      <c r="O419" s="59"/>
      <c r="P419" s="59"/>
      <c r="Q419" s="59"/>
      <c r="S419" s="59"/>
      <c r="T419" s="59"/>
      <c r="U419" s="29"/>
    </row>
    <row r="420" spans="1:21" s="4" customFormat="1" ht="21">
      <c r="A420" s="10"/>
      <c r="B420" s="17" t="s">
        <v>187</v>
      </c>
      <c r="C420" s="59"/>
      <c r="D420" s="59"/>
      <c r="E420" s="59"/>
      <c r="F420" s="59"/>
      <c r="G420" s="59"/>
      <c r="H420" s="59"/>
      <c r="I420" s="59"/>
      <c r="J420" s="59"/>
      <c r="K420" s="59"/>
      <c r="L420" s="59"/>
      <c r="M420" s="59"/>
      <c r="N420" s="59"/>
      <c r="O420" s="59"/>
      <c r="P420" s="59"/>
      <c r="Q420" s="59"/>
      <c r="S420" s="59"/>
      <c r="T420" s="59"/>
      <c r="U420" s="29"/>
    </row>
    <row r="421" spans="1:21" ht="21">
      <c r="B421" s="300" t="s">
        <v>22</v>
      </c>
      <c r="H421" s="300" t="s">
        <v>21</v>
      </c>
      <c r="Q421" s="300" t="s">
        <v>15</v>
      </c>
    </row>
    <row r="422" spans="1:21" s="4" customFormat="1" ht="13.2">
      <c r="A422" s="10"/>
      <c r="C422" s="59"/>
      <c r="D422" s="59"/>
      <c r="E422" s="59"/>
      <c r="F422" s="59"/>
      <c r="G422" s="59"/>
      <c r="H422" s="59"/>
      <c r="I422" s="59"/>
      <c r="J422" s="59"/>
      <c r="K422" s="59"/>
      <c r="L422" s="59"/>
      <c r="M422" s="59"/>
      <c r="N422" s="59"/>
      <c r="O422" s="59"/>
      <c r="P422" s="59"/>
      <c r="Q422" s="59"/>
      <c r="S422" s="59"/>
      <c r="T422" s="59"/>
      <c r="U422" s="29"/>
    </row>
    <row r="423" spans="1:21" s="4" customFormat="1" ht="13.2">
      <c r="A423" s="10"/>
      <c r="U423" s="29"/>
    </row>
    <row r="424" spans="1:21" s="4" customFormat="1" ht="13.2">
      <c r="A424" s="10"/>
      <c r="U424" s="29"/>
    </row>
    <row r="425" spans="1:21" s="4" customFormat="1" ht="13.2">
      <c r="A425" s="10"/>
      <c r="U425" s="29"/>
    </row>
    <row r="426" spans="1:21" s="4" customFormat="1" ht="13.2">
      <c r="A426" s="10"/>
      <c r="U426" s="29"/>
    </row>
    <row r="427" spans="1:21" s="4" customFormat="1" ht="13.2">
      <c r="A427" s="10"/>
      <c r="U427" s="29"/>
    </row>
    <row r="428" spans="1:21" s="4" customFormat="1" ht="13.2">
      <c r="A428" s="10"/>
      <c r="U428" s="29"/>
    </row>
    <row r="429" spans="1:21" s="4" customFormat="1" ht="13.2">
      <c r="A429" s="10"/>
      <c r="U429" s="29"/>
    </row>
    <row r="430" spans="1:21" s="4" customFormat="1" ht="13.2">
      <c r="A430" s="10"/>
      <c r="U430" s="29"/>
    </row>
    <row r="431" spans="1:21" s="4" customFormat="1" ht="13.2">
      <c r="A431" s="10"/>
      <c r="U431" s="29"/>
    </row>
    <row r="432" spans="1:21" s="4" customFormat="1" ht="13.2">
      <c r="A432" s="10"/>
      <c r="U432" s="29"/>
    </row>
    <row r="433" spans="1:21" s="4" customFormat="1" ht="13.2">
      <c r="A433" s="10"/>
      <c r="U433" s="29"/>
    </row>
    <row r="434" spans="1:21" s="4" customFormat="1" ht="13.2">
      <c r="A434" s="10"/>
      <c r="U434" s="29"/>
    </row>
    <row r="435" spans="1:21" s="4" customFormat="1" ht="13.2">
      <c r="A435" s="10"/>
      <c r="U435" s="29"/>
    </row>
    <row r="436" spans="1:21" s="4" customFormat="1" ht="13.2">
      <c r="A436" s="10"/>
      <c r="U436" s="29"/>
    </row>
    <row r="437" spans="1:21" s="4" customFormat="1" ht="13.2">
      <c r="A437" s="10"/>
      <c r="U437" s="29"/>
    </row>
    <row r="438" spans="1:21" s="4" customFormat="1" ht="13.2">
      <c r="A438" s="10"/>
      <c r="U438" s="29"/>
    </row>
    <row r="439" spans="1:21" s="4" customFormat="1" ht="13.2">
      <c r="A439" s="10"/>
      <c r="U439" s="29"/>
    </row>
    <row r="440" spans="1:21" s="4" customFormat="1" ht="13.2">
      <c r="A440" s="10"/>
      <c r="U440" s="29"/>
    </row>
    <row r="441" spans="1:21" s="4" customFormat="1" ht="13.2">
      <c r="A441" s="10"/>
      <c r="U441" s="29"/>
    </row>
    <row r="442" spans="1:21" s="4" customFormat="1">
      <c r="A442" s="10"/>
      <c r="B442" s="73" t="s">
        <v>22</v>
      </c>
      <c r="C442" s="385">
        <v>2016</v>
      </c>
      <c r="D442" s="386">
        <v>2017</v>
      </c>
      <c r="E442" s="386">
        <v>2018</v>
      </c>
      <c r="F442" s="386">
        <v>2019</v>
      </c>
      <c r="G442" s="386">
        <v>2020</v>
      </c>
      <c r="H442" s="386">
        <v>2021</v>
      </c>
      <c r="I442" s="386">
        <v>2022</v>
      </c>
      <c r="J442" s="386">
        <v>2023</v>
      </c>
      <c r="K442" s="386">
        <v>2024</v>
      </c>
      <c r="L442" s="386">
        <v>2025</v>
      </c>
      <c r="M442" s="386">
        <v>2026</v>
      </c>
      <c r="N442" s="386">
        <v>2027</v>
      </c>
      <c r="U442" s="29"/>
    </row>
    <row r="443" spans="1:21" s="4" customFormat="1" ht="15.6">
      <c r="A443" s="10"/>
      <c r="B443" s="273" t="s">
        <v>121</v>
      </c>
      <c r="C443" s="158">
        <f>'Products x speed'!E30</f>
        <v>813790</v>
      </c>
      <c r="D443" s="159">
        <f>'Products x speed'!F30</f>
        <v>613640</v>
      </c>
      <c r="E443" s="159">
        <f>'Products x speed'!G30</f>
        <v>502708</v>
      </c>
      <c r="F443" s="159">
        <f>'Products x speed'!H30</f>
        <v>0</v>
      </c>
      <c r="G443" s="159">
        <f>'Products x speed'!I30</f>
        <v>0</v>
      </c>
      <c r="H443" s="159">
        <f>'Products x speed'!J30</f>
        <v>0</v>
      </c>
      <c r="I443" s="159">
        <f>'Products x speed'!K30</f>
        <v>0</v>
      </c>
      <c r="J443" s="159">
        <f>'Products x speed'!L30</f>
        <v>0</v>
      </c>
      <c r="K443" s="159">
        <f>'Products x speed'!M30</f>
        <v>0</v>
      </c>
      <c r="L443" s="159">
        <f>'Products x speed'!N30</f>
        <v>0</v>
      </c>
      <c r="M443" s="159">
        <f>'Products x speed'!O30</f>
        <v>0</v>
      </c>
      <c r="N443" s="159">
        <f>'Products x speed'!P30</f>
        <v>0</v>
      </c>
      <c r="U443" s="540"/>
    </row>
    <row r="444" spans="1:21" s="4" customFormat="1" ht="15.6">
      <c r="A444" s="10"/>
      <c r="B444" s="275" t="s">
        <v>87</v>
      </c>
      <c r="C444" s="160">
        <f>'Products x speed'!E31</f>
        <v>791</v>
      </c>
      <c r="D444" s="161">
        <f>'Products x speed'!F31</f>
        <v>402</v>
      </c>
      <c r="E444" s="161"/>
      <c r="F444" s="161"/>
      <c r="G444" s="161"/>
      <c r="H444" s="161"/>
      <c r="I444" s="161"/>
      <c r="J444" s="161"/>
      <c r="K444" s="161"/>
      <c r="L444" s="161"/>
      <c r="M444" s="161"/>
      <c r="N444" s="161"/>
      <c r="U444" s="540"/>
    </row>
    <row r="445" spans="1:21" s="4" customFormat="1" ht="15.6">
      <c r="A445" s="10"/>
      <c r="B445" s="275" t="s">
        <v>122</v>
      </c>
      <c r="C445" s="160">
        <f>'Products x speed'!E32</f>
        <v>470209</v>
      </c>
      <c r="D445" s="161">
        <f>'Products x speed'!F32</f>
        <v>806616</v>
      </c>
      <c r="E445" s="161">
        <f>'Products x speed'!G32</f>
        <v>271821</v>
      </c>
      <c r="F445" s="161">
        <f>'Products x speed'!H32</f>
        <v>0</v>
      </c>
      <c r="G445" s="161">
        <f>'Products x speed'!I32</f>
        <v>0</v>
      </c>
      <c r="H445" s="161">
        <f>'Products x speed'!J32</f>
        <v>0</v>
      </c>
      <c r="I445" s="161">
        <f>'Products x speed'!K32</f>
        <v>0</v>
      </c>
      <c r="J445" s="161">
        <f>'Products x speed'!L32</f>
        <v>0</v>
      </c>
      <c r="K445" s="161">
        <f>'Products x speed'!M32</f>
        <v>0</v>
      </c>
      <c r="L445" s="161">
        <f>'Products x speed'!N32</f>
        <v>0</v>
      </c>
      <c r="M445" s="161">
        <f>'Products x speed'!O32</f>
        <v>0</v>
      </c>
      <c r="N445" s="161">
        <f>'Products x speed'!P32</f>
        <v>0</v>
      </c>
      <c r="U445" s="540"/>
    </row>
    <row r="446" spans="1:21" s="4" customFormat="1">
      <c r="A446" s="10"/>
      <c r="B446" s="275" t="s">
        <v>88</v>
      </c>
      <c r="C446" s="160">
        <f>'Products x speed'!E33</f>
        <v>6655</v>
      </c>
      <c r="D446" s="161">
        <f>'Products x speed'!F33</f>
        <v>2846</v>
      </c>
      <c r="E446" s="161">
        <f>'Products x speed'!G33</f>
        <v>0</v>
      </c>
      <c r="F446" s="161">
        <f>'Products x speed'!H33</f>
        <v>0</v>
      </c>
      <c r="G446" s="161">
        <f>'Products x speed'!I33</f>
        <v>0</v>
      </c>
      <c r="H446" s="161">
        <f>'Products x speed'!J33</f>
        <v>0</v>
      </c>
      <c r="I446" s="161">
        <f>'Products x speed'!K33</f>
        <v>0</v>
      </c>
      <c r="J446" s="161">
        <f>'Products x speed'!L33</f>
        <v>0</v>
      </c>
      <c r="K446" s="161">
        <f>'Products x speed'!M33</f>
        <v>0</v>
      </c>
      <c r="L446" s="161">
        <f>'Products x speed'!N33</f>
        <v>0</v>
      </c>
      <c r="M446" s="161">
        <f>'Products x speed'!O33</f>
        <v>0</v>
      </c>
      <c r="N446" s="161">
        <f>'Products x speed'!P33</f>
        <v>0</v>
      </c>
      <c r="U446" s="29"/>
    </row>
    <row r="447" spans="1:21" s="4" customFormat="1">
      <c r="A447" s="10"/>
      <c r="B447" s="275" t="s">
        <v>123</v>
      </c>
      <c r="C447" s="160">
        <f>'Products x speed'!E34</f>
        <v>327231</v>
      </c>
      <c r="D447" s="161">
        <f>'Products x speed'!F34</f>
        <v>424358</v>
      </c>
      <c r="E447" s="161">
        <f>'Products x speed'!G34</f>
        <v>269337</v>
      </c>
      <c r="F447" s="161">
        <f>'Products x speed'!H34</f>
        <v>0</v>
      </c>
      <c r="G447" s="161">
        <f>'Products x speed'!I34</f>
        <v>0</v>
      </c>
      <c r="H447" s="161">
        <f>'Products x speed'!J34</f>
        <v>0</v>
      </c>
      <c r="I447" s="161">
        <f>'Products x speed'!K34</f>
        <v>0</v>
      </c>
      <c r="J447" s="161">
        <f>'Products x speed'!L34</f>
        <v>0</v>
      </c>
      <c r="K447" s="161">
        <f>'Products x speed'!M34</f>
        <v>0</v>
      </c>
      <c r="L447" s="161">
        <f>'Products x speed'!N34</f>
        <v>0</v>
      </c>
      <c r="M447" s="161">
        <f>'Products x speed'!O34</f>
        <v>0</v>
      </c>
      <c r="N447" s="161">
        <f>'Products x speed'!P34</f>
        <v>0</v>
      </c>
      <c r="U447" s="29"/>
    </row>
    <row r="448" spans="1:21" s="4" customFormat="1">
      <c r="A448" s="10"/>
      <c r="B448" s="296" t="s">
        <v>89</v>
      </c>
      <c r="C448" s="162">
        <f>'Products x speed'!E35</f>
        <v>4894</v>
      </c>
      <c r="D448" s="163">
        <f>'Products x speed'!F35</f>
        <v>5432</v>
      </c>
      <c r="E448" s="163">
        <f>'Products x speed'!G35</f>
        <v>8224</v>
      </c>
      <c r="F448" s="163">
        <f>'Products x speed'!H35</f>
        <v>0</v>
      </c>
      <c r="G448" s="163">
        <f>'Products x speed'!I35</f>
        <v>0</v>
      </c>
      <c r="H448" s="163">
        <f>'Products x speed'!J35</f>
        <v>0</v>
      </c>
      <c r="I448" s="163">
        <f>'Products x speed'!K35</f>
        <v>0</v>
      </c>
      <c r="J448" s="163">
        <f>'Products x speed'!L35</f>
        <v>0</v>
      </c>
      <c r="K448" s="163">
        <f>'Products x speed'!M35</f>
        <v>0</v>
      </c>
      <c r="L448" s="163">
        <f>'Products x speed'!N35</f>
        <v>0</v>
      </c>
      <c r="M448" s="163">
        <f>'Products x speed'!O35</f>
        <v>0</v>
      </c>
      <c r="N448" s="163">
        <f>'Products x speed'!P35</f>
        <v>0</v>
      </c>
      <c r="U448" s="29"/>
    </row>
    <row r="449" spans="1:21" s="4" customFormat="1">
      <c r="A449" s="10"/>
      <c r="B449" s="271" t="s">
        <v>86</v>
      </c>
      <c r="C449" s="391">
        <f t="shared" ref="C449:L449" si="73">SUM(C443:C448)</f>
        <v>1623570</v>
      </c>
      <c r="D449" s="383">
        <f t="shared" si="73"/>
        <v>1853294</v>
      </c>
      <c r="E449" s="383">
        <f t="shared" si="73"/>
        <v>1052090</v>
      </c>
      <c r="F449" s="383">
        <f t="shared" si="73"/>
        <v>0</v>
      </c>
      <c r="G449" s="383">
        <f t="shared" si="73"/>
        <v>0</v>
      </c>
      <c r="H449" s="383">
        <f t="shared" si="73"/>
        <v>0</v>
      </c>
      <c r="I449" s="383">
        <f t="shared" si="73"/>
        <v>0</v>
      </c>
      <c r="J449" s="383">
        <f t="shared" si="73"/>
        <v>0</v>
      </c>
      <c r="K449" s="383">
        <f t="shared" si="73"/>
        <v>0</v>
      </c>
      <c r="L449" s="383">
        <f t="shared" si="73"/>
        <v>0</v>
      </c>
      <c r="M449" s="383">
        <f t="shared" ref="M449:N449" si="74">SUM(M443:M448)</f>
        <v>0</v>
      </c>
      <c r="N449" s="383">
        <f t="shared" si="74"/>
        <v>0</v>
      </c>
      <c r="U449" s="29"/>
    </row>
    <row r="450" spans="1:21" s="4" customFormat="1">
      <c r="A450" s="10"/>
      <c r="B450" s="73"/>
      <c r="U450" s="29"/>
    </row>
    <row r="451" spans="1:21" s="4" customFormat="1">
      <c r="A451" s="10"/>
      <c r="B451" s="73" t="s">
        <v>21</v>
      </c>
      <c r="C451" s="380">
        <v>2016</v>
      </c>
      <c r="D451" s="381">
        <v>2017</v>
      </c>
      <c r="E451" s="381">
        <v>2018</v>
      </c>
      <c r="F451" s="381">
        <v>2019</v>
      </c>
      <c r="G451" s="381">
        <v>2020</v>
      </c>
      <c r="H451" s="381">
        <v>2021</v>
      </c>
      <c r="I451" s="381">
        <v>2022</v>
      </c>
      <c r="J451" s="381">
        <v>2023</v>
      </c>
      <c r="K451" s="381">
        <v>2024</v>
      </c>
      <c r="L451" s="381">
        <v>2025</v>
      </c>
      <c r="M451" s="381">
        <v>2026</v>
      </c>
      <c r="N451" s="381">
        <v>2027</v>
      </c>
      <c r="U451" s="29"/>
    </row>
    <row r="452" spans="1:21" s="4" customFormat="1" ht="15.6">
      <c r="A452" s="10"/>
      <c r="B452" s="273" t="str">
        <f t="shared" ref="B452:B458" si="75">B443</f>
        <v>500m 40G PSM4 QSFP+</v>
      </c>
      <c r="C452" s="172">
        <f t="shared" ref="C452:L452" si="76">IF(C443=0,"",(C461*10^6)/C443)</f>
        <v>253.19068527507093</v>
      </c>
      <c r="D452" s="170">
        <f t="shared" si="76"/>
        <v>262.79055146339874</v>
      </c>
      <c r="E452" s="170">
        <f t="shared" si="76"/>
        <v>251.75081757202989</v>
      </c>
      <c r="F452" s="170" t="str">
        <f t="shared" si="76"/>
        <v/>
      </c>
      <c r="G452" s="170" t="str">
        <f t="shared" si="76"/>
        <v/>
      </c>
      <c r="H452" s="170" t="str">
        <f t="shared" si="76"/>
        <v/>
      </c>
      <c r="I452" s="170" t="str">
        <f t="shared" si="76"/>
        <v/>
      </c>
      <c r="J452" s="170" t="str">
        <f t="shared" si="76"/>
        <v/>
      </c>
      <c r="K452" s="170" t="str">
        <f t="shared" si="76"/>
        <v/>
      </c>
      <c r="L452" s="170" t="str">
        <f t="shared" si="76"/>
        <v/>
      </c>
      <c r="M452" s="170" t="str">
        <f t="shared" ref="M452:N452" si="77">IF(M443=0,"",(M461*10^6)/M443)</f>
        <v/>
      </c>
      <c r="N452" s="170" t="str">
        <f t="shared" si="77"/>
        <v/>
      </c>
      <c r="U452" s="540"/>
    </row>
    <row r="453" spans="1:21" s="4" customFormat="1" ht="15.6">
      <c r="A453" s="10"/>
      <c r="B453" s="275" t="str">
        <f t="shared" si="75"/>
        <v>2 km  40G (FR) CFP</v>
      </c>
      <c r="C453" s="172">
        <f t="shared" ref="C453:D457" si="78">IF(C444=0,"",(C462*10^6)/C444)</f>
        <v>4569.894941368153</v>
      </c>
      <c r="D453" s="170">
        <f t="shared" si="78"/>
        <v>5251.681208639473</v>
      </c>
      <c r="E453" s="170"/>
      <c r="F453" s="170"/>
      <c r="G453" s="170"/>
      <c r="H453" s="170"/>
      <c r="I453" s="170"/>
      <c r="J453" s="170"/>
      <c r="K453" s="170"/>
      <c r="L453" s="170"/>
      <c r="M453" s="170"/>
      <c r="N453" s="170"/>
      <c r="U453" s="540"/>
    </row>
    <row r="454" spans="1:21" s="4" customFormat="1" ht="15.6">
      <c r="A454" s="10"/>
      <c r="B454" s="275" t="str">
        <f t="shared" si="75"/>
        <v>2 km 40G LR4 subspec QSFP+</v>
      </c>
      <c r="C454" s="172">
        <f t="shared" si="78"/>
        <v>377.60055209491952</v>
      </c>
      <c r="D454" s="170">
        <f t="shared" si="78"/>
        <v>343.5254726908467</v>
      </c>
      <c r="E454" s="170">
        <f t="shared" ref="E454:H457" si="79">IF(E445=0,"",(E463*10^6)/E445)</f>
        <v>303.68617678545809</v>
      </c>
      <c r="F454" s="170" t="str">
        <f t="shared" si="79"/>
        <v/>
      </c>
      <c r="G454" s="170" t="str">
        <f t="shared" si="79"/>
        <v/>
      </c>
      <c r="H454" s="170" t="str">
        <f t="shared" si="79"/>
        <v/>
      </c>
      <c r="I454" s="170" t="str">
        <f t="shared" ref="I454:J456" si="80">IF(I445=0,"",(I463*10^6)/I445)</f>
        <v/>
      </c>
      <c r="J454" s="170" t="str">
        <f t="shared" si="80"/>
        <v/>
      </c>
      <c r="K454" s="170" t="str">
        <f t="shared" ref="K454:L456" si="81">IF(K445=0,"",(K463*10^6)/K445)</f>
        <v/>
      </c>
      <c r="L454" s="170" t="str">
        <f t="shared" si="81"/>
        <v/>
      </c>
      <c r="M454" s="170" t="str">
        <f t="shared" ref="M454:N454" si="82">IF(M445=0,"",(M463*10^6)/M445)</f>
        <v/>
      </c>
      <c r="N454" s="170" t="str">
        <f t="shared" si="82"/>
        <v/>
      </c>
      <c r="U454" s="540"/>
    </row>
    <row r="455" spans="1:21" s="4" customFormat="1">
      <c r="A455" s="10"/>
      <c r="B455" s="275" t="str">
        <f t="shared" si="75"/>
        <v>10 km 40G CFP</v>
      </c>
      <c r="C455" s="172">
        <f t="shared" si="78"/>
        <v>1174.9655306999969</v>
      </c>
      <c r="D455" s="170">
        <f t="shared" si="78"/>
        <v>1350.8997571323105</v>
      </c>
      <c r="E455" s="170"/>
      <c r="F455" s="170"/>
      <c r="G455" s="170"/>
      <c r="H455" s="170"/>
      <c r="I455" s="170"/>
      <c r="J455" s="170"/>
      <c r="K455" s="170"/>
      <c r="L455" s="170"/>
      <c r="M455" s="170"/>
      <c r="N455" s="170"/>
      <c r="U455" s="29"/>
    </row>
    <row r="456" spans="1:21" s="4" customFormat="1">
      <c r="A456" s="10"/>
      <c r="B456" s="275" t="str">
        <f t="shared" si="75"/>
        <v>10 km  40G QSFP+</v>
      </c>
      <c r="C456" s="172">
        <f t="shared" si="78"/>
        <v>427.72742888770347</v>
      </c>
      <c r="D456" s="170">
        <f t="shared" si="78"/>
        <v>401.36672508917627</v>
      </c>
      <c r="E456" s="170">
        <f t="shared" si="79"/>
        <v>361.77095787062291</v>
      </c>
      <c r="F456" s="170" t="str">
        <f t="shared" si="79"/>
        <v/>
      </c>
      <c r="G456" s="170" t="str">
        <f t="shared" si="79"/>
        <v/>
      </c>
      <c r="H456" s="170" t="str">
        <f t="shared" si="79"/>
        <v/>
      </c>
      <c r="I456" s="170" t="str">
        <f t="shared" si="80"/>
        <v/>
      </c>
      <c r="J456" s="170" t="str">
        <f t="shared" si="80"/>
        <v/>
      </c>
      <c r="K456" s="170" t="str">
        <f t="shared" si="81"/>
        <v/>
      </c>
      <c r="L456" s="170" t="str">
        <f t="shared" si="81"/>
        <v/>
      </c>
      <c r="M456" s="170" t="str">
        <f t="shared" ref="M456:N456" si="83">IF(M447=0,"",(M465*10^6)/M447)</f>
        <v/>
      </c>
      <c r="N456" s="170" t="str">
        <f t="shared" si="83"/>
        <v/>
      </c>
      <c r="U456" s="29"/>
    </row>
    <row r="457" spans="1:21" s="4" customFormat="1">
      <c r="A457" s="10"/>
      <c r="B457" s="296" t="str">
        <f t="shared" si="75"/>
        <v>40 km 40G all</v>
      </c>
      <c r="C457" s="177">
        <f t="shared" si="78"/>
        <v>1673.0572324239708</v>
      </c>
      <c r="D457" s="166">
        <f t="shared" si="78"/>
        <v>1459.2330281290015</v>
      </c>
      <c r="E457" s="166">
        <f t="shared" si="79"/>
        <v>1255.0508268482483</v>
      </c>
      <c r="F457" s="166" t="str">
        <f t="shared" si="79"/>
        <v/>
      </c>
      <c r="G457" s="166" t="str">
        <f t="shared" si="79"/>
        <v/>
      </c>
      <c r="H457" s="166" t="str">
        <f t="shared" si="79"/>
        <v/>
      </c>
      <c r="I457" s="166" t="str">
        <f t="shared" ref="I457:K458" si="84">IF(I448=0,"",(I466*10^6)/I448)</f>
        <v/>
      </c>
      <c r="J457" s="166" t="str">
        <f t="shared" si="84"/>
        <v/>
      </c>
      <c r="K457" s="166" t="str">
        <f t="shared" si="84"/>
        <v/>
      </c>
      <c r="L457" s="166" t="str">
        <f t="shared" ref="L457:N458" si="85">IF(L448=0,"",(L466*10^6)/L448)</f>
        <v/>
      </c>
      <c r="M457" s="166" t="str">
        <f t="shared" si="85"/>
        <v/>
      </c>
      <c r="N457" s="166" t="str">
        <f t="shared" si="85"/>
        <v/>
      </c>
      <c r="U457" s="29"/>
    </row>
    <row r="458" spans="1:21" s="4" customFormat="1">
      <c r="A458" s="10"/>
      <c r="B458" s="271" t="str">
        <f t="shared" si="75"/>
        <v>40G LR total</v>
      </c>
      <c r="C458" s="177">
        <f t="shared" ref="C458:H458" si="86">IF(C449=0,"",(C467*10^6)/C449)</f>
        <v>334.5608902931599</v>
      </c>
      <c r="D458" s="166">
        <f t="shared" si="86"/>
        <v>335.91945356152939</v>
      </c>
      <c r="E458" s="166">
        <f t="shared" si="86"/>
        <v>301.17696465131297</v>
      </c>
      <c r="F458" s="166" t="str">
        <f t="shared" si="86"/>
        <v/>
      </c>
      <c r="G458" s="166" t="str">
        <f t="shared" si="86"/>
        <v/>
      </c>
      <c r="H458" s="166" t="str">
        <f t="shared" si="86"/>
        <v/>
      </c>
      <c r="I458" s="166" t="str">
        <f t="shared" si="84"/>
        <v/>
      </c>
      <c r="J458" s="166" t="str">
        <f t="shared" si="84"/>
        <v/>
      </c>
      <c r="K458" s="166" t="str">
        <f t="shared" si="84"/>
        <v/>
      </c>
      <c r="L458" s="166" t="str">
        <f t="shared" si="85"/>
        <v/>
      </c>
      <c r="M458" s="166" t="str">
        <f t="shared" si="85"/>
        <v/>
      </c>
      <c r="N458" s="166" t="str">
        <f t="shared" si="85"/>
        <v/>
      </c>
      <c r="U458" s="29"/>
    </row>
    <row r="459" spans="1:21" s="4" customFormat="1" ht="13.2">
      <c r="A459" s="10"/>
      <c r="C459" s="29"/>
      <c r="D459" s="29"/>
      <c r="E459" s="29"/>
      <c r="F459" s="29"/>
      <c r="G459" s="29"/>
      <c r="H459" s="29"/>
      <c r="I459" s="29"/>
      <c r="J459" s="29"/>
      <c r="K459" s="29"/>
      <c r="L459" s="29"/>
      <c r="M459" s="29"/>
      <c r="N459" s="29"/>
      <c r="U459" s="29"/>
    </row>
    <row r="460" spans="1:21">
      <c r="A460" s="10"/>
      <c r="B460" s="73" t="s">
        <v>15</v>
      </c>
      <c r="C460" s="385">
        <v>2016</v>
      </c>
      <c r="D460" s="386">
        <v>2017</v>
      </c>
      <c r="E460" s="386">
        <v>2018</v>
      </c>
      <c r="F460" s="386">
        <v>2019</v>
      </c>
      <c r="G460" s="386">
        <v>2020</v>
      </c>
      <c r="H460" s="386">
        <v>2021</v>
      </c>
      <c r="I460" s="386">
        <v>2022</v>
      </c>
      <c r="J460" s="386">
        <v>2023</v>
      </c>
      <c r="K460" s="386">
        <v>2024</v>
      </c>
      <c r="L460" s="386">
        <v>2025</v>
      </c>
      <c r="M460" s="386">
        <v>2026</v>
      </c>
      <c r="N460" s="386">
        <v>2027</v>
      </c>
    </row>
    <row r="461" spans="1:21" s="4" customFormat="1" ht="15.6">
      <c r="A461" s="10"/>
      <c r="B461" s="273" t="str">
        <f t="shared" ref="B461:B466" si="87">B443</f>
        <v>500m 40G PSM4 QSFP+</v>
      </c>
      <c r="C461" s="171">
        <f>'Products x speed'!E222</f>
        <v>206.04404776999999</v>
      </c>
      <c r="D461" s="168">
        <f>'Products x speed'!F222</f>
        <v>161.25879399999999</v>
      </c>
      <c r="E461" s="168">
        <f>'Products x speed'!G222</f>
        <v>126.55715000000001</v>
      </c>
      <c r="F461" s="168">
        <f>'Products x speed'!H222</f>
        <v>0</v>
      </c>
      <c r="G461" s="168">
        <f>'Products x speed'!I222</f>
        <v>0</v>
      </c>
      <c r="H461" s="168">
        <f>'Products x speed'!J222</f>
        <v>0</v>
      </c>
      <c r="I461" s="303">
        <f>'Products x speed'!K222</f>
        <v>0</v>
      </c>
      <c r="J461" s="303">
        <f>'Products x speed'!L222</f>
        <v>0</v>
      </c>
      <c r="K461" s="303">
        <f>'Products x speed'!M222</f>
        <v>0</v>
      </c>
      <c r="L461" s="303">
        <f>'Products x speed'!N222</f>
        <v>0</v>
      </c>
      <c r="M461" s="303">
        <f>'Products x speed'!O222</f>
        <v>0</v>
      </c>
      <c r="N461" s="303">
        <f>'Products x speed'!P222</f>
        <v>0</v>
      </c>
      <c r="U461" s="540"/>
    </row>
    <row r="462" spans="1:21" s="4" customFormat="1" ht="15.6">
      <c r="A462" s="10"/>
      <c r="B462" s="275" t="str">
        <f t="shared" si="87"/>
        <v>2 km  40G (FR) CFP</v>
      </c>
      <c r="C462" s="172">
        <f>'Products x speed'!E223</f>
        <v>3.6147868986222087</v>
      </c>
      <c r="D462" s="170">
        <f>'Products x speed'!F223</f>
        <v>2.1111758458730683</v>
      </c>
      <c r="E462" s="170">
        <f>'Products x speed'!G223</f>
        <v>0</v>
      </c>
      <c r="F462" s="170">
        <f>'Products x speed'!H223</f>
        <v>0</v>
      </c>
      <c r="G462" s="170">
        <f>'Products x speed'!I223</f>
        <v>0</v>
      </c>
      <c r="H462" s="170">
        <f>'Products x speed'!J223</f>
        <v>0</v>
      </c>
      <c r="I462" s="170">
        <f>'Products x speed'!K223</f>
        <v>0</v>
      </c>
      <c r="J462" s="170">
        <f>'Products x speed'!L223</f>
        <v>0</v>
      </c>
      <c r="K462" s="170">
        <f>'Products x speed'!M223</f>
        <v>0</v>
      </c>
      <c r="L462" s="170">
        <f>'Products x speed'!N223</f>
        <v>0</v>
      </c>
      <c r="M462" s="170">
        <f>'Products x speed'!O223</f>
        <v>0</v>
      </c>
      <c r="N462" s="170">
        <f>'Products x speed'!P223</f>
        <v>0</v>
      </c>
      <c r="U462" s="540"/>
    </row>
    <row r="463" spans="1:21" s="4" customFormat="1" ht="15.6">
      <c r="A463" s="10"/>
      <c r="B463" s="275" t="str">
        <f t="shared" si="87"/>
        <v>2 km 40G LR4 subspec QSFP+</v>
      </c>
      <c r="C463" s="172">
        <f>'Products x speed'!E224</f>
        <v>177.55117799999999</v>
      </c>
      <c r="D463" s="170">
        <f>'Products x speed'!F224</f>
        <v>277.09314268000003</v>
      </c>
      <c r="E463" s="170">
        <f>'Products x speed'!G224</f>
        <v>82.548280259999999</v>
      </c>
      <c r="F463" s="170">
        <f>'Products x speed'!H224</f>
        <v>0</v>
      </c>
      <c r="G463" s="170">
        <f>'Products x speed'!I224</f>
        <v>0</v>
      </c>
      <c r="H463" s="170">
        <f>'Products x speed'!J224</f>
        <v>0</v>
      </c>
      <c r="I463" s="170">
        <f>'Products x speed'!K224</f>
        <v>0</v>
      </c>
      <c r="J463" s="301">
        <f>'Products x speed'!L224</f>
        <v>0</v>
      </c>
      <c r="K463" s="170">
        <f>'Products x speed'!M224</f>
        <v>0</v>
      </c>
      <c r="L463" s="170">
        <f>'Products x speed'!N224</f>
        <v>0</v>
      </c>
      <c r="M463" s="170">
        <f>'Products x speed'!O224</f>
        <v>0</v>
      </c>
      <c r="N463" s="170">
        <f>'Products x speed'!P224</f>
        <v>0</v>
      </c>
      <c r="U463" s="540"/>
    </row>
    <row r="464" spans="1:21" s="4" customFormat="1">
      <c r="A464" s="10"/>
      <c r="B464" s="275" t="str">
        <f t="shared" si="87"/>
        <v>10 km 40G CFP</v>
      </c>
      <c r="C464" s="420">
        <f>'Products x speed'!E225</f>
        <v>7.8193956068084791</v>
      </c>
      <c r="D464" s="301">
        <f>'Products x speed'!F225</f>
        <v>3.8446607087985556</v>
      </c>
      <c r="E464" s="301">
        <f>'Products x speed'!G225</f>
        <v>0</v>
      </c>
      <c r="F464" s="301">
        <f>'Products x speed'!H225</f>
        <v>0</v>
      </c>
      <c r="G464" s="301">
        <f>'Products x speed'!I225</f>
        <v>0</v>
      </c>
      <c r="H464" s="301">
        <f>'Products x speed'!J225</f>
        <v>0</v>
      </c>
      <c r="I464" s="301">
        <f>'Products x speed'!K225</f>
        <v>0</v>
      </c>
      <c r="J464" s="301">
        <f>'Products x speed'!L225</f>
        <v>0</v>
      </c>
      <c r="K464" s="301">
        <f>'Products x speed'!M225</f>
        <v>0</v>
      </c>
      <c r="L464" s="301">
        <f>'Products x speed'!N225</f>
        <v>0</v>
      </c>
      <c r="M464" s="301">
        <f>'Products x speed'!O225</f>
        <v>0</v>
      </c>
      <c r="N464" s="301">
        <f>'Products x speed'!P225</f>
        <v>0</v>
      </c>
      <c r="U464" s="29"/>
    </row>
    <row r="465" spans="1:21" s="4" customFormat="1">
      <c r="A465" s="10"/>
      <c r="B465" s="275" t="str">
        <f t="shared" si="87"/>
        <v>10 km  40G QSFP+</v>
      </c>
      <c r="C465" s="172">
        <f>'Products x speed'!E226</f>
        <v>139.9656742823521</v>
      </c>
      <c r="D465" s="170">
        <f>'Products x speed'!F226</f>
        <v>170.32318072539266</v>
      </c>
      <c r="E465" s="170">
        <f>'Products x speed'!G226</f>
        <v>97.438304479999957</v>
      </c>
      <c r="F465" s="170">
        <f>'Products x speed'!H226</f>
        <v>0</v>
      </c>
      <c r="G465" s="170">
        <f>'Products x speed'!I226</f>
        <v>0</v>
      </c>
      <c r="H465" s="170">
        <f>'Products x speed'!J226</f>
        <v>0</v>
      </c>
      <c r="I465" s="301">
        <f>'Products x speed'!K226</f>
        <v>0</v>
      </c>
      <c r="J465" s="301">
        <f>'Products x speed'!L226</f>
        <v>0</v>
      </c>
      <c r="K465" s="301">
        <f>'Products x speed'!M226</f>
        <v>0</v>
      </c>
      <c r="L465" s="301">
        <f>'Products x speed'!N226</f>
        <v>0</v>
      </c>
      <c r="M465" s="301">
        <f>'Products x speed'!O226</f>
        <v>0</v>
      </c>
      <c r="N465" s="301">
        <f>'Products x speed'!P226</f>
        <v>0</v>
      </c>
      <c r="U465" s="29"/>
    </row>
    <row r="466" spans="1:21" s="4" customFormat="1">
      <c r="A466" s="10"/>
      <c r="B466" s="296" t="str">
        <f t="shared" si="87"/>
        <v>40 km 40G all</v>
      </c>
      <c r="C466" s="556">
        <f>'Products x speed'!E227</f>
        <v>8.1879420954829136</v>
      </c>
      <c r="D466" s="302">
        <f>'Products x speed'!F227</f>
        <v>7.9265538087967364</v>
      </c>
      <c r="E466" s="302">
        <f>'Products x speed'!G227</f>
        <v>10.321537999999995</v>
      </c>
      <c r="F466" s="302">
        <f>'Products x speed'!H227</f>
        <v>0</v>
      </c>
      <c r="G466" s="302">
        <f>'Products x speed'!I227</f>
        <v>0</v>
      </c>
      <c r="H466" s="302">
        <f>'Products x speed'!J227</f>
        <v>0</v>
      </c>
      <c r="I466" s="302">
        <f>'Products x speed'!K227</f>
        <v>0</v>
      </c>
      <c r="J466" s="302">
        <f>'Products x speed'!L227</f>
        <v>0</v>
      </c>
      <c r="K466" s="302">
        <f>'Products x speed'!M227</f>
        <v>0</v>
      </c>
      <c r="L466" s="302">
        <f>'Products x speed'!N227</f>
        <v>0</v>
      </c>
      <c r="M466" s="302">
        <f>'Products x speed'!O227</f>
        <v>0</v>
      </c>
      <c r="N466" s="302">
        <f>'Products x speed'!P227</f>
        <v>0</v>
      </c>
      <c r="U466" s="29"/>
    </row>
    <row r="467" spans="1:21" s="4" customFormat="1">
      <c r="A467" s="10"/>
      <c r="B467" s="295" t="s">
        <v>187</v>
      </c>
      <c r="C467" s="166">
        <f t="shared" ref="C467:L467" si="88">SUM(C461:C466)</f>
        <v>543.18302465326565</v>
      </c>
      <c r="D467" s="166">
        <f t="shared" si="88"/>
        <v>622.557507768861</v>
      </c>
      <c r="E467" s="166">
        <f t="shared" si="88"/>
        <v>316.86527273999991</v>
      </c>
      <c r="F467" s="166">
        <f t="shared" si="88"/>
        <v>0</v>
      </c>
      <c r="G467" s="166">
        <f t="shared" si="88"/>
        <v>0</v>
      </c>
      <c r="H467" s="166">
        <f t="shared" si="88"/>
        <v>0</v>
      </c>
      <c r="I467" s="166">
        <f t="shared" si="88"/>
        <v>0</v>
      </c>
      <c r="J467" s="166">
        <f t="shared" si="88"/>
        <v>0</v>
      </c>
      <c r="K467" s="166">
        <f t="shared" si="88"/>
        <v>0</v>
      </c>
      <c r="L467" s="166">
        <f t="shared" si="88"/>
        <v>0</v>
      </c>
      <c r="M467" s="166">
        <f t="shared" ref="M467:N467" si="89">SUM(M461:M466)</f>
        <v>0</v>
      </c>
      <c r="N467" s="166">
        <f t="shared" si="89"/>
        <v>0</v>
      </c>
      <c r="U467" s="29"/>
    </row>
    <row r="468" spans="1:21" s="4" customFormat="1">
      <c r="A468" s="10"/>
      <c r="B468" s="276"/>
      <c r="C468" s="170"/>
      <c r="D468" s="170"/>
      <c r="E468" s="170"/>
      <c r="F468" s="170"/>
      <c r="G468" s="170"/>
      <c r="H468" s="170"/>
      <c r="I468" s="170"/>
      <c r="J468" s="170"/>
      <c r="K468" s="170"/>
      <c r="L468" s="170"/>
      <c r="M468" s="170"/>
      <c r="N468" s="170"/>
      <c r="U468" s="29"/>
    </row>
    <row r="469" spans="1:21" s="4" customFormat="1" ht="13.2">
      <c r="A469" s="10"/>
      <c r="U469" s="29"/>
    </row>
    <row r="470" spans="1:21" ht="21">
      <c r="B470" s="148" t="s">
        <v>280</v>
      </c>
    </row>
    <row r="471" spans="1:21" ht="14.55" customHeight="1">
      <c r="B471" s="148"/>
    </row>
    <row r="491" spans="2:21" ht="15.6">
      <c r="B491" s="111" t="s">
        <v>281</v>
      </c>
      <c r="C491" s="385">
        <v>2016</v>
      </c>
      <c r="D491" s="386">
        <v>2017</v>
      </c>
      <c r="E491" s="386">
        <v>2018</v>
      </c>
      <c r="F491" s="386">
        <v>2019</v>
      </c>
      <c r="G491" s="386">
        <v>2020</v>
      </c>
      <c r="H491" s="386">
        <v>2021</v>
      </c>
      <c r="I491" s="386">
        <v>2022</v>
      </c>
      <c r="J491" s="386">
        <v>2023</v>
      </c>
      <c r="K491" s="386">
        <v>2024</v>
      </c>
      <c r="L491" s="386">
        <v>2025</v>
      </c>
      <c r="M491" s="386">
        <v>2026</v>
      </c>
      <c r="N491" s="386">
        <v>2027</v>
      </c>
    </row>
    <row r="492" spans="2:21" ht="15.6">
      <c r="B492" s="273" t="str">
        <f>'Products x speed'!C36</f>
        <v>100 m</v>
      </c>
      <c r="C492" s="158"/>
      <c r="D492" s="159"/>
      <c r="E492" s="159">
        <f>'Products x speed'!G36</f>
        <v>0</v>
      </c>
      <c r="F492" s="159">
        <f>'Products x speed'!H36</f>
        <v>0</v>
      </c>
      <c r="G492" s="159">
        <f>'Products x speed'!I36</f>
        <v>0</v>
      </c>
      <c r="H492" s="159">
        <f>'Products x speed'!J36</f>
        <v>0</v>
      </c>
      <c r="I492" s="159">
        <f>'Products x speed'!K36</f>
        <v>0</v>
      </c>
      <c r="J492" s="159">
        <f>'Products x speed'!L36</f>
        <v>0</v>
      </c>
      <c r="K492" s="159">
        <f>'Products x speed'!M36</f>
        <v>0</v>
      </c>
      <c r="L492" s="159">
        <f>'Products x speed'!N36</f>
        <v>0</v>
      </c>
      <c r="M492" s="159">
        <f>'Products x speed'!O36</f>
        <v>0</v>
      </c>
      <c r="N492" s="159">
        <f>'Products x speed'!P36</f>
        <v>0</v>
      </c>
      <c r="U492" s="540">
        <f>SUM(C492:N497)</f>
        <v>0</v>
      </c>
    </row>
    <row r="493" spans="2:21" ht="15.6">
      <c r="B493" s="275" t="str">
        <f>'Products x speed'!C37</f>
        <v>2 km</v>
      </c>
      <c r="C493" s="160"/>
      <c r="D493" s="161"/>
      <c r="E493" s="161">
        <f>'Products x speed'!G37</f>
        <v>0</v>
      </c>
      <c r="F493" s="161">
        <f>'Products x speed'!H37</f>
        <v>0</v>
      </c>
      <c r="G493" s="161">
        <f>'Products x speed'!I37</f>
        <v>0</v>
      </c>
      <c r="H493" s="161">
        <f>'Products x speed'!J37</f>
        <v>0</v>
      </c>
      <c r="I493" s="161">
        <f>'Products x speed'!K37</f>
        <v>0</v>
      </c>
      <c r="J493" s="161">
        <f>'Products x speed'!L37</f>
        <v>0</v>
      </c>
      <c r="K493" s="161">
        <f>'Products x speed'!M37</f>
        <v>0</v>
      </c>
      <c r="L493" s="161">
        <f>'Products x speed'!N37</f>
        <v>0</v>
      </c>
      <c r="M493" s="161">
        <f>'Products x speed'!O37</f>
        <v>0</v>
      </c>
      <c r="N493" s="161">
        <f>'Products x speed'!P37</f>
        <v>0</v>
      </c>
      <c r="U493" s="540">
        <f>SUM('Products x speed'!E36:P40)*2</f>
        <v>0</v>
      </c>
    </row>
    <row r="494" spans="2:21" ht="15.6">
      <c r="B494" s="275" t="str">
        <f>'Products x speed'!C38</f>
        <v>10 km</v>
      </c>
      <c r="C494" s="160"/>
      <c r="D494" s="161"/>
      <c r="E494" s="161">
        <f>'Products x speed'!G38</f>
        <v>0</v>
      </c>
      <c r="F494" s="161">
        <f>'Products x speed'!H38</f>
        <v>0</v>
      </c>
      <c r="G494" s="161">
        <f>'Products x speed'!I38</f>
        <v>0</v>
      </c>
      <c r="H494" s="161">
        <f>'Products x speed'!J38</f>
        <v>0</v>
      </c>
      <c r="I494" s="161">
        <f>'Products x speed'!K38</f>
        <v>0</v>
      </c>
      <c r="J494" s="161">
        <f>'Products x speed'!L38</f>
        <v>0</v>
      </c>
      <c r="K494" s="161">
        <f>'Products x speed'!M38</f>
        <v>0</v>
      </c>
      <c r="L494" s="161">
        <f>'Products x speed'!N38</f>
        <v>0</v>
      </c>
      <c r="M494" s="161">
        <f>'Products x speed'!O38</f>
        <v>0</v>
      </c>
      <c r="N494" s="161">
        <f>'Products x speed'!P38</f>
        <v>0</v>
      </c>
      <c r="U494" s="542">
        <f>U492-U493</f>
        <v>0</v>
      </c>
    </row>
    <row r="495" spans="2:21" ht="15.6">
      <c r="B495" s="275" t="s">
        <v>55</v>
      </c>
      <c r="C495" s="160"/>
      <c r="D495" s="161"/>
      <c r="E495" s="161">
        <f>'Products x speed'!G39</f>
        <v>0</v>
      </c>
      <c r="F495" s="161">
        <f>'Products x speed'!H39</f>
        <v>0</v>
      </c>
      <c r="G495" s="161">
        <f>'Products x speed'!I39</f>
        <v>0</v>
      </c>
      <c r="H495" s="161">
        <f>'Products x speed'!J39</f>
        <v>0</v>
      </c>
      <c r="I495" s="161">
        <f>'Products x speed'!K39</f>
        <v>0</v>
      </c>
      <c r="J495" s="161">
        <f>'Products x speed'!L39</f>
        <v>0</v>
      </c>
      <c r="K495" s="161">
        <f>'Products x speed'!M39</f>
        <v>0</v>
      </c>
      <c r="L495" s="161">
        <f>'Products x speed'!N39</f>
        <v>0</v>
      </c>
      <c r="M495" s="161">
        <f>'Products x speed'!O39</f>
        <v>0</v>
      </c>
      <c r="N495" s="161">
        <f>'Products x speed'!P39</f>
        <v>0</v>
      </c>
      <c r="U495" s="542"/>
    </row>
    <row r="496" spans="2:21" ht="15.6">
      <c r="B496" s="275" t="s">
        <v>57</v>
      </c>
      <c r="C496" s="162"/>
      <c r="D496" s="163"/>
      <c r="E496" s="163">
        <f>'Products x speed'!G40</f>
        <v>0</v>
      </c>
      <c r="F496" s="163">
        <f>'Products x speed'!H40</f>
        <v>0</v>
      </c>
      <c r="G496" s="163">
        <f>'Products x speed'!I40</f>
        <v>0</v>
      </c>
      <c r="H496" s="163">
        <f>'Products x speed'!J40</f>
        <v>0</v>
      </c>
      <c r="I496" s="163">
        <f>'Products x speed'!K40</f>
        <v>0</v>
      </c>
      <c r="J496" s="163">
        <f>'Products x speed'!L40</f>
        <v>0</v>
      </c>
      <c r="K496" s="163">
        <f>'Products x speed'!M40</f>
        <v>0</v>
      </c>
      <c r="L496" s="163">
        <f>'Products x speed'!N40</f>
        <v>0</v>
      </c>
      <c r="M496" s="163">
        <f>'Products x speed'!O40</f>
        <v>0</v>
      </c>
      <c r="N496" s="163">
        <f>'Products x speed'!P40</f>
        <v>0</v>
      </c>
      <c r="U496" s="542"/>
    </row>
    <row r="497" spans="1:21">
      <c r="B497" s="271" t="s">
        <v>84</v>
      </c>
      <c r="C497" s="391">
        <f>SUM(C492:C494)</f>
        <v>0</v>
      </c>
      <c r="D497" s="383">
        <f>SUM(D492:D494)</f>
        <v>0</v>
      </c>
      <c r="E497" s="383">
        <f>SUM(E492:E494)</f>
        <v>0</v>
      </c>
      <c r="F497" s="383">
        <f t="shared" ref="F497:L497" si="90">SUM(F492:F496)</f>
        <v>0</v>
      </c>
      <c r="G497" s="383">
        <f t="shared" si="90"/>
        <v>0</v>
      </c>
      <c r="H497" s="383">
        <f t="shared" si="90"/>
        <v>0</v>
      </c>
      <c r="I497" s="383">
        <f t="shared" si="90"/>
        <v>0</v>
      </c>
      <c r="J497" s="383">
        <f t="shared" si="90"/>
        <v>0</v>
      </c>
      <c r="K497" s="383">
        <f t="shared" si="90"/>
        <v>0</v>
      </c>
      <c r="L497" s="383">
        <f t="shared" si="90"/>
        <v>0</v>
      </c>
      <c r="M497" s="383">
        <f t="shared" ref="M497:N497" si="91">SUM(M492:M496)</f>
        <v>0</v>
      </c>
      <c r="N497" s="383">
        <f t="shared" si="91"/>
        <v>0</v>
      </c>
    </row>
    <row r="498" spans="1:21" ht="14.55" customHeight="1">
      <c r="B498" s="324"/>
      <c r="D498" s="270"/>
      <c r="E498" s="270"/>
      <c r="F498" s="270"/>
      <c r="G498" s="270"/>
      <c r="H498" s="270"/>
      <c r="I498" s="270"/>
      <c r="J498" s="270"/>
      <c r="K498" s="270"/>
      <c r="L498" s="270"/>
      <c r="M498" s="270"/>
      <c r="N498" s="270"/>
      <c r="O498" s="270"/>
      <c r="P498" s="270"/>
      <c r="Q498" s="270"/>
      <c r="S498" s="270"/>
      <c r="T498" s="270"/>
    </row>
    <row r="499" spans="1:21" s="4" customFormat="1" ht="13.2">
      <c r="A499" s="10"/>
      <c r="U499" s="29"/>
    </row>
    <row r="500" spans="1:21" ht="21">
      <c r="A500" s="10"/>
      <c r="B500" s="148" t="s">
        <v>344</v>
      </c>
    </row>
    <row r="502" spans="1:21" ht="17.25" customHeight="1">
      <c r="B502" s="527" t="s">
        <v>343</v>
      </c>
      <c r="I502" s="527" t="s">
        <v>345</v>
      </c>
    </row>
    <row r="523" spans="2:21" ht="15.6">
      <c r="B523" s="111" t="s">
        <v>286</v>
      </c>
    </row>
    <row r="524" spans="2:21">
      <c r="C524" s="385">
        <v>2016</v>
      </c>
      <c r="D524" s="386">
        <v>2017</v>
      </c>
      <c r="E524" s="386">
        <v>2018</v>
      </c>
      <c r="F524" s="386">
        <v>2019</v>
      </c>
      <c r="G524" s="386">
        <v>2020</v>
      </c>
      <c r="H524" s="386">
        <v>2021</v>
      </c>
      <c r="I524" s="386">
        <v>2022</v>
      </c>
      <c r="J524" s="386">
        <v>2023</v>
      </c>
      <c r="K524" s="386">
        <v>2024</v>
      </c>
      <c r="L524" s="386">
        <v>2025</v>
      </c>
      <c r="M524" s="386">
        <v>2026</v>
      </c>
      <c r="N524" s="386">
        <v>2027</v>
      </c>
    </row>
    <row r="525" spans="2:21">
      <c r="B525" s="273" t="s">
        <v>198</v>
      </c>
      <c r="C525" s="158">
        <f>'Products x speed'!E41+'Products x speed'!E42+'Products x speed'!E43+'Products x speed'!E44+'Products x speed'!E45+'Products x speed'!E46</f>
        <v>299241</v>
      </c>
      <c r="D525" s="159">
        <f>'Products x speed'!F41+'Products x speed'!F42+'Products x speed'!F43+'Products x speed'!F44+'Products x speed'!F45+'Products x speed'!F46</f>
        <v>631974</v>
      </c>
      <c r="E525" s="159">
        <f>'Products x speed'!G41+'Products x speed'!G42+'Products x speed'!G43+'Products x speed'!G44+'Products x speed'!G45+'Products x speed'!G46</f>
        <v>2082911</v>
      </c>
      <c r="F525" s="159">
        <f>'Products x speed'!H41+'Products x speed'!H42+'Products x speed'!H43+'Products x speed'!H44+'Products x speed'!H45+'Products x speed'!H46</f>
        <v>0</v>
      </c>
      <c r="G525" s="159">
        <f>'Products x speed'!I41+'Products x speed'!I42+'Products x speed'!I43+'Products x speed'!I44+'Products x speed'!I45+'Products x speed'!I46</f>
        <v>0</v>
      </c>
      <c r="H525" s="159">
        <f>'Products x speed'!J41+'Products x speed'!J42+'Products x speed'!J43+'Products x speed'!J44+'Products x speed'!J45+'Products x speed'!J46</f>
        <v>0</v>
      </c>
      <c r="I525" s="159">
        <f>'Products x speed'!K41+'Products x speed'!K42+'Products x speed'!K43+'Products x speed'!K44+'Products x speed'!K45+'Products x speed'!K46</f>
        <v>0</v>
      </c>
      <c r="J525" s="159">
        <f>'Products x speed'!L41+'Products x speed'!L42+'Products x speed'!L43+'Products x speed'!L44+'Products x speed'!L45+'Products x speed'!L46</f>
        <v>0</v>
      </c>
      <c r="K525" s="159">
        <f>'Products x speed'!M41+'Products x speed'!M42+'Products x speed'!M43+'Products x speed'!M44+'Products x speed'!M45+'Products x speed'!M46</f>
        <v>0</v>
      </c>
      <c r="L525" s="159">
        <f>'Products x speed'!N41+'Products x speed'!N42+'Products x speed'!N43+'Products x speed'!N44+'Products x speed'!N45+'Products x speed'!N46</f>
        <v>0</v>
      </c>
      <c r="M525" s="159">
        <f>'Products x speed'!O41+'Products x speed'!O42+'Products x speed'!O43+'Products x speed'!O44+'Products x speed'!O45+'Products x speed'!O46</f>
        <v>0</v>
      </c>
      <c r="N525" s="159">
        <f>'Products x speed'!P41+'Products x speed'!P42+'Products x speed'!P43+'Products x speed'!P44+'Products x speed'!P45+'Products x speed'!P46</f>
        <v>0</v>
      </c>
    </row>
    <row r="526" spans="2:21" ht="15.6">
      <c r="B526" s="275" t="s">
        <v>44</v>
      </c>
      <c r="C526" s="160">
        <f>'Products x speed'!E47+'Products x speed'!E48+'Products x speed'!E49</f>
        <v>289061.59999999998</v>
      </c>
      <c r="D526" s="161">
        <f>'Products x speed'!F47+'Products x speed'!F48+'Products x speed'!F49</f>
        <v>1393450.1</v>
      </c>
      <c r="E526" s="161">
        <f>'Products x speed'!G47+'Products x speed'!G48+'Products x speed'!G49</f>
        <v>1614311</v>
      </c>
      <c r="F526" s="161">
        <f>'Products x speed'!H47+'Products x speed'!H48+'Products x speed'!H49</f>
        <v>0</v>
      </c>
      <c r="G526" s="161">
        <f>'Products x speed'!I47+'Products x speed'!I48+'Products x speed'!I49</f>
        <v>0</v>
      </c>
      <c r="H526" s="161">
        <f>'Products x speed'!J47+'Products x speed'!J48+'Products x speed'!J49</f>
        <v>0</v>
      </c>
      <c r="I526" s="161">
        <f>'Products x speed'!K47+'Products x speed'!K48+'Products x speed'!K49</f>
        <v>0</v>
      </c>
      <c r="J526" s="161">
        <f>'Products x speed'!L47+'Products x speed'!L48+'Products x speed'!L49</f>
        <v>0</v>
      </c>
      <c r="K526" s="161">
        <f>'Products x speed'!M47+'Products x speed'!M48+'Products x speed'!M49</f>
        <v>0</v>
      </c>
      <c r="L526" s="161">
        <f>'Products x speed'!N47+'Products x speed'!N48+'Products x speed'!N49</f>
        <v>0</v>
      </c>
      <c r="M526" s="161">
        <f>'Products x speed'!O47+'Products x speed'!O48+'Products x speed'!O49</f>
        <v>0</v>
      </c>
      <c r="N526" s="161">
        <f>'Products x speed'!P47+'Products x speed'!P48+'Products x speed'!P49</f>
        <v>0</v>
      </c>
      <c r="U526" s="540"/>
    </row>
    <row r="527" spans="2:21" ht="15.6">
      <c r="B527" s="275" t="s">
        <v>47</v>
      </c>
      <c r="C527" s="160">
        <f>'Products x speed'!E50+'Products x speed'!E51</f>
        <v>30989.399999999994</v>
      </c>
      <c r="D527" s="161">
        <f>'Products x speed'!F50+'Products x speed'!F51</f>
        <v>292890.90000000002</v>
      </c>
      <c r="E527" s="161">
        <f>'Products x speed'!G50+'Products x speed'!G51</f>
        <v>1869292.6190476189</v>
      </c>
      <c r="F527" s="161">
        <f>'Products x speed'!H50+'Products x speed'!H51</f>
        <v>0</v>
      </c>
      <c r="G527" s="161">
        <f>'Products x speed'!I50+'Products x speed'!I51</f>
        <v>0</v>
      </c>
      <c r="H527" s="161">
        <f>'Products x speed'!J50+'Products x speed'!J51</f>
        <v>0</v>
      </c>
      <c r="I527" s="161">
        <f>'Products x speed'!K50+'Products x speed'!K51</f>
        <v>0</v>
      </c>
      <c r="J527" s="161">
        <f>'Products x speed'!L50+'Products x speed'!L51</f>
        <v>0</v>
      </c>
      <c r="K527" s="161">
        <f>'Products x speed'!M50+'Products x speed'!M51</f>
        <v>0</v>
      </c>
      <c r="L527" s="161">
        <f>'Products x speed'!N50+'Products x speed'!N51</f>
        <v>0</v>
      </c>
      <c r="M527" s="161">
        <f>'Products x speed'!O50+'Products x speed'!O51</f>
        <v>0</v>
      </c>
      <c r="N527" s="161">
        <f>'Products x speed'!P50+'Products x speed'!P51</f>
        <v>0</v>
      </c>
      <c r="U527" s="540"/>
    </row>
    <row r="528" spans="2:21" ht="15.6">
      <c r="B528" s="275" t="s">
        <v>169</v>
      </c>
      <c r="C528" s="160">
        <f>'Products x speed'!E52+'Products x speed'!E53+'Products x speed'!E54+'Products x speed'!E55+'Products x speed'!E56</f>
        <v>292622</v>
      </c>
      <c r="D528" s="161">
        <f>'Products x speed'!F52+'Products x speed'!F53+'Products x speed'!F54+'Products x speed'!F55+'Products x speed'!F56</f>
        <v>552903</v>
      </c>
      <c r="E528" s="161">
        <f>'Products x speed'!G52+'Products x speed'!G53+'Products x speed'!G54+'Products x speed'!G55+'Products x speed'!G56</f>
        <v>610404.1176470588</v>
      </c>
      <c r="F528" s="161">
        <f>'Products x speed'!H52+'Products x speed'!H53+'Products x speed'!H54+'Products x speed'!H55+'Products x speed'!H56</f>
        <v>0</v>
      </c>
      <c r="G528" s="161">
        <f>'Products x speed'!I52+'Products x speed'!I53+'Products x speed'!I54+'Products x speed'!I55+'Products x speed'!I56</f>
        <v>0</v>
      </c>
      <c r="H528" s="161">
        <f>'Products x speed'!J52+'Products x speed'!J53+'Products x speed'!J54+'Products x speed'!J55+'Products x speed'!J56</f>
        <v>0</v>
      </c>
      <c r="I528" s="161">
        <f>'Products x speed'!K52+'Products x speed'!K53+'Products x speed'!K54+'Products x speed'!K55+'Products x speed'!K56</f>
        <v>0</v>
      </c>
      <c r="J528" s="161">
        <f>'Products x speed'!L52+'Products x speed'!L53+'Products x speed'!L54+'Products x speed'!L55+'Products x speed'!L56</f>
        <v>0</v>
      </c>
      <c r="K528" s="161">
        <f>'Products x speed'!M52+'Products x speed'!M53+'Products x speed'!M54+'Products x speed'!M55+'Products x speed'!M56</f>
        <v>0</v>
      </c>
      <c r="L528" s="161">
        <f>'Products x speed'!N52+'Products x speed'!N53+'Products x speed'!N54+'Products x speed'!N55+'Products x speed'!N56</f>
        <v>0</v>
      </c>
      <c r="M528" s="161">
        <f>'Products x speed'!O52+'Products x speed'!O53+'Products x speed'!O54+'Products x speed'!O55+'Products x speed'!O56</f>
        <v>0</v>
      </c>
      <c r="N528" s="161">
        <f>'Products x speed'!P52+'Products x speed'!P53+'Products x speed'!P54+'Products x speed'!P55+'Products x speed'!P56</f>
        <v>0</v>
      </c>
      <c r="U528" s="542"/>
    </row>
    <row r="529" spans="1:21">
      <c r="B529" s="275" t="s">
        <v>55</v>
      </c>
      <c r="C529" s="162">
        <f>'Products x speed'!E59</f>
        <v>0</v>
      </c>
      <c r="D529" s="163">
        <f>'Products x speed'!F59</f>
        <v>0</v>
      </c>
      <c r="E529" s="163">
        <f>'Products x speed'!G59</f>
        <v>0</v>
      </c>
      <c r="F529" s="163">
        <f>'Products x speed'!H59</f>
        <v>0</v>
      </c>
      <c r="G529" s="163">
        <f>'Products x speed'!I59</f>
        <v>0</v>
      </c>
      <c r="H529" s="163">
        <f>'Products x speed'!J59</f>
        <v>0</v>
      </c>
      <c r="I529" s="163">
        <f>'Products x speed'!K59</f>
        <v>0</v>
      </c>
      <c r="J529" s="163">
        <f>'Products x speed'!L59</f>
        <v>0</v>
      </c>
      <c r="K529" s="163">
        <f>'Products x speed'!M59</f>
        <v>0</v>
      </c>
      <c r="L529" s="163">
        <f>'Products x speed'!N59</f>
        <v>0</v>
      </c>
      <c r="M529" s="163">
        <f>'Products x speed'!O59</f>
        <v>0</v>
      </c>
      <c r="N529" s="163">
        <f>'Products x speed'!P59</f>
        <v>0</v>
      </c>
    </row>
    <row r="530" spans="1:21">
      <c r="B530" s="271" t="s">
        <v>84</v>
      </c>
      <c r="C530" s="164">
        <f t="shared" ref="C530:I530" si="92">SUM(C525:C529)</f>
        <v>911914</v>
      </c>
      <c r="D530" s="165">
        <f t="shared" si="92"/>
        <v>2871218</v>
      </c>
      <c r="E530" s="165">
        <f t="shared" si="92"/>
        <v>6176918.7366946787</v>
      </c>
      <c r="F530" s="165">
        <f t="shared" si="92"/>
        <v>0</v>
      </c>
      <c r="G530" s="165">
        <f t="shared" si="92"/>
        <v>0</v>
      </c>
      <c r="H530" s="165">
        <f t="shared" si="92"/>
        <v>0</v>
      </c>
      <c r="I530" s="165">
        <f t="shared" si="92"/>
        <v>0</v>
      </c>
      <c r="J530" s="165">
        <f t="shared" ref="J530:M530" si="93">SUM(J525:J529)</f>
        <v>0</v>
      </c>
      <c r="K530" s="165">
        <f t="shared" si="93"/>
        <v>0</v>
      </c>
      <c r="L530" s="165">
        <f t="shared" si="93"/>
        <v>0</v>
      </c>
      <c r="M530" s="165">
        <f t="shared" si="93"/>
        <v>0</v>
      </c>
      <c r="N530" s="165">
        <f t="shared" ref="N530" si="94">SUM(N525:N529)</f>
        <v>0</v>
      </c>
    </row>
    <row r="531" spans="1:21">
      <c r="B531" s="324" t="s">
        <v>90</v>
      </c>
      <c r="C531" s="270"/>
      <c r="D531" s="270">
        <f t="shared" ref="D531:I531" si="95">D530/C530-1</f>
        <v>2.1485622547740246</v>
      </c>
      <c r="E531" s="270">
        <f t="shared" si="95"/>
        <v>1.1513234929199658</v>
      </c>
      <c r="F531" s="270">
        <f t="shared" si="95"/>
        <v>-1</v>
      </c>
      <c r="G531" s="270" t="e">
        <f t="shared" si="95"/>
        <v>#DIV/0!</v>
      </c>
      <c r="H531" s="270" t="e">
        <f t="shared" si="95"/>
        <v>#DIV/0!</v>
      </c>
      <c r="I531" s="270" t="e">
        <f t="shared" si="95"/>
        <v>#DIV/0!</v>
      </c>
      <c r="J531" s="270" t="e">
        <f t="shared" ref="J531" si="96">J530/I530-1</f>
        <v>#DIV/0!</v>
      </c>
      <c r="K531" s="270" t="e">
        <f t="shared" ref="K531" si="97">K530/J530-1</f>
        <v>#DIV/0!</v>
      </c>
      <c r="L531" s="270" t="e">
        <f t="shared" ref="L531" si="98">L530/K530-1</f>
        <v>#DIV/0!</v>
      </c>
      <c r="M531" s="270" t="e">
        <f t="shared" ref="M531:N531" si="99">M530/L530-1</f>
        <v>#DIV/0!</v>
      </c>
      <c r="N531" s="270" t="e">
        <f t="shared" si="99"/>
        <v>#DIV/0!</v>
      </c>
    </row>
    <row r="532" spans="1:21">
      <c r="B532" s="324"/>
      <c r="C532" s="270"/>
      <c r="D532" s="270"/>
      <c r="E532" s="270"/>
      <c r="F532" s="270"/>
      <c r="G532" s="270"/>
      <c r="H532" s="270"/>
      <c r="I532" s="270"/>
      <c r="J532" s="270"/>
      <c r="K532" s="270"/>
      <c r="L532" s="270"/>
      <c r="M532" s="270"/>
      <c r="N532" s="270"/>
    </row>
    <row r="533" spans="1:21" ht="15.6">
      <c r="B533" s="111" t="s">
        <v>287</v>
      </c>
      <c r="C533" s="44"/>
      <c r="D533" s="44"/>
      <c r="E533" s="44"/>
      <c r="F533" s="44"/>
      <c r="G533" s="44"/>
      <c r="H533" s="44"/>
      <c r="I533" s="44"/>
      <c r="J533" s="44"/>
      <c r="K533" s="44"/>
      <c r="L533" s="44"/>
      <c r="M533" s="44"/>
      <c r="N533" s="44"/>
    </row>
    <row r="534" spans="1:21">
      <c r="B534" s="269" t="s">
        <v>85</v>
      </c>
      <c r="C534" s="385">
        <v>2016</v>
      </c>
      <c r="D534" s="386">
        <v>2017</v>
      </c>
      <c r="E534" s="386">
        <v>2018</v>
      </c>
      <c r="F534" s="386">
        <v>2019</v>
      </c>
      <c r="G534" s="386">
        <v>2020</v>
      </c>
      <c r="H534" s="386">
        <v>2021</v>
      </c>
      <c r="I534" s="386">
        <v>2022</v>
      </c>
      <c r="J534" s="386">
        <v>2023</v>
      </c>
      <c r="K534" s="386">
        <v>2024</v>
      </c>
      <c r="L534" s="386">
        <v>2025</v>
      </c>
      <c r="M534" s="386">
        <v>2026</v>
      </c>
      <c r="N534" s="386">
        <v>2027</v>
      </c>
    </row>
    <row r="535" spans="1:21">
      <c r="B535" s="273" t="s">
        <v>38</v>
      </c>
      <c r="C535" s="158">
        <f>'Products x speed'!E41+'Products x speed'!E52</f>
        <v>124752</v>
      </c>
      <c r="D535" s="159">
        <f>'Products x speed'!F41+'Products x speed'!F52</f>
        <v>74262</v>
      </c>
      <c r="E535" s="159">
        <f>'Products x speed'!G41+'Products x speed'!G52</f>
        <v>43810</v>
      </c>
      <c r="F535" s="159">
        <f>'Products x speed'!H41+'Products x speed'!H52</f>
        <v>0</v>
      </c>
      <c r="G535" s="159">
        <f>'Products x speed'!I41+'Products x speed'!I52</f>
        <v>0</v>
      </c>
      <c r="H535" s="159">
        <f>'Products x speed'!J41+'Products x speed'!J52</f>
        <v>0</v>
      </c>
      <c r="I535" s="159">
        <f>'Products x speed'!K41+'Products x speed'!K52</f>
        <v>0</v>
      </c>
      <c r="J535" s="159">
        <f>'Products x speed'!L41+'Products x speed'!L52</f>
        <v>0</v>
      </c>
      <c r="K535" s="159">
        <f>'Products x speed'!M41+'Products x speed'!M52</f>
        <v>0</v>
      </c>
      <c r="L535" s="159">
        <f>'Products x speed'!N41+'Products x speed'!N52</f>
        <v>0</v>
      </c>
      <c r="M535" s="159">
        <f>'Products x speed'!O41+'Products x speed'!O52</f>
        <v>0</v>
      </c>
      <c r="N535" s="159">
        <f>'Products x speed'!P41+'Products x speed'!P52</f>
        <v>0</v>
      </c>
    </row>
    <row r="536" spans="1:21">
      <c r="B536" s="275" t="s">
        <v>142</v>
      </c>
      <c r="C536" s="160">
        <f>'Products x speed'!E42+'Products x speed'!E53</f>
        <v>96610</v>
      </c>
      <c r="D536" s="161">
        <f>'Products x speed'!F42+'Products x speed'!F53</f>
        <v>80471</v>
      </c>
      <c r="E536" s="161">
        <f>'Products x speed'!G42+'Products x speed'!G53</f>
        <v>75797</v>
      </c>
      <c r="F536" s="161">
        <f>'Products x speed'!H42+'Products x speed'!H53</f>
        <v>0</v>
      </c>
      <c r="G536" s="161">
        <f>'Products x speed'!I42+'Products x speed'!I53</f>
        <v>0</v>
      </c>
      <c r="H536" s="161">
        <f>'Products x speed'!J42+'Products x speed'!J53</f>
        <v>0</v>
      </c>
      <c r="I536" s="161">
        <f>'Products x speed'!K42+'Products x speed'!K53</f>
        <v>0</v>
      </c>
      <c r="J536" s="161">
        <f>'Products x speed'!L42+'Products x speed'!L53</f>
        <v>0</v>
      </c>
      <c r="K536" s="161">
        <f>'Products x speed'!M42+'Products x speed'!M53</f>
        <v>0</v>
      </c>
      <c r="L536" s="161">
        <f>'Products x speed'!N42+'Products x speed'!N53</f>
        <v>0</v>
      </c>
      <c r="M536" s="161">
        <f>'Products x speed'!O42+'Products x speed'!O53</f>
        <v>0</v>
      </c>
      <c r="N536" s="161">
        <f>'Products x speed'!P42+'Products x speed'!P53</f>
        <v>0</v>
      </c>
    </row>
    <row r="537" spans="1:21">
      <c r="B537" s="275" t="s">
        <v>40</v>
      </c>
      <c r="C537" s="160">
        <f>SUM('Products x speed'!E43:E51)+'Products x speed'!E54+'Products x speed'!E56+'Products x speed'!E55+'Products x speed'!E59</f>
        <v>690552</v>
      </c>
      <c r="D537" s="161">
        <f>SUM('Products x speed'!F43:F51)+'Products x speed'!F54+'Products x speed'!F56+'Products x speed'!F55+'Products x speed'!F59</f>
        <v>2716485</v>
      </c>
      <c r="E537" s="161">
        <f>SUM('Products x speed'!G43:G51)+'Products x speed'!G54+'Products x speed'!G56+'Products x speed'!G55+'Products x speed'!G59</f>
        <v>6057311.7366946787</v>
      </c>
      <c r="F537" s="161">
        <f>SUM('Products x speed'!H43:H51)+'Products x speed'!H54+'Products x speed'!H56+'Products x speed'!H55+'Products x speed'!H59</f>
        <v>0</v>
      </c>
      <c r="G537" s="161">
        <f>SUM('Products x speed'!I43:I51)+'Products x speed'!I54+'Products x speed'!I56+'Products x speed'!I55+'Products x speed'!I59</f>
        <v>0</v>
      </c>
      <c r="H537" s="161">
        <f>SUM('Products x speed'!J43:J51)+'Products x speed'!J54+'Products x speed'!J56+'Products x speed'!J55+'Products x speed'!J59</f>
        <v>0</v>
      </c>
      <c r="I537" s="161">
        <f>SUM('Products x speed'!K43:K51)+'Products x speed'!K54+'Products x speed'!K56+'Products x speed'!K55+'Products x speed'!K59</f>
        <v>0</v>
      </c>
      <c r="J537" s="161">
        <f>SUM('Products x speed'!L43:L51)+'Products x speed'!L54+'Products x speed'!L56+'Products x speed'!L55+'Products x speed'!L59</f>
        <v>0</v>
      </c>
      <c r="K537" s="161">
        <f>SUM('Products x speed'!M43:M51)+'Products x speed'!M54+'Products x speed'!M56+'Products x speed'!M55+'Products x speed'!M59</f>
        <v>0</v>
      </c>
      <c r="L537" s="161">
        <f>SUM('Products x speed'!N43:N51)+'Products x speed'!N54+'Products x speed'!N56+'Products x speed'!N55+'Products x speed'!N59</f>
        <v>0</v>
      </c>
      <c r="M537" s="161">
        <f>SUM('Products x speed'!O43:O51)+'Products x speed'!O54+'Products x speed'!O56+'Products x speed'!O55+'Products x speed'!O59</f>
        <v>0</v>
      </c>
      <c r="N537" s="161">
        <f>SUM('Products x speed'!P43:P51)+'Products x speed'!P54+'Products x speed'!P56+'Products x speed'!P55+'Products x speed'!P59</f>
        <v>0</v>
      </c>
    </row>
    <row r="538" spans="1:21">
      <c r="B538" s="271" t="s">
        <v>84</v>
      </c>
      <c r="C538" s="376">
        <f t="shared" ref="C538:I538" si="100">SUM(C535:C537)</f>
        <v>911914</v>
      </c>
      <c r="D538" s="377">
        <f t="shared" si="100"/>
        <v>2871218</v>
      </c>
      <c r="E538" s="377">
        <f t="shared" si="100"/>
        <v>6176918.7366946787</v>
      </c>
      <c r="F538" s="377">
        <f t="shared" si="100"/>
        <v>0</v>
      </c>
      <c r="G538" s="377">
        <f t="shared" si="100"/>
        <v>0</v>
      </c>
      <c r="H538" s="377">
        <f t="shared" si="100"/>
        <v>0</v>
      </c>
      <c r="I538" s="377">
        <f t="shared" si="100"/>
        <v>0</v>
      </c>
      <c r="J538" s="377">
        <f t="shared" ref="J538:M538" si="101">SUM(J535:J537)</f>
        <v>0</v>
      </c>
      <c r="K538" s="377">
        <f t="shared" si="101"/>
        <v>0</v>
      </c>
      <c r="L538" s="377">
        <f t="shared" si="101"/>
        <v>0</v>
      </c>
      <c r="M538" s="377">
        <f t="shared" si="101"/>
        <v>0</v>
      </c>
      <c r="N538" s="377">
        <f t="shared" ref="N538" si="102">SUM(N535:N537)</f>
        <v>0</v>
      </c>
    </row>
    <row r="539" spans="1:21">
      <c r="B539" s="324" t="s">
        <v>90</v>
      </c>
      <c r="C539" s="270"/>
      <c r="D539" s="270">
        <f t="shared" ref="D539:I539" si="103">D538/C538-1</f>
        <v>2.1485622547740246</v>
      </c>
      <c r="E539" s="270">
        <f t="shared" si="103"/>
        <v>1.1513234929199658</v>
      </c>
      <c r="F539" s="270">
        <f t="shared" si="103"/>
        <v>-1</v>
      </c>
      <c r="G539" s="270" t="e">
        <f t="shared" si="103"/>
        <v>#DIV/0!</v>
      </c>
      <c r="H539" s="270" t="e">
        <f t="shared" si="103"/>
        <v>#DIV/0!</v>
      </c>
      <c r="I539" s="270" t="e">
        <f t="shared" si="103"/>
        <v>#DIV/0!</v>
      </c>
      <c r="J539" s="270" t="e">
        <f t="shared" ref="J539" si="104">J538/I538-1</f>
        <v>#DIV/0!</v>
      </c>
      <c r="K539" s="270" t="e">
        <f t="shared" ref="K539" si="105">K538/J538-1</f>
        <v>#DIV/0!</v>
      </c>
      <c r="L539" s="270" t="e">
        <f t="shared" ref="L539" si="106">L538/K538-1</f>
        <v>#DIV/0!</v>
      </c>
      <c r="M539" s="270" t="e">
        <f t="shared" ref="M539:N539" si="107">M538/L538-1</f>
        <v>#DIV/0!</v>
      </c>
      <c r="N539" s="270" t="e">
        <f t="shared" si="107"/>
        <v>#DIV/0!</v>
      </c>
    </row>
    <row r="540" spans="1:21">
      <c r="B540" s="324"/>
      <c r="C540" s="62">
        <f t="shared" ref="C540:I540" si="108">C538-C530</f>
        <v>0</v>
      </c>
      <c r="D540" s="62">
        <f t="shared" si="108"/>
        <v>0</v>
      </c>
      <c r="E540" s="62">
        <f t="shared" si="108"/>
        <v>0</v>
      </c>
      <c r="F540" s="62">
        <f t="shared" si="108"/>
        <v>0</v>
      </c>
      <c r="G540" s="62">
        <f t="shared" si="108"/>
        <v>0</v>
      </c>
      <c r="H540" s="62">
        <f t="shared" si="108"/>
        <v>0</v>
      </c>
      <c r="I540" s="62">
        <f t="shared" si="108"/>
        <v>0</v>
      </c>
      <c r="J540" s="62">
        <f t="shared" ref="J540:M540" si="109">J538-J530</f>
        <v>0</v>
      </c>
      <c r="K540" s="62">
        <f t="shared" si="109"/>
        <v>0</v>
      </c>
      <c r="L540" s="62">
        <f t="shared" si="109"/>
        <v>0</v>
      </c>
      <c r="M540" s="62">
        <f t="shared" si="109"/>
        <v>0</v>
      </c>
      <c r="N540" s="62">
        <f t="shared" ref="N540" si="110">N538-N530</f>
        <v>0</v>
      </c>
    </row>
    <row r="541" spans="1:21">
      <c r="B541" s="324"/>
      <c r="D541" s="270"/>
      <c r="E541" s="270"/>
      <c r="F541" s="270"/>
      <c r="G541" s="270"/>
      <c r="H541" s="270"/>
      <c r="I541" s="270"/>
      <c r="J541" s="270"/>
      <c r="K541" s="270"/>
      <c r="L541" s="270"/>
      <c r="M541" s="270"/>
      <c r="N541" s="270"/>
      <c r="O541" s="270"/>
      <c r="P541" s="270"/>
    </row>
    <row r="542" spans="1:21" s="4" customFormat="1" ht="21">
      <c r="A542" s="10"/>
      <c r="B542" s="17" t="s">
        <v>199</v>
      </c>
      <c r="U542" s="29"/>
    </row>
    <row r="543" spans="1:21" ht="21">
      <c r="B543" s="300" t="s">
        <v>22</v>
      </c>
      <c r="G543" s="300" t="s">
        <v>21</v>
      </c>
      <c r="O543" s="300" t="s">
        <v>15</v>
      </c>
    </row>
    <row r="544" spans="1:21" s="4" customFormat="1" ht="13.2">
      <c r="A544" s="10"/>
      <c r="U544" s="29"/>
    </row>
    <row r="545" spans="1:21" s="4" customFormat="1" ht="13.2">
      <c r="A545" s="10"/>
      <c r="U545" s="29"/>
    </row>
    <row r="546" spans="1:21" s="4" customFormat="1" ht="13.2">
      <c r="A546" s="10"/>
      <c r="U546" s="29"/>
    </row>
    <row r="547" spans="1:21" s="4" customFormat="1" ht="13.2">
      <c r="A547" s="10"/>
      <c r="U547" s="29"/>
    </row>
    <row r="548" spans="1:21" s="4" customFormat="1" ht="13.2">
      <c r="A548" s="10"/>
      <c r="U548" s="29"/>
    </row>
    <row r="549" spans="1:21" s="4" customFormat="1" ht="13.2">
      <c r="A549" s="10"/>
      <c r="U549" s="29"/>
    </row>
    <row r="550" spans="1:21" s="4" customFormat="1" ht="13.2">
      <c r="A550" s="10"/>
      <c r="U550" s="29"/>
    </row>
    <row r="551" spans="1:21" s="4" customFormat="1" ht="13.2">
      <c r="A551" s="10"/>
      <c r="U551" s="29"/>
    </row>
    <row r="552" spans="1:21" s="4" customFormat="1" ht="13.2">
      <c r="A552" s="10"/>
      <c r="U552" s="29"/>
    </row>
    <row r="553" spans="1:21" s="4" customFormat="1" ht="13.2">
      <c r="A553" s="10"/>
      <c r="U553" s="29"/>
    </row>
    <row r="554" spans="1:21" s="4" customFormat="1" ht="13.2">
      <c r="A554" s="10"/>
      <c r="U554" s="29"/>
    </row>
    <row r="555" spans="1:21" s="4" customFormat="1" ht="11.55" customHeight="1">
      <c r="A555" s="10"/>
      <c r="U555" s="29"/>
    </row>
    <row r="556" spans="1:21" s="4" customFormat="1" ht="13.2">
      <c r="A556" s="10"/>
      <c r="U556" s="29"/>
    </row>
    <row r="557" spans="1:21" s="4" customFormat="1" ht="13.2">
      <c r="A557" s="10"/>
      <c r="U557" s="29"/>
    </row>
    <row r="558" spans="1:21" s="4" customFormat="1" ht="13.2">
      <c r="A558" s="10"/>
      <c r="U558" s="29"/>
    </row>
    <row r="559" spans="1:21" s="4" customFormat="1" ht="13.2">
      <c r="A559" s="10"/>
      <c r="U559" s="29"/>
    </row>
    <row r="560" spans="1:21" s="4" customFormat="1" ht="13.2">
      <c r="A560" s="10"/>
      <c r="U560" s="29"/>
    </row>
    <row r="561" spans="1:21" s="4" customFormat="1" ht="13.2">
      <c r="A561" s="10"/>
      <c r="U561" s="29"/>
    </row>
    <row r="562" spans="1:21" s="4" customFormat="1" ht="13.2">
      <c r="A562" s="10"/>
      <c r="U562" s="29"/>
    </row>
    <row r="563" spans="1:21" s="304" customFormat="1" ht="14.25" customHeight="1">
      <c r="B563" s="73" t="s">
        <v>22</v>
      </c>
      <c r="C563" s="380">
        <v>2016</v>
      </c>
      <c r="D563" s="386">
        <v>2017</v>
      </c>
      <c r="E563" s="386">
        <v>2018</v>
      </c>
      <c r="F563" s="386">
        <v>2019</v>
      </c>
      <c r="G563" s="386">
        <v>2020</v>
      </c>
      <c r="H563" s="386">
        <v>2021</v>
      </c>
      <c r="I563" s="386">
        <v>2022</v>
      </c>
      <c r="J563" s="386">
        <v>2023</v>
      </c>
      <c r="K563" s="386">
        <v>2024</v>
      </c>
      <c r="L563" s="386">
        <v>2025</v>
      </c>
      <c r="M563" s="386">
        <v>2026</v>
      </c>
      <c r="N563" s="386">
        <v>2027</v>
      </c>
      <c r="U563" s="543"/>
    </row>
    <row r="564" spans="1:21" s="4" customFormat="1" ht="15.6">
      <c r="A564" s="10"/>
      <c r="B564" s="356" t="s">
        <v>81</v>
      </c>
      <c r="C564" s="388">
        <f>'Products x speed'!E41</f>
        <v>14816</v>
      </c>
      <c r="D564" s="388">
        <f>'Products x speed'!F41</f>
        <v>6913</v>
      </c>
      <c r="E564" s="388">
        <f>'Products x speed'!G41</f>
        <v>5094</v>
      </c>
      <c r="F564" s="388">
        <f>'Products x speed'!H41</f>
        <v>0</v>
      </c>
      <c r="G564" s="388">
        <f>'Products x speed'!I41</f>
        <v>0</v>
      </c>
      <c r="H564" s="388">
        <f>'Products x speed'!J41</f>
        <v>0</v>
      </c>
      <c r="I564" s="388">
        <f>'Products x speed'!K41</f>
        <v>0</v>
      </c>
      <c r="J564" s="388">
        <f>'Products x speed'!L41</f>
        <v>0</v>
      </c>
      <c r="K564" s="388">
        <f>'Products x speed'!M41</f>
        <v>0</v>
      </c>
      <c r="L564" s="388">
        <f>'Products x speed'!N41</f>
        <v>0</v>
      </c>
      <c r="M564" s="388">
        <f>'Products x speed'!O41</f>
        <v>0</v>
      </c>
      <c r="N564" s="388">
        <f>'Products x speed'!P41</f>
        <v>0</v>
      </c>
      <c r="U564" s="540"/>
    </row>
    <row r="565" spans="1:21" s="4" customFormat="1" ht="15.6">
      <c r="A565" s="10"/>
      <c r="B565" s="286" t="s">
        <v>151</v>
      </c>
      <c r="C565" s="390">
        <f>'Products x speed'!E42</f>
        <v>4367</v>
      </c>
      <c r="D565" s="390">
        <f>'Products x speed'!F42</f>
        <v>2269</v>
      </c>
      <c r="E565" s="390">
        <f>'Products x speed'!G42</f>
        <v>2000</v>
      </c>
      <c r="F565" s="390">
        <f>'Products x speed'!H42</f>
        <v>0</v>
      </c>
      <c r="G565" s="390">
        <f>'Products x speed'!I42</f>
        <v>0</v>
      </c>
      <c r="H565" s="390">
        <f>'Products x speed'!J42</f>
        <v>0</v>
      </c>
      <c r="I565" s="390">
        <f>'Products x speed'!K42</f>
        <v>0</v>
      </c>
      <c r="J565" s="390">
        <f>'Products x speed'!L42</f>
        <v>0</v>
      </c>
      <c r="K565" s="390">
        <f>'Products x speed'!M42</f>
        <v>0</v>
      </c>
      <c r="L565" s="390">
        <f>'Products x speed'!N42</f>
        <v>0</v>
      </c>
      <c r="M565" s="390">
        <f>'Products x speed'!O42</f>
        <v>0</v>
      </c>
      <c r="N565" s="390">
        <f>'Products x speed'!P42</f>
        <v>0</v>
      </c>
      <c r="U565" s="540"/>
    </row>
    <row r="566" spans="1:21" s="4" customFormat="1" ht="15.6">
      <c r="A566" s="10"/>
      <c r="B566" s="286" t="s">
        <v>202</v>
      </c>
      <c r="C566" s="390">
        <f>'Products x speed'!E43+'Products x speed'!E44</f>
        <v>280058</v>
      </c>
      <c r="D566" s="390">
        <f>'Products x speed'!F43+'Products x speed'!F44</f>
        <v>622792</v>
      </c>
      <c r="E566" s="390">
        <f>'Products x speed'!G43+'Products x speed'!G44</f>
        <v>1915817</v>
      </c>
      <c r="F566" s="390">
        <f>'Products x speed'!H43+'Products x speed'!H44</f>
        <v>0</v>
      </c>
      <c r="G566" s="390">
        <f>'Products x speed'!I43+'Products x speed'!I44</f>
        <v>0</v>
      </c>
      <c r="H566" s="390">
        <f>'Products x speed'!J43+'Products x speed'!J44</f>
        <v>0</v>
      </c>
      <c r="I566" s="390">
        <f>'Products x speed'!K43+'Products x speed'!K44</f>
        <v>0</v>
      </c>
      <c r="J566" s="390">
        <f>'Products x speed'!L43+'Products x speed'!L44</f>
        <v>0</v>
      </c>
      <c r="K566" s="390">
        <f>'Products x speed'!M43+'Products x speed'!M44</f>
        <v>0</v>
      </c>
      <c r="L566" s="390">
        <f>'Products x speed'!N43+'Products x speed'!N44</f>
        <v>0</v>
      </c>
      <c r="M566" s="390">
        <f>'Products x speed'!O43+'Products x speed'!O44</f>
        <v>0</v>
      </c>
      <c r="N566" s="390">
        <f>'Products x speed'!P43+'Products x speed'!P44</f>
        <v>0</v>
      </c>
      <c r="U566" s="540"/>
    </row>
    <row r="567" spans="1:21" s="4" customFormat="1" ht="15.6">
      <c r="A567" s="10"/>
      <c r="B567" s="286" t="s">
        <v>201</v>
      </c>
      <c r="C567" s="390"/>
      <c r="D567" s="390"/>
      <c r="E567" s="390">
        <f>'Products x speed'!G45</f>
        <v>150000</v>
      </c>
      <c r="F567" s="390">
        <f>'Products x speed'!H45</f>
        <v>0</v>
      </c>
      <c r="G567" s="390">
        <f>'Products x speed'!I45</f>
        <v>0</v>
      </c>
      <c r="H567" s="390">
        <f>'Products x speed'!J45</f>
        <v>0</v>
      </c>
      <c r="I567" s="390">
        <f>'Products x speed'!K45</f>
        <v>0</v>
      </c>
      <c r="J567" s="390">
        <f>'Products x speed'!L45</f>
        <v>0</v>
      </c>
      <c r="K567" s="390">
        <f>'Products x speed'!M45</f>
        <v>0</v>
      </c>
      <c r="L567" s="390">
        <f>'Products x speed'!N45</f>
        <v>0</v>
      </c>
      <c r="M567" s="390">
        <f>'Products x speed'!O45</f>
        <v>0</v>
      </c>
      <c r="N567" s="390">
        <f>'Products x speed'!P45</f>
        <v>0</v>
      </c>
      <c r="U567" s="540"/>
    </row>
    <row r="568" spans="1:21" s="4" customFormat="1" ht="15.6">
      <c r="A568" s="10"/>
      <c r="B568" s="286" t="s">
        <v>236</v>
      </c>
      <c r="C568" s="383"/>
      <c r="D568" s="383"/>
      <c r="E568" s="383">
        <f>'Products x speed'!G46</f>
        <v>10000</v>
      </c>
      <c r="F568" s="383">
        <f>'Products x speed'!H46</f>
        <v>0</v>
      </c>
      <c r="G568" s="383">
        <f>'Products x speed'!I46</f>
        <v>0</v>
      </c>
      <c r="H568" s="383">
        <f>'Products x speed'!J46</f>
        <v>0</v>
      </c>
      <c r="I568" s="383">
        <f>'Products x speed'!K46</f>
        <v>0</v>
      </c>
      <c r="J568" s="383">
        <f>'Products x speed'!L46</f>
        <v>0</v>
      </c>
      <c r="K568" s="383">
        <f>'Products x speed'!M46</f>
        <v>0</v>
      </c>
      <c r="L568" s="383">
        <f>'Products x speed'!N46</f>
        <v>0</v>
      </c>
      <c r="M568" s="383">
        <f>'Products x speed'!O46</f>
        <v>0</v>
      </c>
      <c r="N568" s="383">
        <f>'Products x speed'!P46</f>
        <v>0</v>
      </c>
      <c r="U568" s="540"/>
    </row>
    <row r="569" spans="1:21" s="4" customFormat="1">
      <c r="A569" s="10"/>
      <c r="B569" s="295" t="s">
        <v>188</v>
      </c>
      <c r="C569" s="383">
        <f t="shared" ref="C569:K569" si="111">SUM(C564:C568)</f>
        <v>299241</v>
      </c>
      <c r="D569" s="383">
        <f t="shared" si="111"/>
        <v>631974</v>
      </c>
      <c r="E569" s="383">
        <f t="shared" si="111"/>
        <v>2082911</v>
      </c>
      <c r="F569" s="383">
        <f t="shared" si="111"/>
        <v>0</v>
      </c>
      <c r="G569" s="383">
        <f t="shared" si="111"/>
        <v>0</v>
      </c>
      <c r="H569" s="383">
        <f t="shared" si="111"/>
        <v>0</v>
      </c>
      <c r="I569" s="383">
        <f t="shared" si="111"/>
        <v>0</v>
      </c>
      <c r="J569" s="383">
        <f t="shared" si="111"/>
        <v>0</v>
      </c>
      <c r="K569" s="383">
        <f t="shared" si="111"/>
        <v>0</v>
      </c>
      <c r="L569" s="383">
        <f>SUM(L564:L568)</f>
        <v>0</v>
      </c>
      <c r="M569" s="383">
        <f>SUM(M564:M568)</f>
        <v>0</v>
      </c>
      <c r="N569" s="383">
        <f>SUM(N564:N568)</f>
        <v>0</v>
      </c>
      <c r="U569" s="29"/>
    </row>
    <row r="570" spans="1:21" s="4" customFormat="1" ht="13.2">
      <c r="A570" s="10"/>
      <c r="C570" s="60"/>
      <c r="D570" s="60">
        <f t="shared" ref="D570:N570" si="112">D569/C569-1</f>
        <v>1.111923165608991</v>
      </c>
      <c r="E570" s="60">
        <f t="shared" si="112"/>
        <v>2.2958808431992455</v>
      </c>
      <c r="F570" s="60">
        <f t="shared" si="112"/>
        <v>-1</v>
      </c>
      <c r="G570" s="60" t="e">
        <f t="shared" si="112"/>
        <v>#DIV/0!</v>
      </c>
      <c r="H570" s="60" t="e">
        <f t="shared" si="112"/>
        <v>#DIV/0!</v>
      </c>
      <c r="I570" s="60" t="e">
        <f t="shared" si="112"/>
        <v>#DIV/0!</v>
      </c>
      <c r="J570" s="60" t="e">
        <f t="shared" si="112"/>
        <v>#DIV/0!</v>
      </c>
      <c r="K570" s="60" t="e">
        <f t="shared" si="112"/>
        <v>#DIV/0!</v>
      </c>
      <c r="L570" s="60" t="e">
        <f t="shared" si="112"/>
        <v>#DIV/0!</v>
      </c>
      <c r="M570" s="60" t="e">
        <f t="shared" si="112"/>
        <v>#DIV/0!</v>
      </c>
      <c r="N570" s="60" t="e">
        <f t="shared" si="112"/>
        <v>#DIV/0!</v>
      </c>
      <c r="U570" s="29"/>
    </row>
    <row r="571" spans="1:21" s="4" customFormat="1">
      <c r="A571" s="10"/>
      <c r="B571" s="73" t="s">
        <v>21</v>
      </c>
      <c r="C571" s="380">
        <v>2016</v>
      </c>
      <c r="D571" s="386">
        <v>2017</v>
      </c>
      <c r="E571" s="386">
        <v>2018</v>
      </c>
      <c r="F571" s="386">
        <v>2019</v>
      </c>
      <c r="G571" s="386">
        <v>2020</v>
      </c>
      <c r="H571" s="386">
        <v>2021</v>
      </c>
      <c r="I571" s="386">
        <v>2022</v>
      </c>
      <c r="J571" s="386">
        <v>2023</v>
      </c>
      <c r="K571" s="386">
        <v>2024</v>
      </c>
      <c r="L571" s="386">
        <v>2025</v>
      </c>
      <c r="M571" s="386">
        <v>2026</v>
      </c>
      <c r="N571" s="386">
        <v>2027</v>
      </c>
      <c r="U571" s="29"/>
    </row>
    <row r="572" spans="1:21" s="4" customFormat="1">
      <c r="A572" s="10"/>
      <c r="B572" s="356" t="str">
        <f t="shared" ref="B572:B577" si="113">B564</f>
        <v>100 m  100G CFP</v>
      </c>
      <c r="C572" s="393">
        <f t="shared" ref="C572:F573" si="114">IF(C564=0,"",C580*10^6/C564)</f>
        <v>1422.7039686825053</v>
      </c>
      <c r="D572" s="393">
        <f t="shared" si="114"/>
        <v>1273.3986691740201</v>
      </c>
      <c r="E572" s="393">
        <f t="shared" si="114"/>
        <v>1018.9069493521796</v>
      </c>
      <c r="F572" s="393" t="str">
        <f t="shared" si="114"/>
        <v/>
      </c>
      <c r="G572" s="393" t="str">
        <f>IF(G564=0,"",G580*10^6/G564)</f>
        <v/>
      </c>
      <c r="H572" s="393" t="str">
        <f>IF(H564=0,"",H580*10^6/H564)</f>
        <v/>
      </c>
      <c r="I572" s="393" t="str">
        <f t="shared" ref="I572:K573" si="115">IF(I564=0,"",I580*10^6/I564)</f>
        <v/>
      </c>
      <c r="J572" s="393" t="str">
        <f t="shared" si="115"/>
        <v/>
      </c>
      <c r="K572" s="393" t="str">
        <f t="shared" si="115"/>
        <v/>
      </c>
      <c r="L572" s="393" t="str">
        <f t="shared" ref="L572:N573" si="116">IF(L564=0,"",L580*10^6/L564)</f>
        <v/>
      </c>
      <c r="M572" s="393" t="str">
        <f t="shared" si="116"/>
        <v/>
      </c>
      <c r="N572" s="393" t="str">
        <f t="shared" si="116"/>
        <v/>
      </c>
      <c r="U572" s="29"/>
    </row>
    <row r="573" spans="1:21" s="4" customFormat="1">
      <c r="A573" s="10"/>
      <c r="B573" s="286" t="str">
        <f t="shared" si="113"/>
        <v>100 m  100G CFP2/CFP4</v>
      </c>
      <c r="C573" s="279">
        <f t="shared" si="114"/>
        <v>1204.7629951912068</v>
      </c>
      <c r="D573" s="279">
        <f t="shared" si="114"/>
        <v>1092.608197443808</v>
      </c>
      <c r="E573" s="279">
        <f t="shared" si="114"/>
        <v>1004.0468400000002</v>
      </c>
      <c r="F573" s="279" t="str">
        <f t="shared" si="114"/>
        <v/>
      </c>
      <c r="G573" s="279" t="str">
        <f>IF(G565=0,"",G581*10^6/G565)</f>
        <v/>
      </c>
      <c r="H573" s="279" t="str">
        <f>IF(H565=0,"",H581*10^6/H565)</f>
        <v/>
      </c>
      <c r="I573" s="279" t="str">
        <f t="shared" si="115"/>
        <v/>
      </c>
      <c r="J573" s="279" t="str">
        <f t="shared" si="115"/>
        <v/>
      </c>
      <c r="K573" s="279" t="str">
        <f t="shared" si="115"/>
        <v/>
      </c>
      <c r="L573" s="279" t="str">
        <f t="shared" si="116"/>
        <v/>
      </c>
      <c r="M573" s="279" t="str">
        <f t="shared" si="116"/>
        <v/>
      </c>
      <c r="N573" s="279" t="str">
        <f t="shared" si="116"/>
        <v/>
      </c>
      <c r="U573" s="29"/>
    </row>
    <row r="574" spans="1:21" s="4" customFormat="1">
      <c r="A574" s="10"/>
      <c r="B574" s="286" t="str">
        <f t="shared" si="113"/>
        <v>100 m  100G SR2, SR4  QSFP28</v>
      </c>
      <c r="C574" s="279">
        <f>IF(C566=0,"",C582*10^6/C566)</f>
        <v>258.09426618771823</v>
      </c>
      <c r="D574" s="279">
        <f>IF(D566=0,"",D582*10^6/D566)</f>
        <v>182.02277386466108</v>
      </c>
      <c r="E574" s="279">
        <f>IF(E566=0,"",E582*10^6/E566)</f>
        <v>113.54682982085136</v>
      </c>
      <c r="F574" s="279" t="str">
        <f t="shared" ref="F574:L574" si="117">IF(F566=0,"",F582*10^6/F566)</f>
        <v/>
      </c>
      <c r="G574" s="279" t="str">
        <f t="shared" si="117"/>
        <v/>
      </c>
      <c r="H574" s="279" t="str">
        <f t="shared" si="117"/>
        <v/>
      </c>
      <c r="I574" s="279" t="str">
        <f t="shared" si="117"/>
        <v/>
      </c>
      <c r="J574" s="279" t="str">
        <f t="shared" si="117"/>
        <v/>
      </c>
      <c r="K574" s="279" t="str">
        <f t="shared" si="117"/>
        <v/>
      </c>
      <c r="L574" s="279" t="str">
        <f t="shared" si="117"/>
        <v/>
      </c>
      <c r="M574" s="279" t="str">
        <f t="shared" ref="M574:N574" si="118">IF(M566=0,"",M582*10^6/M566)</f>
        <v/>
      </c>
      <c r="N574" s="279" t="str">
        <f t="shared" si="118"/>
        <v/>
      </c>
      <c r="U574" s="29"/>
    </row>
    <row r="575" spans="1:21" s="4" customFormat="1">
      <c r="A575" s="10"/>
      <c r="B575" s="286" t="str">
        <f t="shared" si="113"/>
        <v>100 m  100G QSFP28 MM Duplex</v>
      </c>
      <c r="C575" s="279"/>
      <c r="D575" s="279" t="str">
        <f>IF(D567=0,"",D583*10^6/D567)</f>
        <v/>
      </c>
      <c r="E575" s="279">
        <f>IF(E567=0,"",E583*10^6/E567)</f>
        <v>170</v>
      </c>
      <c r="F575" s="279" t="str">
        <f t="shared" ref="F575:L575" si="119">IF(F567=0,"",F583*10^6/F567)</f>
        <v/>
      </c>
      <c r="G575" s="279" t="str">
        <f t="shared" si="119"/>
        <v/>
      </c>
      <c r="H575" s="279" t="str">
        <f t="shared" si="119"/>
        <v/>
      </c>
      <c r="I575" s="279" t="str">
        <f t="shared" si="119"/>
        <v/>
      </c>
      <c r="J575" s="279" t="str">
        <f t="shared" si="119"/>
        <v/>
      </c>
      <c r="K575" s="279" t="str">
        <f t="shared" si="119"/>
        <v/>
      </c>
      <c r="L575" s="279" t="str">
        <f t="shared" si="119"/>
        <v/>
      </c>
      <c r="M575" s="279" t="str">
        <f t="shared" ref="M575:N575" si="120">IF(M567=0,"",M583*10^6/M567)</f>
        <v/>
      </c>
      <c r="N575" s="279" t="str">
        <f t="shared" si="120"/>
        <v/>
      </c>
      <c r="U575" s="29"/>
    </row>
    <row r="576" spans="1:21" s="4" customFormat="1" ht="15.6">
      <c r="A576" s="10"/>
      <c r="B576" s="286" t="str">
        <f t="shared" si="113"/>
        <v>300 m  100G QSFP28  eSR4</v>
      </c>
      <c r="C576" s="396"/>
      <c r="D576" s="396"/>
      <c r="E576" s="396">
        <f>E575-20</f>
        <v>150</v>
      </c>
      <c r="F576" s="396" t="e">
        <f t="shared" ref="F576:L576" si="121">F575-20</f>
        <v>#VALUE!</v>
      </c>
      <c r="G576" s="396" t="e">
        <f t="shared" si="121"/>
        <v>#VALUE!</v>
      </c>
      <c r="H576" s="396" t="e">
        <f t="shared" si="121"/>
        <v>#VALUE!</v>
      </c>
      <c r="I576" s="396" t="e">
        <f t="shared" si="121"/>
        <v>#VALUE!</v>
      </c>
      <c r="J576" s="396" t="e">
        <f t="shared" si="121"/>
        <v>#VALUE!</v>
      </c>
      <c r="K576" s="396" t="e">
        <f t="shared" si="121"/>
        <v>#VALUE!</v>
      </c>
      <c r="L576" s="396" t="e">
        <f t="shared" si="121"/>
        <v>#VALUE!</v>
      </c>
      <c r="M576" s="396" t="e">
        <f t="shared" ref="M576:N576" si="122">M575-20</f>
        <v>#VALUE!</v>
      </c>
      <c r="N576" s="396" t="e">
        <f t="shared" si="122"/>
        <v>#VALUE!</v>
      </c>
      <c r="U576" s="540"/>
    </row>
    <row r="577" spans="1:21" s="4" customFormat="1">
      <c r="A577" s="10"/>
      <c r="B577" s="295" t="str">
        <f t="shared" si="113"/>
        <v>100G Short Reach</v>
      </c>
      <c r="C577" s="396">
        <f t="shared" ref="C577:H577" si="123">IF(C569=0,"",C585*10^6/C569)</f>
        <v>329.57163623968637</v>
      </c>
      <c r="D577" s="396">
        <f t="shared" si="123"/>
        <v>197.23036134511864</v>
      </c>
      <c r="E577" s="396">
        <f t="shared" si="123"/>
        <v>120.95252871913105</v>
      </c>
      <c r="F577" s="396" t="str">
        <f t="shared" si="123"/>
        <v/>
      </c>
      <c r="G577" s="396" t="str">
        <f t="shared" si="123"/>
        <v/>
      </c>
      <c r="H577" s="396" t="str">
        <f t="shared" si="123"/>
        <v/>
      </c>
      <c r="I577" s="396" t="str">
        <f t="shared" ref="I577:N577" si="124">IF(I569=0,"",I585*10^6/I569)</f>
        <v/>
      </c>
      <c r="J577" s="396" t="str">
        <f t="shared" si="124"/>
        <v/>
      </c>
      <c r="K577" s="396" t="str">
        <f t="shared" si="124"/>
        <v/>
      </c>
      <c r="L577" s="396" t="str">
        <f t="shared" si="124"/>
        <v/>
      </c>
      <c r="M577" s="396" t="str">
        <f t="shared" si="124"/>
        <v/>
      </c>
      <c r="N577" s="396" t="str">
        <f t="shared" si="124"/>
        <v/>
      </c>
      <c r="U577" s="29"/>
    </row>
    <row r="578" spans="1:21" s="4" customFormat="1" ht="13.2">
      <c r="A578" s="10"/>
      <c r="U578" s="29"/>
    </row>
    <row r="579" spans="1:21" s="4" customFormat="1">
      <c r="A579" s="10"/>
      <c r="B579" s="73" t="s">
        <v>15</v>
      </c>
      <c r="C579" s="380">
        <v>2016</v>
      </c>
      <c r="D579" s="386">
        <v>2017</v>
      </c>
      <c r="E579" s="386">
        <v>2018</v>
      </c>
      <c r="F579" s="386">
        <v>2019</v>
      </c>
      <c r="G579" s="386">
        <v>2020</v>
      </c>
      <c r="H579" s="386">
        <v>2021</v>
      </c>
      <c r="I579" s="386">
        <v>2022</v>
      </c>
      <c r="J579" s="386">
        <v>2023</v>
      </c>
      <c r="K579" s="386">
        <v>2024</v>
      </c>
      <c r="L579" s="386">
        <v>2025</v>
      </c>
      <c r="M579" s="386">
        <v>2026</v>
      </c>
      <c r="N579" s="386">
        <v>2027</v>
      </c>
      <c r="U579" s="29"/>
    </row>
    <row r="580" spans="1:21" s="4" customFormat="1" ht="15.6">
      <c r="A580" s="10"/>
      <c r="B580" s="356" t="str">
        <f t="shared" ref="B580:B585" si="125">B564</f>
        <v>100 m  100G CFP</v>
      </c>
      <c r="C580" s="408">
        <f>'Products x speed'!E233</f>
        <v>21.078782</v>
      </c>
      <c r="D580" s="408">
        <f>'Products x speed'!F233</f>
        <v>8.8030050000000024</v>
      </c>
      <c r="E580" s="408">
        <f>'Products x speed'!G233</f>
        <v>5.1903120000000031</v>
      </c>
      <c r="F580" s="408">
        <f>'Products x speed'!H233</f>
        <v>0</v>
      </c>
      <c r="G580" s="408">
        <f>'Products x speed'!I233</f>
        <v>0</v>
      </c>
      <c r="H580" s="408">
        <f>'Products x speed'!J233</f>
        <v>0</v>
      </c>
      <c r="I580" s="408">
        <f>'Products x speed'!K233</f>
        <v>0</v>
      </c>
      <c r="J580" s="408">
        <f>'Products x speed'!L233</f>
        <v>0</v>
      </c>
      <c r="K580" s="408">
        <f>'Products x speed'!M233</f>
        <v>0</v>
      </c>
      <c r="L580" s="408">
        <f>'Products x speed'!N233</f>
        <v>0</v>
      </c>
      <c r="M580" s="408">
        <f>'Products x speed'!O233</f>
        <v>0</v>
      </c>
      <c r="N580" s="408">
        <f>'Products x speed'!P233</f>
        <v>0</v>
      </c>
      <c r="U580" s="540"/>
    </row>
    <row r="581" spans="1:21" s="4" customFormat="1" ht="15.6">
      <c r="A581" s="10"/>
      <c r="B581" s="286" t="str">
        <f t="shared" si="125"/>
        <v>100 m  100G CFP2/CFP4</v>
      </c>
      <c r="C581" s="282">
        <f>'Products x speed'!E234</f>
        <v>5.2611999999999997</v>
      </c>
      <c r="D581" s="282">
        <f>'Products x speed'!F234</f>
        <v>2.4791280000000007</v>
      </c>
      <c r="E581" s="282">
        <f>'Products x speed'!G234</f>
        <v>2.0080936800000004</v>
      </c>
      <c r="F581" s="282">
        <f>'Products x speed'!H234</f>
        <v>0</v>
      </c>
      <c r="G581" s="282">
        <f>'Products x speed'!I234</f>
        <v>0</v>
      </c>
      <c r="H581" s="282">
        <f>'Products x speed'!J234</f>
        <v>0</v>
      </c>
      <c r="I581" s="282">
        <f>'Products x speed'!K234</f>
        <v>0</v>
      </c>
      <c r="J581" s="282">
        <f>'Products x speed'!L234</f>
        <v>0</v>
      </c>
      <c r="K581" s="282">
        <f>'Products x speed'!M234</f>
        <v>0</v>
      </c>
      <c r="L581" s="282">
        <f>'Products x speed'!N234</f>
        <v>0</v>
      </c>
      <c r="M581" s="282">
        <f>'Products x speed'!O234</f>
        <v>0</v>
      </c>
      <c r="N581" s="282">
        <f>'Products x speed'!P234</f>
        <v>0</v>
      </c>
      <c r="U581" s="540"/>
    </row>
    <row r="582" spans="1:21" s="4" customFormat="1" ht="15.6">
      <c r="A582" s="10"/>
      <c r="B582" s="286" t="str">
        <f t="shared" si="125"/>
        <v>100 m  100G SR2, SR4  QSFP28</v>
      </c>
      <c r="C582" s="282">
        <f>'Products x speed'!E235+'Products x speed'!E236</f>
        <v>72.281363999999996</v>
      </c>
      <c r="D582" s="282">
        <f>'Products x speed'!F235+'Products x speed'!F236</f>
        <v>113.36232738072</v>
      </c>
      <c r="E582" s="282">
        <f>'Products x speed'!G235+'Products x speed'!G236</f>
        <v>217.53494686689399</v>
      </c>
      <c r="F582" s="282">
        <f>'Products x speed'!H235+'Products x speed'!H236</f>
        <v>0</v>
      </c>
      <c r="G582" s="282">
        <f>'Products x speed'!I235+'Products x speed'!I236</f>
        <v>0</v>
      </c>
      <c r="H582" s="282">
        <f>'Products x speed'!J235+'Products x speed'!J236</f>
        <v>0</v>
      </c>
      <c r="I582" s="282">
        <f>'Products x speed'!K235+'Products x speed'!K236</f>
        <v>0</v>
      </c>
      <c r="J582" s="282">
        <f>'Products x speed'!L235+'Products x speed'!L236</f>
        <v>0</v>
      </c>
      <c r="K582" s="282">
        <f>'Products x speed'!M235+'Products x speed'!M236</f>
        <v>0</v>
      </c>
      <c r="L582" s="282">
        <f>'Products x speed'!N235+'Products x speed'!N236</f>
        <v>0</v>
      </c>
      <c r="M582" s="282">
        <f>'Products x speed'!O235+'Products x speed'!O236</f>
        <v>0</v>
      </c>
      <c r="N582" s="282">
        <f>'Products x speed'!P235+'Products x speed'!P236</f>
        <v>0</v>
      </c>
      <c r="U582" s="540"/>
    </row>
    <row r="583" spans="1:21" s="4" customFormat="1" ht="15.6">
      <c r="A583" s="10"/>
      <c r="B583" s="286" t="str">
        <f t="shared" si="125"/>
        <v>100 m  100G QSFP28 MM Duplex</v>
      </c>
      <c r="C583" s="282"/>
      <c r="D583" s="282"/>
      <c r="E583" s="282">
        <f>'Products x speed'!G237</f>
        <v>25.5</v>
      </c>
      <c r="F583" s="282">
        <f>'Products x speed'!H237</f>
        <v>0</v>
      </c>
      <c r="G583" s="282">
        <f>'Products x speed'!I237</f>
        <v>0</v>
      </c>
      <c r="H583" s="282">
        <f>'Products x speed'!J237</f>
        <v>0</v>
      </c>
      <c r="I583" s="282">
        <f>'Products x speed'!K237</f>
        <v>0</v>
      </c>
      <c r="J583" s="282">
        <f>'Products x speed'!L237</f>
        <v>0</v>
      </c>
      <c r="K583" s="282">
        <f>'Products x speed'!M237</f>
        <v>0</v>
      </c>
      <c r="L583" s="282">
        <f>'Products x speed'!N237</f>
        <v>0</v>
      </c>
      <c r="M583" s="282">
        <f>'Products x speed'!O237</f>
        <v>0</v>
      </c>
      <c r="N583" s="282">
        <f>'Products x speed'!P237</f>
        <v>0</v>
      </c>
      <c r="U583" s="540"/>
    </row>
    <row r="584" spans="1:21" s="4" customFormat="1" ht="15.6">
      <c r="A584" s="10"/>
      <c r="B584" s="286" t="str">
        <f t="shared" si="125"/>
        <v>300 m  100G QSFP28  eSR4</v>
      </c>
      <c r="C584" s="410"/>
      <c r="D584" s="410"/>
      <c r="E584" s="410">
        <f>'Products x speed'!G238</f>
        <v>1.7</v>
      </c>
      <c r="F584" s="410">
        <f>'Products x speed'!H238</f>
        <v>0</v>
      </c>
      <c r="G584" s="410">
        <f>'Products x speed'!I238</f>
        <v>0</v>
      </c>
      <c r="H584" s="410">
        <f>'Products x speed'!J238</f>
        <v>0</v>
      </c>
      <c r="I584" s="410">
        <f>'Products x speed'!K238</f>
        <v>0</v>
      </c>
      <c r="J584" s="410">
        <f>'Products x speed'!L238</f>
        <v>0</v>
      </c>
      <c r="K584" s="410">
        <f>'Products x speed'!M238</f>
        <v>0</v>
      </c>
      <c r="L584" s="410">
        <f>'Products x speed'!N238</f>
        <v>0</v>
      </c>
      <c r="M584" s="410">
        <f>'Products x speed'!O238</f>
        <v>0</v>
      </c>
      <c r="N584" s="410">
        <f>'Products x speed'!P238</f>
        <v>0</v>
      </c>
      <c r="U584" s="540"/>
    </row>
    <row r="585" spans="1:21" s="4" customFormat="1">
      <c r="A585" s="10"/>
      <c r="B585" s="295" t="str">
        <f t="shared" si="125"/>
        <v>100G Short Reach</v>
      </c>
      <c r="C585" s="396">
        <f t="shared" ref="C585:L585" si="126">SUM(C580:C584)</f>
        <v>98.621345999999988</v>
      </c>
      <c r="D585" s="396">
        <f t="shared" si="126"/>
        <v>124.64446038072001</v>
      </c>
      <c r="E585" s="396">
        <f t="shared" si="126"/>
        <v>251.93335254689399</v>
      </c>
      <c r="F585" s="396">
        <f t="shared" si="126"/>
        <v>0</v>
      </c>
      <c r="G585" s="396">
        <f t="shared" si="126"/>
        <v>0</v>
      </c>
      <c r="H585" s="396">
        <f t="shared" si="126"/>
        <v>0</v>
      </c>
      <c r="I585" s="396">
        <f t="shared" si="126"/>
        <v>0</v>
      </c>
      <c r="J585" s="396">
        <f t="shared" si="126"/>
        <v>0</v>
      </c>
      <c r="K585" s="396">
        <f t="shared" si="126"/>
        <v>0</v>
      </c>
      <c r="L585" s="396">
        <f t="shared" si="126"/>
        <v>0</v>
      </c>
      <c r="M585" s="396">
        <f t="shared" ref="M585:N585" si="127">SUM(M580:M584)</f>
        <v>0</v>
      </c>
      <c r="N585" s="396">
        <f t="shared" si="127"/>
        <v>0</v>
      </c>
      <c r="U585" s="29"/>
    </row>
    <row r="586" spans="1:21" ht="12" customHeight="1"/>
    <row r="587" spans="1:21" ht="21">
      <c r="B587" s="17" t="s">
        <v>200</v>
      </c>
      <c r="C587" s="390"/>
      <c r="D587" s="390"/>
      <c r="E587" s="390"/>
      <c r="F587" s="390"/>
      <c r="G587" s="390"/>
      <c r="H587" s="390"/>
      <c r="I587" s="390"/>
      <c r="J587" s="390"/>
      <c r="K587" s="390"/>
      <c r="L587" s="390"/>
      <c r="M587" s="390"/>
      <c r="N587" s="390"/>
      <c r="O587" s="390"/>
      <c r="P587" s="390"/>
    </row>
    <row r="588" spans="1:21" ht="21">
      <c r="B588" s="300" t="s">
        <v>22</v>
      </c>
      <c r="G588" s="300" t="s">
        <v>21</v>
      </c>
      <c r="O588" s="300" t="s">
        <v>15</v>
      </c>
    </row>
    <row r="589" spans="1:21" s="4" customFormat="1">
      <c r="A589" s="269"/>
      <c r="U589" s="29"/>
    </row>
    <row r="590" spans="1:21" s="4" customFormat="1">
      <c r="A590" s="269"/>
      <c r="U590" s="29"/>
    </row>
    <row r="591" spans="1:21" s="4" customFormat="1">
      <c r="A591" s="269"/>
      <c r="U591" s="29"/>
    </row>
    <row r="592" spans="1:21" s="4" customFormat="1">
      <c r="A592" s="269"/>
      <c r="U592" s="29"/>
    </row>
    <row r="593" spans="1:21" s="4" customFormat="1">
      <c r="A593" s="269"/>
      <c r="U593" s="29"/>
    </row>
    <row r="594" spans="1:21" s="4" customFormat="1">
      <c r="A594" s="269"/>
      <c r="U594" s="29"/>
    </row>
    <row r="595" spans="1:21" s="4" customFormat="1">
      <c r="A595" s="269"/>
      <c r="U595" s="29"/>
    </row>
    <row r="596" spans="1:21" s="4" customFormat="1">
      <c r="A596" s="269"/>
      <c r="U596" s="29"/>
    </row>
    <row r="597" spans="1:21" s="4" customFormat="1">
      <c r="A597" s="269"/>
      <c r="U597" s="29"/>
    </row>
    <row r="598" spans="1:21" s="4" customFormat="1">
      <c r="A598" s="269"/>
      <c r="U598" s="29"/>
    </row>
    <row r="599" spans="1:21" s="4" customFormat="1">
      <c r="A599" s="269"/>
      <c r="U599" s="29"/>
    </row>
    <row r="600" spans="1:21" s="4" customFormat="1">
      <c r="A600" s="269"/>
      <c r="U600" s="29"/>
    </row>
    <row r="601" spans="1:21" s="4" customFormat="1">
      <c r="A601" s="269"/>
      <c r="U601" s="29"/>
    </row>
    <row r="602" spans="1:21" s="4" customFormat="1">
      <c r="A602" s="269"/>
      <c r="U602" s="29"/>
    </row>
    <row r="603" spans="1:21" s="4" customFormat="1">
      <c r="A603" s="269"/>
      <c r="U603" s="29"/>
    </row>
    <row r="604" spans="1:21" s="4" customFormat="1">
      <c r="A604" s="269"/>
      <c r="U604" s="29"/>
    </row>
    <row r="605" spans="1:21" s="4" customFormat="1">
      <c r="A605" s="269"/>
      <c r="U605" s="29"/>
    </row>
    <row r="606" spans="1:21" s="4" customFormat="1">
      <c r="A606" s="269"/>
      <c r="U606" s="29"/>
    </row>
    <row r="607" spans="1:21" s="4" customFormat="1">
      <c r="A607" s="269"/>
      <c r="U607" s="29"/>
    </row>
    <row r="608" spans="1:21" s="4" customFormat="1">
      <c r="A608" s="269"/>
      <c r="U608" s="29"/>
    </row>
    <row r="609" spans="1:21" s="4" customFormat="1">
      <c r="A609" s="269"/>
      <c r="U609" s="29"/>
    </row>
    <row r="610" spans="1:21" s="4" customFormat="1">
      <c r="A610" s="269"/>
      <c r="U610" s="29"/>
    </row>
    <row r="611" spans="1:21" s="4" customFormat="1">
      <c r="A611" s="269"/>
      <c r="U611" s="29"/>
    </row>
    <row r="612" spans="1:21" s="4" customFormat="1">
      <c r="A612" s="269"/>
      <c r="U612" s="29"/>
    </row>
    <row r="613" spans="1:21" s="4" customFormat="1">
      <c r="A613" s="269"/>
      <c r="U613" s="29"/>
    </row>
    <row r="614" spans="1:21" s="4" customFormat="1">
      <c r="A614" s="269"/>
      <c r="U614" s="29"/>
    </row>
    <row r="615" spans="1:21" s="4" customFormat="1">
      <c r="A615" s="269"/>
      <c r="U615" s="29"/>
    </row>
    <row r="616" spans="1:21" s="4" customFormat="1">
      <c r="A616" s="269"/>
      <c r="U616" s="29"/>
    </row>
    <row r="617" spans="1:21" s="4" customFormat="1">
      <c r="A617" s="269"/>
      <c r="U617" s="29"/>
    </row>
    <row r="618" spans="1:21" s="4" customFormat="1">
      <c r="A618" s="269"/>
      <c r="U618" s="29"/>
    </row>
    <row r="619" spans="1:21" s="4" customFormat="1">
      <c r="A619" s="269"/>
      <c r="U619" s="29"/>
    </row>
    <row r="620" spans="1:21" s="4" customFormat="1">
      <c r="A620" s="269"/>
      <c r="U620" s="29"/>
    </row>
    <row r="621" spans="1:21" s="4" customFormat="1">
      <c r="A621" s="269"/>
      <c r="U621" s="29"/>
    </row>
    <row r="622" spans="1:21" s="4" customFormat="1">
      <c r="A622" s="269"/>
      <c r="U622" s="29"/>
    </row>
    <row r="623" spans="1:21" s="4" customFormat="1">
      <c r="A623" s="269"/>
      <c r="U623" s="29"/>
    </row>
    <row r="624" spans="1:21" s="4" customFormat="1">
      <c r="A624" s="269"/>
      <c r="U624" s="29"/>
    </row>
    <row r="625" spans="1:21" s="4" customFormat="1">
      <c r="A625" s="269"/>
      <c r="U625" s="29"/>
    </row>
    <row r="626" spans="1:21" s="4" customFormat="1">
      <c r="A626" s="269"/>
      <c r="U626" s="29"/>
    </row>
    <row r="627" spans="1:21" s="4" customFormat="1">
      <c r="A627" s="269"/>
      <c r="U627" s="29"/>
    </row>
    <row r="628" spans="1:21" s="4" customFormat="1">
      <c r="A628" s="269"/>
      <c r="U628" s="29"/>
    </row>
    <row r="629" spans="1:21" s="4" customFormat="1">
      <c r="A629" s="269"/>
      <c r="U629" s="29"/>
    </row>
    <row r="630" spans="1:21" s="4" customFormat="1">
      <c r="A630" s="269"/>
      <c r="U630" s="29"/>
    </row>
    <row r="631" spans="1:21" s="4" customFormat="1">
      <c r="A631" s="269"/>
      <c r="U631" s="29"/>
    </row>
    <row r="632" spans="1:21" s="4" customFormat="1">
      <c r="A632" s="269"/>
      <c r="U632" s="29"/>
    </row>
    <row r="633" spans="1:21" s="4" customFormat="1">
      <c r="A633" s="269"/>
      <c r="U633" s="29"/>
    </row>
    <row r="634" spans="1:21" s="4" customFormat="1">
      <c r="A634" s="269"/>
      <c r="U634" s="29"/>
    </row>
    <row r="635" spans="1:21" s="4" customFormat="1">
      <c r="A635" s="269"/>
      <c r="U635" s="29"/>
    </row>
    <row r="636" spans="1:21" s="4" customFormat="1">
      <c r="A636" s="269"/>
      <c r="U636" s="29"/>
    </row>
    <row r="637" spans="1:21" s="4" customFormat="1">
      <c r="A637" s="269"/>
      <c r="U637" s="29"/>
    </row>
    <row r="638" spans="1:21" s="4" customFormat="1">
      <c r="A638" s="269"/>
      <c r="U638" s="29"/>
    </row>
    <row r="639" spans="1:21" s="4" customFormat="1">
      <c r="A639" s="269"/>
      <c r="U639" s="29"/>
    </row>
    <row r="640" spans="1:21" s="4" customFormat="1">
      <c r="A640" s="269"/>
      <c r="U640" s="29"/>
    </row>
    <row r="641" spans="1:21" s="4" customFormat="1">
      <c r="A641" s="269"/>
      <c r="U641" s="29"/>
    </row>
    <row r="642" spans="1:21" s="4" customFormat="1">
      <c r="A642" s="269"/>
      <c r="U642" s="29"/>
    </row>
    <row r="643" spans="1:21" s="4" customFormat="1">
      <c r="A643" s="269"/>
      <c r="B643" s="73" t="s">
        <v>22</v>
      </c>
      <c r="C643" s="380">
        <v>2016</v>
      </c>
      <c r="D643" s="386">
        <v>2017</v>
      </c>
      <c r="E643" s="386">
        <v>2018</v>
      </c>
      <c r="F643" s="386">
        <v>2019</v>
      </c>
      <c r="G643" s="386">
        <v>2020</v>
      </c>
      <c r="H643" s="386">
        <v>2021</v>
      </c>
      <c r="I643" s="386">
        <v>2022</v>
      </c>
      <c r="J643" s="386">
        <v>2023</v>
      </c>
      <c r="K643" s="386">
        <v>2024</v>
      </c>
      <c r="L643" s="386">
        <v>2025</v>
      </c>
      <c r="M643" s="386">
        <v>2026</v>
      </c>
      <c r="N643" s="386">
        <v>2027</v>
      </c>
      <c r="U643" s="29"/>
    </row>
    <row r="644" spans="1:21" s="4" customFormat="1">
      <c r="A644" s="269"/>
      <c r="B644" s="356" t="str">
        <f>Telecom!Q47</f>
        <v>100G PSM4_500 m_QSFP28</v>
      </c>
      <c r="C644" s="159">
        <f>'Products x speed'!E47</f>
        <v>200861</v>
      </c>
      <c r="D644" s="159">
        <f>'Products x speed'!F47</f>
        <v>710038</v>
      </c>
      <c r="E644" s="159">
        <f>'Products x speed'!G47</f>
        <v>514311</v>
      </c>
      <c r="F644" s="159">
        <f>'Products x speed'!H47</f>
        <v>0</v>
      </c>
      <c r="G644" s="159">
        <f>'Products x speed'!I47</f>
        <v>0</v>
      </c>
      <c r="H644" s="159">
        <f>'Products x speed'!J47</f>
        <v>0</v>
      </c>
      <c r="I644" s="159">
        <f>'Products x speed'!K47</f>
        <v>0</v>
      </c>
      <c r="J644" s="159">
        <f>'Products x speed'!L47</f>
        <v>0</v>
      </c>
      <c r="K644" s="159">
        <f>'Products x speed'!M47</f>
        <v>0</v>
      </c>
      <c r="L644" s="159">
        <f>'Products x speed'!N47</f>
        <v>0</v>
      </c>
      <c r="M644" s="159">
        <f>'Products x speed'!O47</f>
        <v>0</v>
      </c>
      <c r="N644" s="159">
        <f>'Products x speed'!P47</f>
        <v>0</v>
      </c>
      <c r="U644" s="29"/>
    </row>
    <row r="645" spans="1:21" s="4" customFormat="1" ht="15.6">
      <c r="A645" s="269"/>
      <c r="B645" s="286" t="str">
        <f>Telecom!Q48</f>
        <v>100G DR_500m_QSFP28</v>
      </c>
      <c r="C645" s="161"/>
      <c r="D645" s="161"/>
      <c r="E645" s="161"/>
      <c r="F645" s="161">
        <f>'Products x speed'!H48</f>
        <v>0</v>
      </c>
      <c r="G645" s="161">
        <f>'Products x speed'!I48</f>
        <v>0</v>
      </c>
      <c r="H645" s="161">
        <f>'Products x speed'!J48</f>
        <v>0</v>
      </c>
      <c r="I645" s="161">
        <f>'Products x speed'!K48</f>
        <v>0</v>
      </c>
      <c r="J645" s="161">
        <f>'Products x speed'!L48</f>
        <v>0</v>
      </c>
      <c r="K645" s="161">
        <f>'Products x speed'!M48</f>
        <v>0</v>
      </c>
      <c r="L645" s="161">
        <f>'Products x speed'!N48</f>
        <v>0</v>
      </c>
      <c r="M645" s="161">
        <f>'Products x speed'!O48</f>
        <v>0</v>
      </c>
      <c r="N645" s="161">
        <f>'Products x speed'!P48</f>
        <v>0</v>
      </c>
      <c r="U645" s="540"/>
    </row>
    <row r="646" spans="1:21" s="4" customFormat="1" ht="15.6">
      <c r="A646" s="269"/>
      <c r="B646" s="286" t="str">
        <f>Telecom!Q49</f>
        <v>100G CWDM4-subspec_500 m_QSFP28</v>
      </c>
      <c r="C646" s="161">
        <f>'Products x speed'!E49</f>
        <v>88200.6</v>
      </c>
      <c r="D646" s="161">
        <f>'Products x speed'!F49</f>
        <v>683412.1</v>
      </c>
      <c r="E646" s="161">
        <f>'Products x speed'!G49</f>
        <v>1100000</v>
      </c>
      <c r="F646" s="161">
        <f>'Products x speed'!H49</f>
        <v>0</v>
      </c>
      <c r="G646" s="161">
        <f>'Products x speed'!I49</f>
        <v>0</v>
      </c>
      <c r="H646" s="161">
        <f>'Products x speed'!J49</f>
        <v>0</v>
      </c>
      <c r="I646" s="161">
        <f>'Products x speed'!K49</f>
        <v>0</v>
      </c>
      <c r="J646" s="161">
        <f>'Products x speed'!L49</f>
        <v>0</v>
      </c>
      <c r="K646" s="161">
        <f>'Products x speed'!M49</f>
        <v>0</v>
      </c>
      <c r="L646" s="161">
        <f>'Products x speed'!N49</f>
        <v>0</v>
      </c>
      <c r="M646" s="161">
        <f>'Products x speed'!O49</f>
        <v>0</v>
      </c>
      <c r="N646" s="161">
        <f>'Products x speed'!P49</f>
        <v>0</v>
      </c>
      <c r="U646" s="540"/>
    </row>
    <row r="647" spans="1:21" s="4" customFormat="1" ht="15.6">
      <c r="A647" s="269"/>
      <c r="B647" s="286" t="str">
        <f>Telecom!Q50</f>
        <v>100G CWDM4_2 km_QSFP28</v>
      </c>
      <c r="C647" s="161">
        <f>'Products x speed'!E50</f>
        <v>30989.399999999994</v>
      </c>
      <c r="D647" s="161">
        <f>'Products x speed'!F50</f>
        <v>292890.90000000002</v>
      </c>
      <c r="E647" s="161">
        <f>'Products x speed'!G50</f>
        <v>1866292.6190476189</v>
      </c>
      <c r="F647" s="161">
        <f>'Products x speed'!H50</f>
        <v>0</v>
      </c>
      <c r="G647" s="161">
        <f>'Products x speed'!I50</f>
        <v>0</v>
      </c>
      <c r="H647" s="161">
        <f>'Products x speed'!J50</f>
        <v>0</v>
      </c>
      <c r="I647" s="161">
        <f>'Products x speed'!K50</f>
        <v>0</v>
      </c>
      <c r="J647" s="161">
        <f>'Products x speed'!L50</f>
        <v>0</v>
      </c>
      <c r="K647" s="161">
        <f>'Products x speed'!M50</f>
        <v>0</v>
      </c>
      <c r="L647" s="161">
        <f>'Products x speed'!N50</f>
        <v>0</v>
      </c>
      <c r="M647" s="161">
        <f>'Products x speed'!O50</f>
        <v>0</v>
      </c>
      <c r="N647" s="161">
        <f>'Products x speed'!P50</f>
        <v>0</v>
      </c>
      <c r="U647" s="540"/>
    </row>
    <row r="648" spans="1:21" s="4" customFormat="1">
      <c r="A648" s="269"/>
      <c r="B648" s="286" t="str">
        <f>Telecom!Q51</f>
        <v>100G FR, DR+_2 km_QSFP28</v>
      </c>
      <c r="C648" s="161"/>
      <c r="D648" s="161"/>
      <c r="E648" s="161">
        <f>'Products x speed'!G51</f>
        <v>3000</v>
      </c>
      <c r="F648" s="161">
        <f>'Products x speed'!H51</f>
        <v>0</v>
      </c>
      <c r="G648" s="161">
        <f>'Products x speed'!I51</f>
        <v>0</v>
      </c>
      <c r="H648" s="161">
        <f>'Products x speed'!J51</f>
        <v>0</v>
      </c>
      <c r="I648" s="161">
        <f>'Products x speed'!K51</f>
        <v>0</v>
      </c>
      <c r="J648" s="161">
        <f>'Products x speed'!L51</f>
        <v>0</v>
      </c>
      <c r="K648" s="161">
        <f>'Products x speed'!M51</f>
        <v>0</v>
      </c>
      <c r="L648" s="161">
        <f>'Products x speed'!N51</f>
        <v>0</v>
      </c>
      <c r="M648" s="161">
        <f>'Products x speed'!O51</f>
        <v>0</v>
      </c>
      <c r="N648" s="161">
        <f>'Products x speed'!P51</f>
        <v>0</v>
      </c>
      <c r="U648" s="29"/>
    </row>
    <row r="649" spans="1:21" s="4" customFormat="1">
      <c r="A649" s="269"/>
      <c r="B649" s="286" t="str">
        <f>Telecom!Q52</f>
        <v>100G LR4_10 km_CFP</v>
      </c>
      <c r="C649" s="161">
        <f>'Products x speed'!E52</f>
        <v>109936</v>
      </c>
      <c r="D649" s="161">
        <f>'Products x speed'!F52</f>
        <v>67349</v>
      </c>
      <c r="E649" s="161">
        <f>'Products x speed'!G52</f>
        <v>38716</v>
      </c>
      <c r="F649" s="161">
        <f>'Products x speed'!H52</f>
        <v>0</v>
      </c>
      <c r="G649" s="161">
        <f>'Products x speed'!I52</f>
        <v>0</v>
      </c>
      <c r="H649" s="161">
        <f>'Products x speed'!J52</f>
        <v>0</v>
      </c>
      <c r="I649" s="161">
        <f>'Products x speed'!K52</f>
        <v>0</v>
      </c>
      <c r="J649" s="161">
        <f>'Products x speed'!L52</f>
        <v>0</v>
      </c>
      <c r="K649" s="161">
        <f>'Products x speed'!M52</f>
        <v>0</v>
      </c>
      <c r="L649" s="161">
        <f>'Products x speed'!N52</f>
        <v>0</v>
      </c>
      <c r="M649" s="161">
        <f>'Products x speed'!O52</f>
        <v>0</v>
      </c>
      <c r="N649" s="161">
        <f>'Products x speed'!P52</f>
        <v>0</v>
      </c>
      <c r="U649" s="29"/>
    </row>
    <row r="650" spans="1:21" s="4" customFormat="1">
      <c r="A650" s="269"/>
      <c r="B650" s="286" t="str">
        <f>Telecom!Q53</f>
        <v>100G LR4_10 km_CFP2/4</v>
      </c>
      <c r="C650" s="161">
        <f>'Products x speed'!E53</f>
        <v>92243</v>
      </c>
      <c r="D650" s="161">
        <f>'Products x speed'!F53</f>
        <v>78202</v>
      </c>
      <c r="E650" s="161">
        <f>'Products x speed'!G53</f>
        <v>73797</v>
      </c>
      <c r="F650" s="161">
        <f>'Products x speed'!H53</f>
        <v>0</v>
      </c>
      <c r="G650" s="161">
        <f>'Products x speed'!I53</f>
        <v>0</v>
      </c>
      <c r="H650" s="161">
        <f>'Products x speed'!J53</f>
        <v>0</v>
      </c>
      <c r="I650" s="161">
        <f>'Products x speed'!K53</f>
        <v>0</v>
      </c>
      <c r="J650" s="161">
        <f>'Products x speed'!L53</f>
        <v>0</v>
      </c>
      <c r="K650" s="161">
        <f>'Products x speed'!M53</f>
        <v>0</v>
      </c>
      <c r="L650" s="161">
        <f>'Products x speed'!N53</f>
        <v>0</v>
      </c>
      <c r="M650" s="161">
        <f>'Products x speed'!O53</f>
        <v>0</v>
      </c>
      <c r="N650" s="161">
        <f>'Products x speed'!P53</f>
        <v>0</v>
      </c>
      <c r="U650" s="29"/>
    </row>
    <row r="651" spans="1:21" s="4" customFormat="1">
      <c r="A651" s="269"/>
      <c r="B651" s="286" t="str">
        <f>Telecom!Q54</f>
        <v>100G LR4 and LR1_10 km_QSFP28</v>
      </c>
      <c r="C651" s="161">
        <f>'Products x speed'!E54</f>
        <v>90443</v>
      </c>
      <c r="D651" s="161">
        <f>'Products x speed'!F54</f>
        <v>362352</v>
      </c>
      <c r="E651" s="161">
        <f>'Products x speed'!G54</f>
        <v>397891.1176470588</v>
      </c>
      <c r="F651" s="161">
        <f>'Products x speed'!H54</f>
        <v>0</v>
      </c>
      <c r="G651" s="161">
        <f>'Products x speed'!I54</f>
        <v>0</v>
      </c>
      <c r="H651" s="161">
        <f>'Products x speed'!J54</f>
        <v>0</v>
      </c>
      <c r="I651" s="161">
        <f>'Products x speed'!K54</f>
        <v>0</v>
      </c>
      <c r="J651" s="161">
        <f>'Products x speed'!L54</f>
        <v>0</v>
      </c>
      <c r="K651" s="161">
        <f>'Products x speed'!M54</f>
        <v>0</v>
      </c>
      <c r="L651" s="161">
        <f>'Products x speed'!N54</f>
        <v>0</v>
      </c>
      <c r="M651" s="161">
        <f>'Products x speed'!O54</f>
        <v>0</v>
      </c>
      <c r="N651" s="161">
        <f>'Products x speed'!P54</f>
        <v>0</v>
      </c>
      <c r="U651" s="29"/>
    </row>
    <row r="652" spans="1:21" s="4" customFormat="1">
      <c r="A652" s="269"/>
      <c r="B652" s="286" t="str">
        <f>Telecom!Q55</f>
        <v>100G 4WDM10_10 km_QSFP28</v>
      </c>
      <c r="C652" s="161"/>
      <c r="D652" s="161">
        <f>'Products x speed'!F55</f>
        <v>45000</v>
      </c>
      <c r="E652" s="161">
        <f>'Products x speed'!G55</f>
        <v>100000</v>
      </c>
      <c r="F652" s="161">
        <f>'Products x speed'!H55</f>
        <v>0</v>
      </c>
      <c r="G652" s="161">
        <f>'Products x speed'!I55</f>
        <v>0</v>
      </c>
      <c r="H652" s="161">
        <f>'Products x speed'!J55</f>
        <v>0</v>
      </c>
      <c r="I652" s="161">
        <f>'Products x speed'!K55</f>
        <v>0</v>
      </c>
      <c r="J652" s="161">
        <f>'Products x speed'!L55</f>
        <v>0</v>
      </c>
      <c r="K652" s="161">
        <f>'Products x speed'!M55</f>
        <v>0</v>
      </c>
      <c r="L652" s="161">
        <f>'Products x speed'!N55</f>
        <v>0</v>
      </c>
      <c r="M652" s="161">
        <f>'Products x speed'!O55</f>
        <v>0</v>
      </c>
      <c r="N652" s="161">
        <f>'Products x speed'!P55</f>
        <v>0</v>
      </c>
      <c r="U652" s="29"/>
    </row>
    <row r="653" spans="1:21" s="4" customFormat="1">
      <c r="A653" s="269"/>
      <c r="B653" s="286" t="str">
        <f>Telecom!Q56</f>
        <v>100G 4WDM20_20 km_QSFP28</v>
      </c>
      <c r="C653" s="161">
        <f>'Products x speed'!E56</f>
        <v>0</v>
      </c>
      <c r="D653" s="161">
        <f>'Products x speed'!F56</f>
        <v>0</v>
      </c>
      <c r="E653" s="161">
        <f>'Products x speed'!G56</f>
        <v>0</v>
      </c>
      <c r="F653" s="161">
        <f>'Products x speed'!H56</f>
        <v>0</v>
      </c>
      <c r="G653" s="161">
        <f>'Products x speed'!I56</f>
        <v>0</v>
      </c>
      <c r="H653" s="161">
        <f>'Products x speed'!J56</f>
        <v>0</v>
      </c>
      <c r="I653" s="161">
        <f>'Products x speed'!K56</f>
        <v>0</v>
      </c>
      <c r="J653" s="161">
        <f>'Products x speed'!L56</f>
        <v>0</v>
      </c>
      <c r="K653" s="161">
        <f>'Products x speed'!M56</f>
        <v>0</v>
      </c>
      <c r="L653" s="161">
        <f>'Products x speed'!N56</f>
        <v>0</v>
      </c>
      <c r="M653" s="161">
        <f>'Products x speed'!O56</f>
        <v>0</v>
      </c>
      <c r="N653" s="161">
        <f>'Products x speed'!P56</f>
        <v>0</v>
      </c>
      <c r="U653" s="29"/>
    </row>
    <row r="654" spans="1:21">
      <c r="B654" s="286" t="str">
        <f>Telecom!Q57</f>
        <v>100G ER4-Lite_30 km_QSFP28</v>
      </c>
      <c r="C654" s="161">
        <f>'Products x speed'!E57</f>
        <v>0</v>
      </c>
      <c r="D654" s="161">
        <f>'Products x speed'!F57</f>
        <v>2000</v>
      </c>
      <c r="E654" s="161">
        <f>'Products x speed'!G57</f>
        <v>6050</v>
      </c>
      <c r="F654" s="161">
        <f>'Products x speed'!H57</f>
        <v>0</v>
      </c>
      <c r="G654" s="161">
        <f>'Products x speed'!I57</f>
        <v>0</v>
      </c>
      <c r="H654" s="161">
        <f>'Products x speed'!J57</f>
        <v>0</v>
      </c>
      <c r="I654" s="161">
        <f>'Products x speed'!K57</f>
        <v>0</v>
      </c>
      <c r="J654" s="161">
        <f>'Products x speed'!L57</f>
        <v>0</v>
      </c>
      <c r="K654" s="161">
        <f>'Products x speed'!M57</f>
        <v>0</v>
      </c>
      <c r="L654" s="161">
        <f>'Products x speed'!N57</f>
        <v>0</v>
      </c>
      <c r="M654" s="161">
        <f>'Products x speed'!O57</f>
        <v>0</v>
      </c>
      <c r="N654" s="161">
        <f>'Products x speed'!P57</f>
        <v>0</v>
      </c>
    </row>
    <row r="655" spans="1:21">
      <c r="B655" s="286" t="str">
        <f>Telecom!Q58</f>
        <v>100G ER4_40 km_QSFP28</v>
      </c>
      <c r="C655" s="161">
        <f>'Products x speed'!E58</f>
        <v>7456</v>
      </c>
      <c r="D655" s="161">
        <f>'Products x speed'!F58</f>
        <v>8272</v>
      </c>
      <c r="E655" s="161">
        <f>'Products x speed'!G58</f>
        <v>4050</v>
      </c>
      <c r="F655" s="161">
        <f>'Products x speed'!H58</f>
        <v>0</v>
      </c>
      <c r="G655" s="161">
        <f>'Products x speed'!I58</f>
        <v>0</v>
      </c>
      <c r="H655" s="161">
        <f>'Products x speed'!J58</f>
        <v>0</v>
      </c>
      <c r="I655" s="161">
        <f>'Products x speed'!K58</f>
        <v>0</v>
      </c>
      <c r="J655" s="161">
        <f>'Products x speed'!L58</f>
        <v>0</v>
      </c>
      <c r="K655" s="161">
        <f>'Products x speed'!M58</f>
        <v>0</v>
      </c>
      <c r="L655" s="161">
        <f>'Products x speed'!N58</f>
        <v>0</v>
      </c>
      <c r="M655" s="161">
        <f>'Products x speed'!O58</f>
        <v>0</v>
      </c>
      <c r="N655" s="161">
        <f>'Products x speed'!P58</f>
        <v>0</v>
      </c>
    </row>
    <row r="656" spans="1:21" s="4" customFormat="1">
      <c r="A656" s="269"/>
      <c r="B656" s="372" t="str">
        <f>Telecom!Q59</f>
        <v>100G ZR4_80 km_QSFP28</v>
      </c>
      <c r="C656" s="163">
        <f>'Products x speed'!E59</f>
        <v>0</v>
      </c>
      <c r="D656" s="163">
        <f>'Products x speed'!F59</f>
        <v>0</v>
      </c>
      <c r="E656" s="163">
        <f>'Products x speed'!G59</f>
        <v>0</v>
      </c>
      <c r="F656" s="163">
        <f>'Products x speed'!H59</f>
        <v>0</v>
      </c>
      <c r="G656" s="163">
        <f>'Products x speed'!I59</f>
        <v>0</v>
      </c>
      <c r="H656" s="163">
        <f>'Products x speed'!J59</f>
        <v>0</v>
      </c>
      <c r="I656" s="163">
        <f>'Products x speed'!K59</f>
        <v>0</v>
      </c>
      <c r="J656" s="163">
        <f>'Products x speed'!L59</f>
        <v>0</v>
      </c>
      <c r="K656" s="163">
        <f>'Products x speed'!M59</f>
        <v>0</v>
      </c>
      <c r="L656" s="163">
        <f>'Products x speed'!N59</f>
        <v>0</v>
      </c>
      <c r="M656" s="163">
        <f>'Products x speed'!O59</f>
        <v>0</v>
      </c>
      <c r="N656" s="163">
        <f>'Products x speed'!P59</f>
        <v>0</v>
      </c>
      <c r="U656" s="29"/>
    </row>
    <row r="657" spans="1:21" s="4" customFormat="1">
      <c r="A657" s="269"/>
      <c r="B657" s="372" t="s">
        <v>189</v>
      </c>
      <c r="C657" s="383">
        <f>SUM(C644:C656)</f>
        <v>620129</v>
      </c>
      <c r="D657" s="383">
        <f t="shared" ref="D657:M657" si="128">SUM(D644:D656)</f>
        <v>2249516</v>
      </c>
      <c r="E657" s="383">
        <f t="shared" si="128"/>
        <v>4104107.7366946777</v>
      </c>
      <c r="F657" s="383">
        <f t="shared" si="128"/>
        <v>0</v>
      </c>
      <c r="G657" s="383">
        <f t="shared" si="128"/>
        <v>0</v>
      </c>
      <c r="H657" s="383">
        <f t="shared" si="128"/>
        <v>0</v>
      </c>
      <c r="I657" s="383">
        <f t="shared" si="128"/>
        <v>0</v>
      </c>
      <c r="J657" s="383">
        <f t="shared" si="128"/>
        <v>0</v>
      </c>
      <c r="K657" s="383">
        <f t="shared" si="128"/>
        <v>0</v>
      </c>
      <c r="L657" s="383">
        <f t="shared" si="128"/>
        <v>0</v>
      </c>
      <c r="M657" s="383">
        <f t="shared" si="128"/>
        <v>0</v>
      </c>
      <c r="N657" s="383">
        <f t="shared" ref="N657" si="129">SUM(N644:N656)</f>
        <v>0</v>
      </c>
      <c r="U657" s="29"/>
    </row>
    <row r="658" spans="1:21" s="4" customFormat="1">
      <c r="A658" s="269"/>
      <c r="C658" s="184">
        <f>C657-SUM('Products x speed'!E47:E59)</f>
        <v>0</v>
      </c>
      <c r="D658" s="184">
        <f>D657-SUM('Products x speed'!F47:F59)</f>
        <v>0</v>
      </c>
      <c r="E658" s="184">
        <f>E657-SUM('Products x speed'!G47:G59)</f>
        <v>0</v>
      </c>
      <c r="F658" s="184">
        <f>F657-SUM('Products x speed'!H47:H59)</f>
        <v>0</v>
      </c>
      <c r="G658" s="184">
        <f>G657-SUM('Products x speed'!I47:I59)</f>
        <v>0</v>
      </c>
      <c r="H658" s="184">
        <f>H657-SUM('Products x speed'!J47:J59)</f>
        <v>0</v>
      </c>
      <c r="I658" s="184">
        <f>I657-SUM('Products x speed'!K47:K59)</f>
        <v>0</v>
      </c>
      <c r="J658" s="184">
        <f>J657-SUM('Products x speed'!L47:L59)</f>
        <v>0</v>
      </c>
      <c r="K658" s="184">
        <f>K657-SUM('Products x speed'!M47:M59)</f>
        <v>0</v>
      </c>
      <c r="L658" s="184">
        <f>L657-SUM('Products x speed'!N47:N59)</f>
        <v>0</v>
      </c>
      <c r="M658" s="184">
        <f>M657-SUM('Products x speed'!O47:O59)</f>
        <v>0</v>
      </c>
      <c r="N658" s="184">
        <f>N657-SUM('Products x speed'!P47:P59)</f>
        <v>0</v>
      </c>
      <c r="U658" s="29"/>
    </row>
    <row r="659" spans="1:21">
      <c r="B659" s="73" t="s">
        <v>21</v>
      </c>
      <c r="C659" s="380">
        <v>2016</v>
      </c>
      <c r="D659" s="386">
        <v>2017</v>
      </c>
      <c r="E659" s="386">
        <v>2018</v>
      </c>
      <c r="F659" s="386">
        <v>2019</v>
      </c>
      <c r="G659" s="386">
        <v>2020</v>
      </c>
      <c r="H659" s="386">
        <v>2021</v>
      </c>
      <c r="I659" s="386">
        <v>2022</v>
      </c>
      <c r="J659" s="386">
        <v>2023</v>
      </c>
      <c r="K659" s="386">
        <v>2024</v>
      </c>
      <c r="L659" s="386">
        <v>2025</v>
      </c>
      <c r="M659" s="386">
        <v>2026</v>
      </c>
      <c r="N659" s="386">
        <v>2027</v>
      </c>
      <c r="U659" s="29"/>
    </row>
    <row r="660" spans="1:21" ht="15.6">
      <c r="B660" s="356" t="str">
        <f t="shared" ref="B660:B669" si="130">B644</f>
        <v>100G PSM4_500 m_QSFP28</v>
      </c>
      <c r="C660" s="168">
        <f>IF(C644=0,"",(C676*10^6)/C644)</f>
        <v>337.41687156790022</v>
      </c>
      <c r="D660" s="168">
        <f t="shared" ref="D660:H660" si="131">IF(D644=0,"",(D676*10^6)/D644)</f>
        <v>222.65569307558187</v>
      </c>
      <c r="E660" s="168">
        <f t="shared" si="131"/>
        <v>188.02033788894266</v>
      </c>
      <c r="F660" s="168" t="str">
        <f t="shared" si="131"/>
        <v/>
      </c>
      <c r="G660" s="168" t="str">
        <f t="shared" si="131"/>
        <v/>
      </c>
      <c r="H660" s="168" t="str">
        <f t="shared" si="131"/>
        <v/>
      </c>
      <c r="I660" s="168" t="str">
        <f t="shared" ref="I660:M660" si="132">IF(I644=0,"",(I676*10^6)/I644)</f>
        <v/>
      </c>
      <c r="J660" s="168" t="str">
        <f t="shared" si="132"/>
        <v/>
      </c>
      <c r="K660" s="168" t="str">
        <f t="shared" si="132"/>
        <v/>
      </c>
      <c r="L660" s="168" t="str">
        <f t="shared" si="132"/>
        <v/>
      </c>
      <c r="M660" s="168" t="str">
        <f t="shared" si="132"/>
        <v/>
      </c>
      <c r="N660" s="168" t="str">
        <f t="shared" ref="N660" si="133">IF(N644=0,"",(N676*10^6)/N644)</f>
        <v/>
      </c>
      <c r="U660" s="540"/>
    </row>
    <row r="661" spans="1:21" ht="15.6">
      <c r="B661" s="286" t="str">
        <f t="shared" si="130"/>
        <v>100G DR_500m_QSFP28</v>
      </c>
      <c r="C661" s="170" t="str">
        <f t="shared" ref="C661:H661" si="134">IF(C645=0,"",(C677*10^6)/C645)</f>
        <v/>
      </c>
      <c r="D661" s="170" t="str">
        <f t="shared" si="134"/>
        <v/>
      </c>
      <c r="E661" s="170" t="str">
        <f t="shared" si="134"/>
        <v/>
      </c>
      <c r="F661" s="170" t="str">
        <f t="shared" si="134"/>
        <v/>
      </c>
      <c r="G661" s="170" t="str">
        <f t="shared" si="134"/>
        <v/>
      </c>
      <c r="H661" s="170" t="str">
        <f t="shared" si="134"/>
        <v/>
      </c>
      <c r="I661" s="170" t="str">
        <f t="shared" ref="I661:M661" si="135">IF(I645=0,"",(I677*10^6)/I645)</f>
        <v/>
      </c>
      <c r="J661" s="170" t="str">
        <f t="shared" si="135"/>
        <v/>
      </c>
      <c r="K661" s="170" t="str">
        <f t="shared" si="135"/>
        <v/>
      </c>
      <c r="L661" s="170" t="str">
        <f t="shared" si="135"/>
        <v/>
      </c>
      <c r="M661" s="170" t="str">
        <f t="shared" si="135"/>
        <v/>
      </c>
      <c r="N661" s="170" t="str">
        <f t="shared" ref="N661" si="136">IF(N645=0,"",(N677*10^6)/N645)</f>
        <v/>
      </c>
      <c r="U661" s="540"/>
    </row>
    <row r="662" spans="1:21" ht="15.6">
      <c r="B662" s="286" t="str">
        <f t="shared" si="130"/>
        <v>100G CWDM4-subspec_500 m_QSFP28</v>
      </c>
      <c r="C662" s="170">
        <f t="shared" ref="C662:H662" si="137">IF(C646=0,"",(C678*10^6)/C646)</f>
        <v>625</v>
      </c>
      <c r="D662" s="170">
        <f t="shared" si="137"/>
        <v>450</v>
      </c>
      <c r="E662" s="170">
        <f t="shared" si="137"/>
        <v>280</v>
      </c>
      <c r="F662" s="170" t="str">
        <f t="shared" si="137"/>
        <v/>
      </c>
      <c r="G662" s="170" t="str">
        <f t="shared" si="137"/>
        <v/>
      </c>
      <c r="H662" s="170" t="str">
        <f t="shared" si="137"/>
        <v/>
      </c>
      <c r="I662" s="170" t="str">
        <f t="shared" ref="I662:M662" si="138">IF(I646=0,"",(I678*10^6)/I646)</f>
        <v/>
      </c>
      <c r="J662" s="170" t="str">
        <f t="shared" si="138"/>
        <v/>
      </c>
      <c r="K662" s="170" t="str">
        <f t="shared" si="138"/>
        <v/>
      </c>
      <c r="L662" s="170" t="str">
        <f t="shared" si="138"/>
        <v/>
      </c>
      <c r="M662" s="170" t="str">
        <f t="shared" si="138"/>
        <v/>
      </c>
      <c r="N662" s="170" t="str">
        <f t="shared" ref="N662" si="139">IF(N646=0,"",(N678*10^6)/N646)</f>
        <v/>
      </c>
      <c r="U662" s="540"/>
    </row>
    <row r="663" spans="1:21">
      <c r="B663" s="286" t="str">
        <f t="shared" si="130"/>
        <v>100G CWDM4_2 km_QSFP28</v>
      </c>
      <c r="C663" s="170">
        <f t="shared" ref="C663:H663" si="140">IF(C647=0,"",(C679*10^6)/C647)</f>
        <v>825</v>
      </c>
      <c r="D663" s="170">
        <f t="shared" si="140"/>
        <v>650</v>
      </c>
      <c r="E663" s="170">
        <f t="shared" si="140"/>
        <v>490</v>
      </c>
      <c r="F663" s="170" t="str">
        <f t="shared" si="140"/>
        <v/>
      </c>
      <c r="G663" s="170" t="str">
        <f t="shared" si="140"/>
        <v/>
      </c>
      <c r="H663" s="170" t="str">
        <f t="shared" si="140"/>
        <v/>
      </c>
      <c r="I663" s="170" t="str">
        <f t="shared" ref="I663:M663" si="141">IF(I647=0,"",(I679*10^6)/I647)</f>
        <v/>
      </c>
      <c r="J663" s="170" t="str">
        <f t="shared" si="141"/>
        <v/>
      </c>
      <c r="K663" s="170" t="str">
        <f t="shared" si="141"/>
        <v/>
      </c>
      <c r="L663" s="170" t="str">
        <f t="shared" si="141"/>
        <v/>
      </c>
      <c r="M663" s="170" t="str">
        <f t="shared" si="141"/>
        <v/>
      </c>
      <c r="N663" s="170" t="str">
        <f t="shared" ref="N663" si="142">IF(N647=0,"",(N679*10^6)/N647)</f>
        <v/>
      </c>
    </row>
    <row r="664" spans="1:21" ht="15.6">
      <c r="B664" s="286" t="str">
        <f t="shared" si="130"/>
        <v>100G FR, DR+_2 km_QSFP28</v>
      </c>
      <c r="C664" s="170" t="str">
        <f t="shared" ref="C664:H664" si="143">IF(C648=0,"",(C680*10^6)/C648)</f>
        <v/>
      </c>
      <c r="D664" s="170" t="str">
        <f t="shared" si="143"/>
        <v/>
      </c>
      <c r="E664" s="170">
        <f t="shared" si="143"/>
        <v>400</v>
      </c>
      <c r="F664" s="170" t="str">
        <f t="shared" si="143"/>
        <v/>
      </c>
      <c r="G664" s="170" t="str">
        <f t="shared" si="143"/>
        <v/>
      </c>
      <c r="H664" s="170" t="str">
        <f t="shared" si="143"/>
        <v/>
      </c>
      <c r="I664" s="170" t="str">
        <f t="shared" ref="I664:M664" si="144">IF(I648=0,"",(I680*10^6)/I648)</f>
        <v/>
      </c>
      <c r="J664" s="170" t="str">
        <f t="shared" si="144"/>
        <v/>
      </c>
      <c r="K664" s="170" t="str">
        <f t="shared" si="144"/>
        <v/>
      </c>
      <c r="L664" s="170" t="str">
        <f t="shared" si="144"/>
        <v/>
      </c>
      <c r="M664" s="170" t="str">
        <f t="shared" si="144"/>
        <v/>
      </c>
      <c r="N664" s="170" t="str">
        <f t="shared" ref="N664" si="145">IF(N648=0,"",(N680*10^6)/N648)</f>
        <v/>
      </c>
      <c r="U664" s="540"/>
    </row>
    <row r="665" spans="1:21">
      <c r="B665" s="286" t="str">
        <f t="shared" si="130"/>
        <v>100G LR4_10 km_CFP</v>
      </c>
      <c r="C665" s="170">
        <f t="shared" ref="C665:H665" si="146">IF(C649=0,"",(C681*10^6)/C649)</f>
        <v>3527.8709620331333</v>
      </c>
      <c r="D665" s="170">
        <f t="shared" si="146"/>
        <v>2768.0701132780364</v>
      </c>
      <c r="E665" s="170">
        <f t="shared" si="146"/>
        <v>2103.9330552211131</v>
      </c>
      <c r="F665" s="170" t="str">
        <f t="shared" si="146"/>
        <v/>
      </c>
      <c r="G665" s="170" t="str">
        <f t="shared" si="146"/>
        <v/>
      </c>
      <c r="H665" s="170" t="str">
        <f t="shared" si="146"/>
        <v/>
      </c>
      <c r="I665" s="170" t="str">
        <f t="shared" ref="I665:M665" si="147">IF(I649=0,"",(I681*10^6)/I649)</f>
        <v/>
      </c>
      <c r="J665" s="170" t="str">
        <f t="shared" si="147"/>
        <v/>
      </c>
      <c r="K665" s="170" t="str">
        <f t="shared" si="147"/>
        <v/>
      </c>
      <c r="L665" s="170" t="str">
        <f t="shared" si="147"/>
        <v/>
      </c>
      <c r="M665" s="170" t="str">
        <f t="shared" si="147"/>
        <v/>
      </c>
      <c r="N665" s="170" t="str">
        <f t="shared" ref="N665" si="148">IF(N649=0,"",(N681*10^6)/N649)</f>
        <v/>
      </c>
    </row>
    <row r="666" spans="1:21">
      <c r="B666" s="286" t="str">
        <f t="shared" si="130"/>
        <v>100G LR4_10 km_CFP2/4</v>
      </c>
      <c r="C666" s="170">
        <f t="shared" ref="C666:H666" si="149">IF(C650=0,"",(C682*10^6)/C650)</f>
        <v>2882.5268681316725</v>
      </c>
      <c r="D666" s="170">
        <f t="shared" si="149"/>
        <v>2140.3307221126156</v>
      </c>
      <c r="E666" s="170">
        <f t="shared" si="149"/>
        <v>1371.5324877705048</v>
      </c>
      <c r="F666" s="170" t="str">
        <f t="shared" si="149"/>
        <v/>
      </c>
      <c r="G666" s="170" t="str">
        <f t="shared" si="149"/>
        <v/>
      </c>
      <c r="H666" s="170" t="str">
        <f t="shared" si="149"/>
        <v/>
      </c>
      <c r="I666" s="170" t="str">
        <f t="shared" ref="I666:M666" si="150">IF(I650=0,"",(I682*10^6)/I650)</f>
        <v/>
      </c>
      <c r="J666" s="170" t="str">
        <f t="shared" si="150"/>
        <v/>
      </c>
      <c r="K666" s="170" t="str">
        <f t="shared" si="150"/>
        <v/>
      </c>
      <c r="L666" s="170" t="str">
        <f t="shared" si="150"/>
        <v/>
      </c>
      <c r="M666" s="170" t="str">
        <f t="shared" si="150"/>
        <v/>
      </c>
      <c r="N666" s="170" t="str">
        <f t="shared" ref="N666" si="151">IF(N650=0,"",(N682*10^6)/N650)</f>
        <v/>
      </c>
      <c r="U666" s="29"/>
    </row>
    <row r="667" spans="1:21">
      <c r="B667" s="286" t="str">
        <f t="shared" si="130"/>
        <v>100G LR4 and LR1_10 km_QSFP28</v>
      </c>
      <c r="C667" s="170">
        <f t="shared" ref="C667:H667" si="152">IF(C651=0,"",(C683*10^6)/C651)</f>
        <v>1938.1501024552811</v>
      </c>
      <c r="D667" s="170">
        <f t="shared" si="152"/>
        <v>1200</v>
      </c>
      <c r="E667" s="170">
        <f t="shared" si="152"/>
        <v>833.83281288172873</v>
      </c>
      <c r="F667" s="170" t="str">
        <f t="shared" si="152"/>
        <v/>
      </c>
      <c r="G667" s="170" t="str">
        <f t="shared" si="152"/>
        <v/>
      </c>
      <c r="H667" s="170" t="str">
        <f t="shared" si="152"/>
        <v/>
      </c>
      <c r="I667" s="170" t="str">
        <f t="shared" ref="I667:M667" si="153">IF(I651=0,"",(I683*10^6)/I651)</f>
        <v/>
      </c>
      <c r="J667" s="170" t="str">
        <f t="shared" si="153"/>
        <v/>
      </c>
      <c r="K667" s="170" t="str">
        <f t="shared" si="153"/>
        <v/>
      </c>
      <c r="L667" s="170" t="str">
        <f t="shared" si="153"/>
        <v/>
      </c>
      <c r="M667" s="170" t="str">
        <f t="shared" si="153"/>
        <v/>
      </c>
      <c r="N667" s="170" t="str">
        <f t="shared" ref="N667" si="154">IF(N651=0,"",(N683*10^6)/N651)</f>
        <v/>
      </c>
      <c r="U667" s="29"/>
    </row>
    <row r="668" spans="1:21">
      <c r="B668" s="286" t="str">
        <f t="shared" si="130"/>
        <v>100G 4WDM10_10 km_QSFP28</v>
      </c>
      <c r="C668" s="170" t="str">
        <f t="shared" ref="C668:H668" si="155">IF(C652=0,"",(C684*10^6)/C652)</f>
        <v/>
      </c>
      <c r="D668" s="170">
        <f t="shared" si="155"/>
        <v>500</v>
      </c>
      <c r="E668" s="170">
        <f t="shared" si="155"/>
        <v>300</v>
      </c>
      <c r="F668" s="170" t="str">
        <f t="shared" si="155"/>
        <v/>
      </c>
      <c r="G668" s="170" t="str">
        <f t="shared" si="155"/>
        <v/>
      </c>
      <c r="H668" s="170" t="str">
        <f t="shared" si="155"/>
        <v/>
      </c>
      <c r="I668" s="170" t="str">
        <f t="shared" ref="I668:M668" si="156">IF(I652=0,"",(I684*10^6)/I652)</f>
        <v/>
      </c>
      <c r="J668" s="170" t="str">
        <f t="shared" si="156"/>
        <v/>
      </c>
      <c r="K668" s="170" t="str">
        <f t="shared" si="156"/>
        <v/>
      </c>
      <c r="L668" s="170" t="str">
        <f t="shared" si="156"/>
        <v/>
      </c>
      <c r="M668" s="170" t="str">
        <f t="shared" si="156"/>
        <v/>
      </c>
      <c r="N668" s="170" t="str">
        <f t="shared" ref="N668" si="157">IF(N652=0,"",(N684*10^6)/N652)</f>
        <v/>
      </c>
      <c r="U668" s="29"/>
    </row>
    <row r="669" spans="1:21">
      <c r="B669" s="286" t="str">
        <f t="shared" si="130"/>
        <v>100G 4WDM20_20 km_QSFP28</v>
      </c>
      <c r="C669" s="170" t="str">
        <f t="shared" ref="C669:H669" si="158">IF(C653=0,"",(C685*10^6)/C653)</f>
        <v/>
      </c>
      <c r="D669" s="170" t="str">
        <f t="shared" si="158"/>
        <v/>
      </c>
      <c r="E669" s="170" t="str">
        <f t="shared" si="158"/>
        <v/>
      </c>
      <c r="F669" s="170" t="str">
        <f t="shared" si="158"/>
        <v/>
      </c>
      <c r="G669" s="170" t="str">
        <f t="shared" si="158"/>
        <v/>
      </c>
      <c r="H669" s="170" t="str">
        <f t="shared" si="158"/>
        <v/>
      </c>
      <c r="I669" s="170" t="str">
        <f t="shared" ref="I669:M669" si="159">IF(I653=0,"",(I685*10^6)/I653)</f>
        <v/>
      </c>
      <c r="J669" s="170" t="str">
        <f t="shared" si="159"/>
        <v/>
      </c>
      <c r="K669" s="170" t="str">
        <f t="shared" si="159"/>
        <v/>
      </c>
      <c r="L669" s="170" t="str">
        <f t="shared" si="159"/>
        <v/>
      </c>
      <c r="M669" s="170" t="str">
        <f t="shared" si="159"/>
        <v/>
      </c>
      <c r="N669" s="170" t="str">
        <f t="shared" ref="N669" si="160">IF(N653=0,"",(N685*10^6)/N653)</f>
        <v/>
      </c>
      <c r="U669" s="29"/>
    </row>
    <row r="670" spans="1:21">
      <c r="B670" s="286" t="str">
        <f t="shared" ref="B670:B671" si="161">B654</f>
        <v>100G ER4-Lite_30 km_QSFP28</v>
      </c>
      <c r="C670" s="170" t="str">
        <f t="shared" ref="C670:H670" si="162">IF(C654=0,"",(C686*10^6)/C654)</f>
        <v/>
      </c>
      <c r="D670" s="170">
        <f t="shared" si="162"/>
        <v>3487.2423945044161</v>
      </c>
      <c r="E670" s="170">
        <f t="shared" si="162"/>
        <v>3113.2837037037034</v>
      </c>
      <c r="F670" s="170" t="str">
        <f t="shared" si="162"/>
        <v/>
      </c>
      <c r="G670" s="170" t="str">
        <f t="shared" si="162"/>
        <v/>
      </c>
      <c r="H670" s="170" t="str">
        <f t="shared" si="162"/>
        <v/>
      </c>
      <c r="I670" s="170" t="str">
        <f t="shared" ref="I670:M670" si="163">IF(I654=0,"",(I686*10^6)/I654)</f>
        <v/>
      </c>
      <c r="J670" s="170" t="str">
        <f t="shared" si="163"/>
        <v/>
      </c>
      <c r="K670" s="170" t="str">
        <f t="shared" si="163"/>
        <v/>
      </c>
      <c r="L670" s="170" t="str">
        <f t="shared" si="163"/>
        <v/>
      </c>
      <c r="M670" s="170" t="str">
        <f t="shared" si="163"/>
        <v/>
      </c>
      <c r="N670" s="170" t="str">
        <f t="shared" ref="N670" si="164">IF(N654=0,"",(N686*10^6)/N654)</f>
        <v/>
      </c>
      <c r="U670" s="29"/>
    </row>
    <row r="671" spans="1:21">
      <c r="B671" s="286" t="str">
        <f t="shared" si="161"/>
        <v>100G ER4_40 km_QSFP28</v>
      </c>
      <c r="C671" s="170">
        <f t="shared" ref="C671:H671" si="165">IF(C655=0,"",(C687*10^6)/C655)</f>
        <v>8992.3604525403425</v>
      </c>
      <c r="D671" s="170">
        <f t="shared" si="165"/>
        <v>6675.4855675304152</v>
      </c>
      <c r="E671" s="170">
        <f t="shared" si="165"/>
        <v>4939.9288403201153</v>
      </c>
      <c r="F671" s="170" t="str">
        <f t="shared" si="165"/>
        <v/>
      </c>
      <c r="G671" s="170" t="str">
        <f t="shared" si="165"/>
        <v/>
      </c>
      <c r="H671" s="170" t="str">
        <f t="shared" si="165"/>
        <v/>
      </c>
      <c r="I671" s="170" t="str">
        <f t="shared" ref="I671:M671" si="166">IF(I655=0,"",(I687*10^6)/I655)</f>
        <v/>
      </c>
      <c r="J671" s="170" t="str">
        <f t="shared" si="166"/>
        <v/>
      </c>
      <c r="K671" s="170" t="str">
        <f t="shared" si="166"/>
        <v/>
      </c>
      <c r="L671" s="170" t="str">
        <f t="shared" si="166"/>
        <v/>
      </c>
      <c r="M671" s="170" t="str">
        <f t="shared" si="166"/>
        <v/>
      </c>
      <c r="N671" s="170" t="str">
        <f t="shared" ref="N671" si="167">IF(N655=0,"",(N687*10^6)/N655)</f>
        <v/>
      </c>
      <c r="U671" s="29"/>
    </row>
    <row r="672" spans="1:21">
      <c r="B672" s="372" t="str">
        <f t="shared" ref="B672" si="168">B656</f>
        <v>100G ZR4_80 km_QSFP28</v>
      </c>
      <c r="C672" s="166" t="str">
        <f t="shared" ref="C672:H672" si="169">IF(C656=0,"",(C688*10^6)/C656)</f>
        <v/>
      </c>
      <c r="D672" s="166" t="str">
        <f t="shared" si="169"/>
        <v/>
      </c>
      <c r="E672" s="166" t="str">
        <f t="shared" si="169"/>
        <v/>
      </c>
      <c r="F672" s="166" t="str">
        <f t="shared" si="169"/>
        <v/>
      </c>
      <c r="G672" s="166" t="str">
        <f t="shared" si="169"/>
        <v/>
      </c>
      <c r="H672" s="166" t="str">
        <f t="shared" si="169"/>
        <v/>
      </c>
      <c r="I672" s="166" t="str">
        <f t="shared" ref="I672:M672" si="170">IF(I656=0,"",(I688*10^6)/I656)</f>
        <v/>
      </c>
      <c r="J672" s="166" t="str">
        <f t="shared" si="170"/>
        <v/>
      </c>
      <c r="K672" s="166" t="str">
        <f t="shared" si="170"/>
        <v/>
      </c>
      <c r="L672" s="166" t="str">
        <f t="shared" si="170"/>
        <v/>
      </c>
      <c r="M672" s="166" t="str">
        <f t="shared" si="170"/>
        <v/>
      </c>
      <c r="N672" s="166" t="str">
        <f t="shared" ref="N672" si="171">IF(N656=0,"",(N688*10^6)/N656)</f>
        <v/>
      </c>
      <c r="U672" s="29"/>
    </row>
    <row r="673" spans="2:21">
      <c r="B673" s="372" t="str">
        <f>$B$657</f>
        <v>100G Long Reach</v>
      </c>
      <c r="C673" s="166">
        <f t="shared" ref="C673:H673" si="172">IF(C657=0,"",(C689*10^6)/C657)</f>
        <v>1684.3876313954811</v>
      </c>
      <c r="D673" s="166">
        <f t="shared" si="172"/>
        <v>679.84843477149457</v>
      </c>
      <c r="E673" s="166">
        <f t="shared" si="172"/>
        <v>463.84550228484949</v>
      </c>
      <c r="F673" s="166" t="str">
        <f t="shared" si="172"/>
        <v/>
      </c>
      <c r="G673" s="166" t="str">
        <f t="shared" si="172"/>
        <v/>
      </c>
      <c r="H673" s="166" t="str">
        <f t="shared" si="172"/>
        <v/>
      </c>
      <c r="I673" s="166" t="str">
        <f t="shared" ref="I673:M673" si="173">IF(I657=0,"",(I689*10^6)/I657)</f>
        <v/>
      </c>
      <c r="J673" s="166" t="str">
        <f t="shared" si="173"/>
        <v/>
      </c>
      <c r="K673" s="166" t="str">
        <f t="shared" si="173"/>
        <v/>
      </c>
      <c r="L673" s="166" t="str">
        <f t="shared" si="173"/>
        <v/>
      </c>
      <c r="M673" s="166" t="str">
        <f t="shared" si="173"/>
        <v/>
      </c>
      <c r="N673" s="166" t="str">
        <f t="shared" ref="N673" si="174">IF(N657=0,"",(N689*10^6)/N657)</f>
        <v/>
      </c>
      <c r="U673" s="29"/>
    </row>
    <row r="674" spans="2:21">
      <c r="B674" s="4"/>
      <c r="C674" s="29"/>
      <c r="D674" s="29"/>
      <c r="E674" s="29"/>
      <c r="F674" s="29"/>
      <c r="G674" s="29"/>
      <c r="H674" s="29"/>
      <c r="I674" s="29"/>
      <c r="J674" s="29"/>
      <c r="K674" s="29"/>
      <c r="L674" s="29"/>
      <c r="M674" s="29"/>
      <c r="N674" s="29"/>
      <c r="U674" s="29"/>
    </row>
    <row r="675" spans="2:21">
      <c r="B675" s="73" t="s">
        <v>15</v>
      </c>
      <c r="C675" s="380">
        <v>2016</v>
      </c>
      <c r="D675" s="386">
        <v>2017</v>
      </c>
      <c r="E675" s="386">
        <v>2018</v>
      </c>
      <c r="F675" s="386">
        <v>2019</v>
      </c>
      <c r="G675" s="386">
        <v>2020</v>
      </c>
      <c r="H675" s="386">
        <v>2021</v>
      </c>
      <c r="I675" s="386">
        <v>2022</v>
      </c>
      <c r="J675" s="386">
        <v>2023</v>
      </c>
      <c r="K675" s="386">
        <v>2024</v>
      </c>
      <c r="L675" s="386">
        <v>2025</v>
      </c>
      <c r="M675" s="386">
        <v>2026</v>
      </c>
      <c r="N675" s="386">
        <v>2027</v>
      </c>
    </row>
    <row r="676" spans="2:21">
      <c r="B676" s="356" t="str">
        <f t="shared" ref="B676:B685" si="175">B644</f>
        <v>100G PSM4_500 m_QSFP28</v>
      </c>
      <c r="C676" s="168">
        <f>'Products x speed'!E239</f>
        <v>67.773890240000014</v>
      </c>
      <c r="D676" s="168">
        <f>'Products x speed'!F239</f>
        <v>158.09400299999999</v>
      </c>
      <c r="E676" s="168">
        <f>'Products x speed'!G239</f>
        <v>96.70092799999999</v>
      </c>
      <c r="F676" s="168">
        <f>'Products x speed'!H239</f>
        <v>0</v>
      </c>
      <c r="G676" s="168">
        <f>'Products x speed'!I239</f>
        <v>0</v>
      </c>
      <c r="H676" s="168">
        <f>'Products x speed'!J239</f>
        <v>0</v>
      </c>
      <c r="I676" s="168">
        <f>'Products x speed'!K239</f>
        <v>0</v>
      </c>
      <c r="J676" s="168">
        <f>'Products x speed'!L239</f>
        <v>0</v>
      </c>
      <c r="K676" s="168">
        <f>'Products x speed'!M239</f>
        <v>0</v>
      </c>
      <c r="L676" s="168">
        <f>'Products x speed'!N239</f>
        <v>0</v>
      </c>
      <c r="M676" s="168">
        <f>'Products x speed'!O239</f>
        <v>0</v>
      </c>
      <c r="N676" s="168">
        <f>'Products x speed'!P239</f>
        <v>0</v>
      </c>
    </row>
    <row r="677" spans="2:21" ht="15.6">
      <c r="B677" s="286" t="str">
        <f t="shared" si="175"/>
        <v>100G DR_500m_QSFP28</v>
      </c>
      <c r="C677" s="170">
        <f>'Products x speed'!E240</f>
        <v>0</v>
      </c>
      <c r="D677" s="170">
        <f>'Products x speed'!F240</f>
        <v>0</v>
      </c>
      <c r="E677" s="170">
        <f>'Products x speed'!G240</f>
        <v>0</v>
      </c>
      <c r="F677" s="170">
        <f>'Products x speed'!H240</f>
        <v>0</v>
      </c>
      <c r="G677" s="170">
        <f>'Products x speed'!I240</f>
        <v>0</v>
      </c>
      <c r="H677" s="170">
        <f>'Products x speed'!J240</f>
        <v>0</v>
      </c>
      <c r="I677" s="170">
        <f>'Products x speed'!K240</f>
        <v>0</v>
      </c>
      <c r="J677" s="170">
        <f>'Products x speed'!L240</f>
        <v>0</v>
      </c>
      <c r="K677" s="170">
        <f>'Products x speed'!M240</f>
        <v>0</v>
      </c>
      <c r="L677" s="170">
        <f>'Products x speed'!N240</f>
        <v>0</v>
      </c>
      <c r="M677" s="170">
        <f>'Products x speed'!O240</f>
        <v>0</v>
      </c>
      <c r="N677" s="170">
        <f>'Products x speed'!P240</f>
        <v>0</v>
      </c>
      <c r="U677" s="540"/>
    </row>
    <row r="678" spans="2:21" ht="15.6">
      <c r="B678" s="286" t="str">
        <f t="shared" si="175"/>
        <v>100G CWDM4-subspec_500 m_QSFP28</v>
      </c>
      <c r="C678" s="170">
        <f>'Products x speed'!E241</f>
        <v>55.125374999999998</v>
      </c>
      <c r="D678" s="170">
        <f>'Products x speed'!F241</f>
        <v>307.53544499999998</v>
      </c>
      <c r="E678" s="170">
        <f>'Products x speed'!G241</f>
        <v>308</v>
      </c>
      <c r="F678" s="170">
        <f>'Products x speed'!H241</f>
        <v>0</v>
      </c>
      <c r="G678" s="170">
        <f>'Products x speed'!I241</f>
        <v>0</v>
      </c>
      <c r="H678" s="170">
        <f>'Products x speed'!J241</f>
        <v>0</v>
      </c>
      <c r="I678" s="170">
        <f>'Products x speed'!K241</f>
        <v>0</v>
      </c>
      <c r="J678" s="170">
        <f>'Products x speed'!L241</f>
        <v>0</v>
      </c>
      <c r="K678" s="170">
        <f>'Products x speed'!M241</f>
        <v>0</v>
      </c>
      <c r="L678" s="170">
        <f>'Products x speed'!N241</f>
        <v>0</v>
      </c>
      <c r="M678" s="170">
        <f>'Products x speed'!O241</f>
        <v>0</v>
      </c>
      <c r="N678" s="170">
        <f>'Products x speed'!P241</f>
        <v>0</v>
      </c>
      <c r="U678" s="540"/>
    </row>
    <row r="679" spans="2:21" ht="15.6">
      <c r="B679" s="286" t="str">
        <f t="shared" si="175"/>
        <v>100G CWDM4_2 km_QSFP28</v>
      </c>
      <c r="C679" s="170">
        <f>+'Products x speed'!E242</f>
        <v>25.566254999999995</v>
      </c>
      <c r="D679" s="170">
        <f>+'Products x speed'!F242</f>
        <v>190.37908500000003</v>
      </c>
      <c r="E679" s="170">
        <f>+'Products x speed'!G242</f>
        <v>914.48338333333322</v>
      </c>
      <c r="F679" s="170">
        <f>+'Products x speed'!H242</f>
        <v>0</v>
      </c>
      <c r="G679" s="170">
        <f>+'Products x speed'!I242</f>
        <v>0</v>
      </c>
      <c r="H679" s="170">
        <f>+'Products x speed'!J242</f>
        <v>0</v>
      </c>
      <c r="I679" s="170">
        <f>+'Products x speed'!K242</f>
        <v>0</v>
      </c>
      <c r="J679" s="170">
        <f>+'Products x speed'!L242</f>
        <v>0</v>
      </c>
      <c r="K679" s="170">
        <f>+'Products x speed'!M242</f>
        <v>0</v>
      </c>
      <c r="L679" s="170">
        <f>+'Products x speed'!N242</f>
        <v>0</v>
      </c>
      <c r="M679" s="170">
        <f>+'Products x speed'!O242</f>
        <v>0</v>
      </c>
      <c r="N679" s="170">
        <f>+'Products x speed'!P242</f>
        <v>0</v>
      </c>
      <c r="U679" s="540"/>
    </row>
    <row r="680" spans="2:21">
      <c r="B680" s="286" t="str">
        <f t="shared" si="175"/>
        <v>100G FR, DR+_2 km_QSFP28</v>
      </c>
      <c r="C680" s="170">
        <f>'Products x speed'!E243</f>
        <v>0</v>
      </c>
      <c r="D680" s="170">
        <f>'Products x speed'!F243</f>
        <v>0</v>
      </c>
      <c r="E680" s="170">
        <f>'Products x speed'!G243</f>
        <v>1.2</v>
      </c>
      <c r="F680" s="170">
        <f>'Products x speed'!H243</f>
        <v>0</v>
      </c>
      <c r="G680" s="170">
        <f>'Products x speed'!I243</f>
        <v>0</v>
      </c>
      <c r="H680" s="170">
        <f>'Products x speed'!J243</f>
        <v>0</v>
      </c>
      <c r="I680" s="170">
        <f>'Products x speed'!K243</f>
        <v>0</v>
      </c>
      <c r="J680" s="170">
        <f>'Products x speed'!L243</f>
        <v>0</v>
      </c>
      <c r="K680" s="170">
        <f>'Products x speed'!M243</f>
        <v>0</v>
      </c>
      <c r="L680" s="170">
        <f>'Products x speed'!N243</f>
        <v>0</v>
      </c>
      <c r="M680" s="170">
        <f>'Products x speed'!O243</f>
        <v>0</v>
      </c>
      <c r="N680" s="170">
        <f>'Products x speed'!P243</f>
        <v>0</v>
      </c>
    </row>
    <row r="681" spans="2:21">
      <c r="B681" s="286" t="str">
        <f t="shared" si="175"/>
        <v>100G LR4_10 km_CFP</v>
      </c>
      <c r="C681" s="170">
        <f>'Products x speed'!E244</f>
        <v>387.84002208207454</v>
      </c>
      <c r="D681" s="170">
        <f>'Products x speed'!F244</f>
        <v>186.42675405916248</v>
      </c>
      <c r="E681" s="170">
        <f>'Products x speed'!G244</f>
        <v>81.455872165940619</v>
      </c>
      <c r="F681" s="170">
        <f>'Products x speed'!H244</f>
        <v>0</v>
      </c>
      <c r="G681" s="170">
        <f>'Products x speed'!I244</f>
        <v>0</v>
      </c>
      <c r="H681" s="170">
        <f>'Products x speed'!J244</f>
        <v>0</v>
      </c>
      <c r="I681" s="170">
        <f>'Products x speed'!K244</f>
        <v>0</v>
      </c>
      <c r="J681" s="170">
        <f>'Products x speed'!L244</f>
        <v>0</v>
      </c>
      <c r="K681" s="170">
        <f>'Products x speed'!M244</f>
        <v>0</v>
      </c>
      <c r="L681" s="170">
        <f>'Products x speed'!N244</f>
        <v>0</v>
      </c>
      <c r="M681" s="170">
        <f>'Products x speed'!O244</f>
        <v>0</v>
      </c>
      <c r="N681" s="170">
        <f>'Products x speed'!P244</f>
        <v>0</v>
      </c>
    </row>
    <row r="682" spans="2:21">
      <c r="B682" s="286" t="str">
        <f t="shared" si="175"/>
        <v>100G LR4_10 km_CFP2/4</v>
      </c>
      <c r="C682" s="170">
        <f>'Products x speed'!E245</f>
        <v>265.89292589706986</v>
      </c>
      <c r="D682" s="170">
        <f>'Products x speed'!F245</f>
        <v>167.37814313065076</v>
      </c>
      <c r="E682" s="170">
        <f>'Products x speed'!G245</f>
        <v>101.21498299999995</v>
      </c>
      <c r="F682" s="170">
        <f>'Products x speed'!H245</f>
        <v>0</v>
      </c>
      <c r="G682" s="170">
        <f>'Products x speed'!I245</f>
        <v>0</v>
      </c>
      <c r="H682" s="170">
        <f>'Products x speed'!J245</f>
        <v>0</v>
      </c>
      <c r="I682" s="170">
        <f>'Products x speed'!K245</f>
        <v>0</v>
      </c>
      <c r="J682" s="170">
        <f>'Products x speed'!L245</f>
        <v>0</v>
      </c>
      <c r="K682" s="170">
        <f>'Products x speed'!M245</f>
        <v>0</v>
      </c>
      <c r="L682" s="170">
        <f>'Products x speed'!N245</f>
        <v>0</v>
      </c>
      <c r="M682" s="170">
        <f>'Products x speed'!O245</f>
        <v>0</v>
      </c>
      <c r="N682" s="170">
        <f>'Products x speed'!P245</f>
        <v>0</v>
      </c>
    </row>
    <row r="683" spans="2:21">
      <c r="B683" s="286" t="str">
        <f t="shared" si="175"/>
        <v>100G LR4 and LR1_10 km_QSFP28</v>
      </c>
      <c r="C683" s="170">
        <f>'Products x speed'!E246</f>
        <v>175.29210971636297</v>
      </c>
      <c r="D683" s="170">
        <f>'Products x speed'!F246</f>
        <v>434.82240000000002</v>
      </c>
      <c r="E683" s="170">
        <f>'Products x speed'!G246</f>
        <v>331.77466984830187</v>
      </c>
      <c r="F683" s="170">
        <f>'Products x speed'!H246</f>
        <v>0</v>
      </c>
      <c r="G683" s="170">
        <f>'Products x speed'!I246</f>
        <v>0</v>
      </c>
      <c r="H683" s="170">
        <f>'Products x speed'!J246</f>
        <v>0</v>
      </c>
      <c r="I683" s="170">
        <f>'Products x speed'!K246</f>
        <v>0</v>
      </c>
      <c r="J683" s="170">
        <f>'Products x speed'!L246</f>
        <v>0</v>
      </c>
      <c r="K683" s="170">
        <f>'Products x speed'!M246</f>
        <v>0</v>
      </c>
      <c r="L683" s="170">
        <f>'Products x speed'!N246</f>
        <v>0</v>
      </c>
      <c r="M683" s="170">
        <f>'Products x speed'!O246</f>
        <v>0</v>
      </c>
      <c r="N683" s="170">
        <f>'Products x speed'!P246</f>
        <v>0</v>
      </c>
    </row>
    <row r="684" spans="2:21">
      <c r="B684" s="286" t="str">
        <f t="shared" si="175"/>
        <v>100G 4WDM10_10 km_QSFP28</v>
      </c>
      <c r="C684" s="170">
        <f>'Products x speed'!E247</f>
        <v>0</v>
      </c>
      <c r="D684" s="170">
        <f>'Products x speed'!F247</f>
        <v>22.5</v>
      </c>
      <c r="E684" s="170">
        <f>'Products x speed'!G247</f>
        <v>30</v>
      </c>
      <c r="F684" s="170">
        <f>'Products x speed'!H247</f>
        <v>0</v>
      </c>
      <c r="G684" s="170">
        <f>'Products x speed'!I247</f>
        <v>0</v>
      </c>
      <c r="H684" s="170">
        <f>'Products x speed'!J247</f>
        <v>0</v>
      </c>
      <c r="I684" s="170">
        <f>'Products x speed'!K247</f>
        <v>0</v>
      </c>
      <c r="J684" s="170">
        <f>'Products x speed'!L247</f>
        <v>0</v>
      </c>
      <c r="K684" s="170">
        <f>'Products x speed'!M247</f>
        <v>0</v>
      </c>
      <c r="L684" s="170">
        <f>'Products x speed'!N247</f>
        <v>0</v>
      </c>
      <c r="M684" s="170">
        <f>'Products x speed'!O247</f>
        <v>0</v>
      </c>
      <c r="N684" s="170">
        <f>'Products x speed'!P247</f>
        <v>0</v>
      </c>
    </row>
    <row r="685" spans="2:21">
      <c r="B685" s="286" t="str">
        <f t="shared" si="175"/>
        <v>100G 4WDM20_20 km_QSFP28</v>
      </c>
      <c r="C685" s="170">
        <f>'Products x speed'!E248</f>
        <v>0</v>
      </c>
      <c r="D685" s="170">
        <f>'Products x speed'!F248</f>
        <v>0</v>
      </c>
      <c r="E685" s="170">
        <f>'Products x speed'!G248</f>
        <v>0</v>
      </c>
      <c r="F685" s="170">
        <f>'Products x speed'!H248</f>
        <v>0</v>
      </c>
      <c r="G685" s="170">
        <f>'Products x speed'!I248</f>
        <v>0</v>
      </c>
      <c r="H685" s="170">
        <f>'Products x speed'!J248</f>
        <v>0</v>
      </c>
      <c r="I685" s="170">
        <f>'Products x speed'!K248</f>
        <v>0</v>
      </c>
      <c r="J685" s="170">
        <f>'Products x speed'!L248</f>
        <v>0</v>
      </c>
      <c r="K685" s="170">
        <f>'Products x speed'!M248</f>
        <v>0</v>
      </c>
      <c r="L685" s="170">
        <f>'Products x speed'!N248</f>
        <v>0</v>
      </c>
      <c r="M685" s="170">
        <f>'Products x speed'!O248</f>
        <v>0</v>
      </c>
      <c r="N685" s="170">
        <f>'Products x speed'!P248</f>
        <v>0</v>
      </c>
    </row>
    <row r="686" spans="2:21">
      <c r="B686" s="286" t="str">
        <f t="shared" ref="B686:B687" si="176">B654</f>
        <v>100G ER4-Lite_30 km_QSFP28</v>
      </c>
      <c r="C686" s="170" t="str">
        <f>'Products x speed'!E249</f>
        <v/>
      </c>
      <c r="D686" s="170">
        <f>'Products x speed'!F249</f>
        <v>6.9744847890088328</v>
      </c>
      <c r="E686" s="170">
        <f>'Products x speed'!G249</f>
        <v>18.835366407407406</v>
      </c>
      <c r="F686" s="170">
        <f>'Products x speed'!H249</f>
        <v>0</v>
      </c>
      <c r="G686" s="170">
        <f>'Products x speed'!I249</f>
        <v>0</v>
      </c>
      <c r="H686" s="170">
        <f>'Products x speed'!J249</f>
        <v>0</v>
      </c>
      <c r="I686" s="170">
        <f>'Products x speed'!K249</f>
        <v>0</v>
      </c>
      <c r="J686" s="170">
        <f>'Products x speed'!L249</f>
        <v>0</v>
      </c>
      <c r="K686" s="170">
        <f>'Products x speed'!M249</f>
        <v>0</v>
      </c>
      <c r="L686" s="170">
        <f>'Products x speed'!N249</f>
        <v>0</v>
      </c>
      <c r="M686" s="170">
        <f>'Products x speed'!O249</f>
        <v>0</v>
      </c>
      <c r="N686" s="170">
        <f>'Products x speed'!P249</f>
        <v>0</v>
      </c>
    </row>
    <row r="687" spans="2:21">
      <c r="B687" s="286" t="str">
        <f t="shared" si="176"/>
        <v>100G ER4_40 km_QSFP28</v>
      </c>
      <c r="C687" s="170">
        <f>'Products x speed'!E250</f>
        <v>67.047039534140794</v>
      </c>
      <c r="D687" s="170">
        <f>'Products x speed'!F250</f>
        <v>55.219616614611596</v>
      </c>
      <c r="E687" s="170">
        <f>'Products x speed'!G250</f>
        <v>20.006711803296465</v>
      </c>
      <c r="F687" s="170">
        <f>'Products x speed'!H250</f>
        <v>0</v>
      </c>
      <c r="G687" s="170">
        <f>'Products x speed'!I250</f>
        <v>0</v>
      </c>
      <c r="H687" s="170">
        <f>'Products x speed'!J250</f>
        <v>0</v>
      </c>
      <c r="I687" s="170">
        <f>'Products x speed'!K250</f>
        <v>0</v>
      </c>
      <c r="J687" s="170">
        <f>'Products x speed'!L250</f>
        <v>0</v>
      </c>
      <c r="K687" s="170">
        <f>'Products x speed'!M250</f>
        <v>0</v>
      </c>
      <c r="L687" s="170">
        <f>'Products x speed'!N250</f>
        <v>0</v>
      </c>
      <c r="M687" s="170">
        <f>'Products x speed'!O250</f>
        <v>0</v>
      </c>
      <c r="N687" s="170">
        <f>'Products x speed'!P250</f>
        <v>0</v>
      </c>
    </row>
    <row r="688" spans="2:21">
      <c r="B688" s="372" t="str">
        <f>B656</f>
        <v>100G ZR4_80 km_QSFP28</v>
      </c>
      <c r="C688" s="166" t="str">
        <f>'Products x speed'!E251</f>
        <v/>
      </c>
      <c r="D688" s="166" t="str">
        <f>'Products x speed'!F251</f>
        <v/>
      </c>
      <c r="E688" s="166" t="str">
        <f>'Products x speed'!G251</f>
        <v/>
      </c>
      <c r="F688" s="166">
        <f>'Products x speed'!H251</f>
        <v>0</v>
      </c>
      <c r="G688" s="166">
        <f>'Products x speed'!I251</f>
        <v>0</v>
      </c>
      <c r="H688" s="166">
        <f>'Products x speed'!J251</f>
        <v>0</v>
      </c>
      <c r="I688" s="166">
        <f>'Products x speed'!K251</f>
        <v>0</v>
      </c>
      <c r="J688" s="166">
        <f>'Products x speed'!L251</f>
        <v>0</v>
      </c>
      <c r="K688" s="166">
        <f>'Products x speed'!M251</f>
        <v>0</v>
      </c>
      <c r="L688" s="166">
        <f>'Products x speed'!N251</f>
        <v>0</v>
      </c>
      <c r="M688" s="166">
        <f>'Products x speed'!O251</f>
        <v>0</v>
      </c>
      <c r="N688" s="166">
        <f>'Products x speed'!P251</f>
        <v>0</v>
      </c>
    </row>
    <row r="689" spans="2:14">
      <c r="B689" s="372" t="str">
        <f>$B$657</f>
        <v>100G Long Reach</v>
      </c>
      <c r="C689" s="166">
        <f>SUM(C676:C688)</f>
        <v>1044.5376174696482</v>
      </c>
      <c r="D689" s="166">
        <f t="shared" ref="D689:H689" si="177">SUM(D676:D688)</f>
        <v>1529.3299315934335</v>
      </c>
      <c r="E689" s="166">
        <f t="shared" si="177"/>
        <v>1903.6719145582795</v>
      </c>
      <c r="F689" s="166">
        <f t="shared" si="177"/>
        <v>0</v>
      </c>
      <c r="G689" s="166">
        <f t="shared" si="177"/>
        <v>0</v>
      </c>
      <c r="H689" s="166">
        <f t="shared" si="177"/>
        <v>0</v>
      </c>
      <c r="I689" s="166">
        <f t="shared" ref="I689:M689" si="178">SUM(I676:I688)</f>
        <v>0</v>
      </c>
      <c r="J689" s="166">
        <f t="shared" si="178"/>
        <v>0</v>
      </c>
      <c r="K689" s="166">
        <f t="shared" si="178"/>
        <v>0</v>
      </c>
      <c r="L689" s="166">
        <f t="shared" si="178"/>
        <v>0</v>
      </c>
      <c r="M689" s="166">
        <f t="shared" si="178"/>
        <v>0</v>
      </c>
      <c r="N689" s="166">
        <f t="shared" ref="N689" si="179">SUM(N676:N688)</f>
        <v>0</v>
      </c>
    </row>
    <row r="690" spans="2:14">
      <c r="C690" s="151">
        <f>SUM('Products x speed'!E239:E251)-C689</f>
        <v>0</v>
      </c>
      <c r="D690" s="151">
        <f>SUM('Products x speed'!F239:F251)-D689</f>
        <v>0</v>
      </c>
      <c r="E690" s="151">
        <f>SUM('Products x speed'!G239:G251)-E689</f>
        <v>0</v>
      </c>
      <c r="F690" s="151">
        <f>SUM('Products x speed'!H239:H251)-F689</f>
        <v>0</v>
      </c>
      <c r="G690" s="151">
        <f>SUM('Products x speed'!I239:I251)-G689</f>
        <v>0</v>
      </c>
      <c r="H690" s="151">
        <f>SUM('Products x speed'!J239:J251)-H689</f>
        <v>0</v>
      </c>
      <c r="I690" s="151">
        <f>SUM('Products x speed'!K239:K251)-I689</f>
        <v>0</v>
      </c>
      <c r="J690" s="151">
        <f>SUM('Products x speed'!L239:L251)-J689</f>
        <v>0</v>
      </c>
      <c r="K690" s="151">
        <f>SUM('Products x speed'!M239:M251)-K689</f>
        <v>0</v>
      </c>
      <c r="L690" s="151">
        <f>SUM('Products x speed'!N239:N251)-L689</f>
        <v>0</v>
      </c>
      <c r="M690" s="151">
        <f>SUM('Products x speed'!O239:O251)-M689</f>
        <v>0</v>
      </c>
      <c r="N690" s="151">
        <f>SUM('Products x speed'!P239:P251)-N689</f>
        <v>0</v>
      </c>
    </row>
    <row r="692" spans="2:14" s="637" customFormat="1" ht="21">
      <c r="B692" s="636" t="s">
        <v>426</v>
      </c>
    </row>
    <row r="693" spans="2:14" s="291" customFormat="1" ht="21">
      <c r="B693" s="602"/>
    </row>
    <row r="694" spans="2:14" s="291" customFormat="1" ht="21">
      <c r="B694" s="602"/>
    </row>
    <row r="695" spans="2:14" s="291" customFormat="1" ht="21">
      <c r="B695" s="602"/>
    </row>
    <row r="696" spans="2:14" s="291" customFormat="1" ht="21">
      <c r="B696" s="602"/>
    </row>
    <row r="697" spans="2:14" s="291" customFormat="1" ht="21">
      <c r="B697" s="602"/>
    </row>
    <row r="698" spans="2:14" s="291" customFormat="1" ht="21">
      <c r="B698" s="602"/>
    </row>
    <row r="699" spans="2:14" s="291" customFormat="1" ht="21">
      <c r="B699" s="602"/>
    </row>
    <row r="700" spans="2:14" s="291" customFormat="1" ht="21">
      <c r="B700" s="602"/>
    </row>
    <row r="701" spans="2:14" s="291" customFormat="1" ht="21">
      <c r="B701" s="602"/>
    </row>
    <row r="702" spans="2:14" s="291" customFormat="1" ht="21">
      <c r="B702" s="602"/>
    </row>
    <row r="703" spans="2:14" s="291" customFormat="1" ht="21">
      <c r="B703" s="602"/>
    </row>
    <row r="704" spans="2:14" s="291" customFormat="1" ht="21">
      <c r="B704" s="602"/>
    </row>
    <row r="705" spans="2:21" s="291" customFormat="1" ht="21">
      <c r="B705" s="602"/>
    </row>
    <row r="709" spans="2:21" ht="15.6">
      <c r="B709" s="609" t="s">
        <v>428</v>
      </c>
    </row>
    <row r="710" spans="2:21">
      <c r="B710" s="73" t="s">
        <v>22</v>
      </c>
      <c r="C710" s="524">
        <v>2016</v>
      </c>
      <c r="D710" s="524">
        <v>2017</v>
      </c>
      <c r="E710" s="524">
        <v>2018</v>
      </c>
      <c r="F710" s="524">
        <v>2019</v>
      </c>
      <c r="G710" s="524">
        <v>2020</v>
      </c>
      <c r="H710" s="524">
        <v>2021</v>
      </c>
      <c r="I710" s="524">
        <v>2022</v>
      </c>
      <c r="J710" s="524">
        <v>2023</v>
      </c>
      <c r="K710" s="524">
        <v>2024</v>
      </c>
      <c r="L710" s="524">
        <v>2025</v>
      </c>
      <c r="M710" s="524">
        <v>2026</v>
      </c>
      <c r="N710" s="524">
        <v>2027</v>
      </c>
    </row>
    <row r="711" spans="2:21">
      <c r="B711" s="295" t="s">
        <v>430</v>
      </c>
      <c r="C711" s="294">
        <f t="shared" ref="C711:M711" si="180">C566</f>
        <v>280058</v>
      </c>
      <c r="D711" s="294">
        <f t="shared" si="180"/>
        <v>622792</v>
      </c>
      <c r="E711" s="294">
        <f t="shared" si="180"/>
        <v>1915817</v>
      </c>
      <c r="F711" s="294">
        <f t="shared" si="180"/>
        <v>0</v>
      </c>
      <c r="G711" s="294">
        <f t="shared" si="180"/>
        <v>0</v>
      </c>
      <c r="H711" s="294">
        <f t="shared" si="180"/>
        <v>0</v>
      </c>
      <c r="I711" s="294">
        <f t="shared" si="180"/>
        <v>0</v>
      </c>
      <c r="J711" s="294">
        <f t="shared" si="180"/>
        <v>0</v>
      </c>
      <c r="K711" s="294">
        <f t="shared" si="180"/>
        <v>0</v>
      </c>
      <c r="L711" s="294">
        <f t="shared" si="180"/>
        <v>0</v>
      </c>
      <c r="M711" s="294">
        <f t="shared" si="180"/>
        <v>0</v>
      </c>
      <c r="N711" s="294">
        <f t="shared" ref="N711" si="181">N566</f>
        <v>0</v>
      </c>
    </row>
    <row r="712" spans="2:21">
      <c r="B712" s="356" t="s">
        <v>371</v>
      </c>
      <c r="C712" s="512">
        <f t="shared" ref="C712:M712" si="182">C644</f>
        <v>200861</v>
      </c>
      <c r="D712" s="512">
        <f t="shared" si="182"/>
        <v>710038</v>
      </c>
      <c r="E712" s="512">
        <f t="shared" si="182"/>
        <v>514311</v>
      </c>
      <c r="F712" s="512">
        <f t="shared" si="182"/>
        <v>0</v>
      </c>
      <c r="G712" s="512">
        <f t="shared" si="182"/>
        <v>0</v>
      </c>
      <c r="H712" s="512">
        <f t="shared" si="182"/>
        <v>0</v>
      </c>
      <c r="I712" s="512">
        <f t="shared" si="182"/>
        <v>0</v>
      </c>
      <c r="J712" s="512">
        <f t="shared" si="182"/>
        <v>0</v>
      </c>
      <c r="K712" s="512">
        <f t="shared" si="182"/>
        <v>0</v>
      </c>
      <c r="L712" s="512">
        <f t="shared" si="182"/>
        <v>0</v>
      </c>
      <c r="M712" s="512">
        <f t="shared" si="182"/>
        <v>0</v>
      </c>
      <c r="N712" s="512">
        <f t="shared" ref="N712" si="183">N644</f>
        <v>0</v>
      </c>
      <c r="U712" s="209"/>
    </row>
    <row r="713" spans="2:21">
      <c r="B713" s="356" t="s">
        <v>427</v>
      </c>
      <c r="C713" s="512">
        <f t="shared" ref="C713:M713" si="184">C645+C648</f>
        <v>0</v>
      </c>
      <c r="D713" s="512">
        <f t="shared" si="184"/>
        <v>0</v>
      </c>
      <c r="E713" s="512">
        <f t="shared" si="184"/>
        <v>3000</v>
      </c>
      <c r="F713" s="512">
        <f t="shared" si="184"/>
        <v>0</v>
      </c>
      <c r="G713" s="512">
        <f t="shared" si="184"/>
        <v>0</v>
      </c>
      <c r="H713" s="512">
        <f t="shared" si="184"/>
        <v>0</v>
      </c>
      <c r="I713" s="512">
        <f t="shared" si="184"/>
        <v>0</v>
      </c>
      <c r="J713" s="512">
        <f t="shared" si="184"/>
        <v>0</v>
      </c>
      <c r="K713" s="512">
        <f t="shared" si="184"/>
        <v>0</v>
      </c>
      <c r="L713" s="512">
        <f t="shared" si="184"/>
        <v>0</v>
      </c>
      <c r="M713" s="512">
        <f t="shared" si="184"/>
        <v>0</v>
      </c>
      <c r="N713" s="512">
        <f t="shared" ref="N713" si="185">N645+N648</f>
        <v>0</v>
      </c>
      <c r="U713" s="62"/>
    </row>
    <row r="714" spans="2:21">
      <c r="B714" s="356" t="s">
        <v>429</v>
      </c>
      <c r="C714" s="512">
        <f t="shared" ref="C714:M714" si="186">C646+C647</f>
        <v>119190</v>
      </c>
      <c r="D714" s="512">
        <f t="shared" si="186"/>
        <v>976303</v>
      </c>
      <c r="E714" s="512">
        <f t="shared" si="186"/>
        <v>2966292.6190476189</v>
      </c>
      <c r="F714" s="512">
        <f t="shared" si="186"/>
        <v>0</v>
      </c>
      <c r="G714" s="512">
        <f t="shared" si="186"/>
        <v>0</v>
      </c>
      <c r="H714" s="512">
        <f t="shared" si="186"/>
        <v>0</v>
      </c>
      <c r="I714" s="512">
        <f t="shared" si="186"/>
        <v>0</v>
      </c>
      <c r="J714" s="512">
        <f t="shared" si="186"/>
        <v>0</v>
      </c>
      <c r="K714" s="512">
        <f t="shared" si="186"/>
        <v>0</v>
      </c>
      <c r="L714" s="512">
        <f t="shared" si="186"/>
        <v>0</v>
      </c>
      <c r="M714" s="512">
        <f t="shared" si="186"/>
        <v>0</v>
      </c>
      <c r="N714" s="512">
        <f t="shared" ref="N714" si="187">N646+N647</f>
        <v>0</v>
      </c>
      <c r="U714" s="112"/>
    </row>
    <row r="715" spans="2:21">
      <c r="B715" s="295" t="s">
        <v>381</v>
      </c>
      <c r="C715" s="294">
        <f t="shared" ref="C715:M715" si="188">C651</f>
        <v>90443</v>
      </c>
      <c r="D715" s="294">
        <f t="shared" si="188"/>
        <v>362352</v>
      </c>
      <c r="E715" s="294">
        <f t="shared" si="188"/>
        <v>397891.1176470588</v>
      </c>
      <c r="F715" s="294">
        <f t="shared" si="188"/>
        <v>0</v>
      </c>
      <c r="G715" s="294">
        <f t="shared" si="188"/>
        <v>0</v>
      </c>
      <c r="H715" s="294">
        <f t="shared" si="188"/>
        <v>0</v>
      </c>
      <c r="I715" s="294">
        <f t="shared" si="188"/>
        <v>0</v>
      </c>
      <c r="J715" s="294">
        <f t="shared" si="188"/>
        <v>0</v>
      </c>
      <c r="K715" s="294">
        <f t="shared" si="188"/>
        <v>0</v>
      </c>
      <c r="L715" s="294">
        <f t="shared" si="188"/>
        <v>0</v>
      </c>
      <c r="M715" s="294">
        <f t="shared" si="188"/>
        <v>0</v>
      </c>
      <c r="N715" s="294">
        <f t="shared" ref="N715" si="189">N651</f>
        <v>0</v>
      </c>
      <c r="U715" s="62"/>
    </row>
    <row r="716" spans="2:21">
      <c r="B716" s="604" t="s">
        <v>431</v>
      </c>
      <c r="C716" s="605">
        <f>C717-SUM(C711:C715)</f>
        <v>228818</v>
      </c>
      <c r="D716" s="605">
        <f t="shared" ref="D716:L716" si="190">D717-SUM(D711:D715)</f>
        <v>210005</v>
      </c>
      <c r="E716" s="605">
        <f t="shared" si="190"/>
        <v>389707</v>
      </c>
      <c r="F716" s="605">
        <f t="shared" si="190"/>
        <v>0</v>
      </c>
      <c r="G716" s="605">
        <f t="shared" si="190"/>
        <v>0</v>
      </c>
      <c r="H716" s="605">
        <f t="shared" si="190"/>
        <v>0</v>
      </c>
      <c r="I716" s="605">
        <f t="shared" si="190"/>
        <v>0</v>
      </c>
      <c r="J716" s="605">
        <f t="shared" si="190"/>
        <v>0</v>
      </c>
      <c r="K716" s="605">
        <f t="shared" si="190"/>
        <v>0</v>
      </c>
      <c r="L716" s="605">
        <f t="shared" si="190"/>
        <v>0</v>
      </c>
      <c r="M716" s="605">
        <f t="shared" ref="M716:N716" si="191">M717-SUM(M711:M715)</f>
        <v>0</v>
      </c>
      <c r="N716" s="605">
        <f t="shared" si="191"/>
        <v>0</v>
      </c>
    </row>
    <row r="717" spans="2:21">
      <c r="B717" s="604" t="s">
        <v>432</v>
      </c>
      <c r="C717" s="606">
        <f>'Products x speed'!E94</f>
        <v>919370</v>
      </c>
      <c r="D717" s="606">
        <f>'Products x speed'!F94</f>
        <v>2881490</v>
      </c>
      <c r="E717" s="606">
        <f>'Products x speed'!G94</f>
        <v>6187018.7366946787</v>
      </c>
      <c r="F717" s="606">
        <f>'Products x speed'!H94</f>
        <v>0</v>
      </c>
      <c r="G717" s="606">
        <f>'Products x speed'!I94</f>
        <v>0</v>
      </c>
      <c r="H717" s="606">
        <f>'Products x speed'!J94</f>
        <v>0</v>
      </c>
      <c r="I717" s="606">
        <f>'Products x speed'!K94</f>
        <v>0</v>
      </c>
      <c r="J717" s="606">
        <f>'Products x speed'!L94</f>
        <v>0</v>
      </c>
      <c r="K717" s="606">
        <f>'Products x speed'!M94</f>
        <v>0</v>
      </c>
      <c r="L717" s="606">
        <f>'Products x speed'!N94</f>
        <v>0</v>
      </c>
      <c r="M717" s="606">
        <f>'Products x speed'!O94</f>
        <v>0</v>
      </c>
      <c r="N717" s="606">
        <f>'Products x speed'!P94</f>
        <v>0</v>
      </c>
    </row>
    <row r="719" spans="2:21">
      <c r="B719" s="73" t="s">
        <v>21</v>
      </c>
      <c r="C719" s="524">
        <v>2016</v>
      </c>
      <c r="D719" s="524">
        <v>2017</v>
      </c>
      <c r="E719" s="524">
        <v>2018</v>
      </c>
      <c r="F719" s="524">
        <v>2019</v>
      </c>
      <c r="G719" s="524">
        <v>2020</v>
      </c>
      <c r="H719" s="524">
        <v>2021</v>
      </c>
      <c r="I719" s="524">
        <v>2022</v>
      </c>
      <c r="J719" s="524">
        <v>2023</v>
      </c>
      <c r="K719" s="524">
        <v>2024</v>
      </c>
      <c r="L719" s="524">
        <v>2025</v>
      </c>
      <c r="M719" s="524">
        <v>2026</v>
      </c>
      <c r="N719" s="524">
        <v>2027</v>
      </c>
    </row>
    <row r="720" spans="2:21">
      <c r="B720" s="295" t="s">
        <v>430</v>
      </c>
      <c r="C720" s="603">
        <f>IF(C711=0,"",(C729*10^6)/C711)</f>
        <v>258.09426618771823</v>
      </c>
      <c r="D720" s="603">
        <f t="shared" ref="D720:L720" si="192">IF(D711=0,"",(D729*10^6)/D711)</f>
        <v>182.02277386466108</v>
      </c>
      <c r="E720" s="603">
        <f t="shared" si="192"/>
        <v>113.54682982085136</v>
      </c>
      <c r="F720" s="603" t="str">
        <f t="shared" si="192"/>
        <v/>
      </c>
      <c r="G720" s="603" t="str">
        <f t="shared" si="192"/>
        <v/>
      </c>
      <c r="H720" s="603" t="str">
        <f t="shared" si="192"/>
        <v/>
      </c>
      <c r="I720" s="603" t="str">
        <f t="shared" si="192"/>
        <v/>
      </c>
      <c r="J720" s="603" t="str">
        <f t="shared" si="192"/>
        <v/>
      </c>
      <c r="K720" s="603" t="str">
        <f t="shared" si="192"/>
        <v/>
      </c>
      <c r="L720" s="603" t="str">
        <f t="shared" si="192"/>
        <v/>
      </c>
      <c r="M720" s="603" t="str">
        <f t="shared" ref="M720:N720" si="193">IF(M711=0,"",(M729*10^6)/M711)</f>
        <v/>
      </c>
      <c r="N720" s="603" t="str">
        <f t="shared" si="193"/>
        <v/>
      </c>
    </row>
    <row r="721" spans="2:21">
      <c r="B721" s="356" t="s">
        <v>371</v>
      </c>
      <c r="C721" s="603">
        <f t="shared" ref="C721:L726" si="194">IF(C712=0,"",(C730*10^6)/C712)</f>
        <v>337.41687156790022</v>
      </c>
      <c r="D721" s="603">
        <f t="shared" si="194"/>
        <v>222.65569307558187</v>
      </c>
      <c r="E721" s="603">
        <f t="shared" si="194"/>
        <v>188.02033788894266</v>
      </c>
      <c r="F721" s="603" t="str">
        <f t="shared" si="194"/>
        <v/>
      </c>
      <c r="G721" s="603" t="str">
        <f t="shared" si="194"/>
        <v/>
      </c>
      <c r="H721" s="603" t="str">
        <f t="shared" si="194"/>
        <v/>
      </c>
      <c r="I721" s="603" t="str">
        <f t="shared" si="194"/>
        <v/>
      </c>
      <c r="J721" s="603" t="str">
        <f t="shared" si="194"/>
        <v/>
      </c>
      <c r="K721" s="603" t="str">
        <f t="shared" si="194"/>
        <v/>
      </c>
      <c r="L721" s="603" t="str">
        <f t="shared" si="194"/>
        <v/>
      </c>
      <c r="M721" s="603" t="str">
        <f t="shared" ref="M721:N721" si="195">IF(M712=0,"",(M730*10^6)/M712)</f>
        <v/>
      </c>
      <c r="N721" s="603" t="str">
        <f t="shared" si="195"/>
        <v/>
      </c>
    </row>
    <row r="722" spans="2:21">
      <c r="B722" s="356" t="s">
        <v>427</v>
      </c>
      <c r="C722" s="603"/>
      <c r="D722" s="603"/>
      <c r="E722" s="603">
        <f t="shared" si="194"/>
        <v>400</v>
      </c>
      <c r="F722" s="603" t="str">
        <f t="shared" si="194"/>
        <v/>
      </c>
      <c r="G722" s="603" t="str">
        <f t="shared" si="194"/>
        <v/>
      </c>
      <c r="H722" s="603" t="str">
        <f t="shared" si="194"/>
        <v/>
      </c>
      <c r="I722" s="603" t="str">
        <f t="shared" si="194"/>
        <v/>
      </c>
      <c r="J722" s="603" t="str">
        <f t="shared" si="194"/>
        <v/>
      </c>
      <c r="K722" s="603" t="str">
        <f t="shared" si="194"/>
        <v/>
      </c>
      <c r="L722" s="603" t="str">
        <f t="shared" si="194"/>
        <v/>
      </c>
      <c r="M722" s="603" t="str">
        <f t="shared" ref="M722:N722" si="196">IF(M713=0,"",(M731*10^6)/M713)</f>
        <v/>
      </c>
      <c r="N722" s="603" t="str">
        <f t="shared" si="196"/>
        <v/>
      </c>
    </row>
    <row r="723" spans="2:21">
      <c r="B723" s="356" t="s">
        <v>429</v>
      </c>
      <c r="C723" s="603">
        <f t="shared" si="194"/>
        <v>676.99999999999989</v>
      </c>
      <c r="D723" s="603">
        <f t="shared" si="194"/>
        <v>510</v>
      </c>
      <c r="E723" s="603">
        <f t="shared" si="194"/>
        <v>412.12501271227694</v>
      </c>
      <c r="F723" s="603" t="str">
        <f t="shared" si="194"/>
        <v/>
      </c>
      <c r="G723" s="603" t="str">
        <f t="shared" si="194"/>
        <v/>
      </c>
      <c r="H723" s="603" t="str">
        <f t="shared" si="194"/>
        <v/>
      </c>
      <c r="I723" s="603" t="str">
        <f t="shared" si="194"/>
        <v/>
      </c>
      <c r="J723" s="603" t="str">
        <f t="shared" si="194"/>
        <v/>
      </c>
      <c r="K723" s="603" t="str">
        <f t="shared" si="194"/>
        <v/>
      </c>
      <c r="L723" s="603" t="str">
        <f t="shared" si="194"/>
        <v/>
      </c>
      <c r="M723" s="603" t="str">
        <f t="shared" ref="M723:N723" si="197">IF(M714=0,"",(M732*10^6)/M714)</f>
        <v/>
      </c>
      <c r="N723" s="603" t="str">
        <f t="shared" si="197"/>
        <v/>
      </c>
    </row>
    <row r="724" spans="2:21">
      <c r="B724" s="295" t="s">
        <v>381</v>
      </c>
      <c r="C724" s="603">
        <f t="shared" si="194"/>
        <v>1938.1501024552811</v>
      </c>
      <c r="D724" s="603">
        <f t="shared" si="194"/>
        <v>1200</v>
      </c>
      <c r="E724" s="603">
        <f t="shared" si="194"/>
        <v>833.83281288172873</v>
      </c>
      <c r="F724" s="603" t="str">
        <f t="shared" si="194"/>
        <v/>
      </c>
      <c r="G724" s="603" t="str">
        <f t="shared" si="194"/>
        <v/>
      </c>
      <c r="H724" s="603" t="str">
        <f t="shared" si="194"/>
        <v/>
      </c>
      <c r="I724" s="603" t="str">
        <f t="shared" si="194"/>
        <v/>
      </c>
      <c r="J724" s="603" t="str">
        <f t="shared" si="194"/>
        <v/>
      </c>
      <c r="K724" s="603" t="str">
        <f t="shared" si="194"/>
        <v/>
      </c>
      <c r="L724" s="603" t="str">
        <f t="shared" si="194"/>
        <v/>
      </c>
      <c r="M724" s="603" t="str">
        <f t="shared" ref="M724:N724" si="198">IF(M715=0,"",(M733*10^6)/M715)</f>
        <v/>
      </c>
      <c r="N724" s="603" t="str">
        <f t="shared" si="198"/>
        <v/>
      </c>
    </row>
    <row r="725" spans="2:21">
      <c r="B725" s="604" t="s">
        <v>431</v>
      </c>
      <c r="C725" s="607">
        <f t="shared" si="194"/>
        <v>3265.1276102111078</v>
      </c>
      <c r="D725" s="607">
        <f t="shared" si="194"/>
        <v>2141.7639179706848</v>
      </c>
      <c r="E725" s="607">
        <f t="shared" si="194"/>
        <v>733.65718105306019</v>
      </c>
      <c r="F725" s="607" t="str">
        <f t="shared" si="194"/>
        <v/>
      </c>
      <c r="G725" s="607" t="str">
        <f t="shared" si="194"/>
        <v/>
      </c>
      <c r="H725" s="607" t="str">
        <f t="shared" si="194"/>
        <v/>
      </c>
      <c r="I725" s="607" t="str">
        <f t="shared" si="194"/>
        <v/>
      </c>
      <c r="J725" s="607" t="str">
        <f t="shared" si="194"/>
        <v/>
      </c>
      <c r="K725" s="607" t="str">
        <f t="shared" si="194"/>
        <v/>
      </c>
      <c r="L725" s="607" t="str">
        <f t="shared" si="194"/>
        <v/>
      </c>
      <c r="M725" s="607" t="str">
        <f t="shared" ref="M725:N725" si="199">IF(M716=0,"",(M734*10^6)/M716)</f>
        <v/>
      </c>
      <c r="N725" s="607" t="str">
        <f t="shared" si="199"/>
        <v/>
      </c>
    </row>
    <row r="726" spans="2:21">
      <c r="B726" s="604" t="s">
        <v>432</v>
      </c>
      <c r="C726" s="607">
        <f t="shared" si="194"/>
        <v>1243.4155600788019</v>
      </c>
      <c r="D726" s="607">
        <f t="shared" si="194"/>
        <v>573.99969875798752</v>
      </c>
      <c r="E726" s="607">
        <f t="shared" si="194"/>
        <v>348.40774835874726</v>
      </c>
      <c r="F726" s="607" t="str">
        <f t="shared" si="194"/>
        <v/>
      </c>
      <c r="G726" s="607" t="str">
        <f t="shared" si="194"/>
        <v/>
      </c>
      <c r="H726" s="607" t="str">
        <f t="shared" si="194"/>
        <v/>
      </c>
      <c r="I726" s="607" t="str">
        <f t="shared" si="194"/>
        <v/>
      </c>
      <c r="J726" s="607" t="str">
        <f t="shared" si="194"/>
        <v/>
      </c>
      <c r="K726" s="607" t="str">
        <f t="shared" si="194"/>
        <v/>
      </c>
      <c r="L726" s="607" t="str">
        <f t="shared" si="194"/>
        <v/>
      </c>
      <c r="M726" s="607" t="str">
        <f t="shared" ref="M726:N726" si="200">IF(M717=0,"",(M735*10^6)/M717)</f>
        <v/>
      </c>
      <c r="N726" s="607" t="str">
        <f t="shared" si="200"/>
        <v/>
      </c>
    </row>
    <row r="727" spans="2:21">
      <c r="U727" s="209"/>
    </row>
    <row r="728" spans="2:21">
      <c r="B728" s="73" t="s">
        <v>15</v>
      </c>
      <c r="C728" s="524">
        <v>2016</v>
      </c>
      <c r="D728" s="524">
        <v>2017</v>
      </c>
      <c r="E728" s="524">
        <v>2018</v>
      </c>
      <c r="F728" s="524">
        <v>2019</v>
      </c>
      <c r="G728" s="524">
        <v>2020</v>
      </c>
      <c r="H728" s="524">
        <v>2021</v>
      </c>
      <c r="I728" s="524">
        <v>2022</v>
      </c>
      <c r="J728" s="524">
        <v>2023</v>
      </c>
      <c r="K728" s="524">
        <v>2024</v>
      </c>
      <c r="L728" s="524">
        <v>2025</v>
      </c>
      <c r="M728" s="524">
        <v>2026</v>
      </c>
      <c r="N728" s="524">
        <v>2027</v>
      </c>
      <c r="U728" s="526"/>
    </row>
    <row r="729" spans="2:21">
      <c r="B729" s="295" t="s">
        <v>430</v>
      </c>
      <c r="C729" s="603">
        <f t="shared" ref="C729:M729" si="201">C582</f>
        <v>72.281363999999996</v>
      </c>
      <c r="D729" s="603">
        <f t="shared" si="201"/>
        <v>113.36232738072</v>
      </c>
      <c r="E729" s="603">
        <f t="shared" si="201"/>
        <v>217.53494686689399</v>
      </c>
      <c r="F729" s="603">
        <f t="shared" si="201"/>
        <v>0</v>
      </c>
      <c r="G729" s="603">
        <f t="shared" si="201"/>
        <v>0</v>
      </c>
      <c r="H729" s="603">
        <f t="shared" si="201"/>
        <v>0</v>
      </c>
      <c r="I729" s="603">
        <f t="shared" si="201"/>
        <v>0</v>
      </c>
      <c r="J729" s="603">
        <f t="shared" si="201"/>
        <v>0</v>
      </c>
      <c r="K729" s="603">
        <f t="shared" si="201"/>
        <v>0</v>
      </c>
      <c r="L729" s="603">
        <f t="shared" si="201"/>
        <v>0</v>
      </c>
      <c r="M729" s="603">
        <f t="shared" si="201"/>
        <v>0</v>
      </c>
      <c r="N729" s="603">
        <f t="shared" ref="N729" si="202">N582</f>
        <v>0</v>
      </c>
      <c r="U729" s="526"/>
    </row>
    <row r="730" spans="2:21">
      <c r="B730" s="356" t="s">
        <v>371</v>
      </c>
      <c r="C730" s="586">
        <f t="shared" ref="C730:L730" si="203">C676</f>
        <v>67.773890240000014</v>
      </c>
      <c r="D730" s="586">
        <f t="shared" si="203"/>
        <v>158.09400299999999</v>
      </c>
      <c r="E730" s="586">
        <f t="shared" si="203"/>
        <v>96.70092799999999</v>
      </c>
      <c r="F730" s="586">
        <f t="shared" si="203"/>
        <v>0</v>
      </c>
      <c r="G730" s="586">
        <f t="shared" si="203"/>
        <v>0</v>
      </c>
      <c r="H730" s="586">
        <f t="shared" si="203"/>
        <v>0</v>
      </c>
      <c r="I730" s="586">
        <f t="shared" si="203"/>
        <v>0</v>
      </c>
      <c r="J730" s="586">
        <f t="shared" si="203"/>
        <v>0</v>
      </c>
      <c r="K730" s="586">
        <f t="shared" si="203"/>
        <v>0</v>
      </c>
      <c r="L730" s="586">
        <f t="shared" si="203"/>
        <v>0</v>
      </c>
      <c r="M730" s="586">
        <f t="shared" ref="M730:N730" si="204">M676</f>
        <v>0</v>
      </c>
      <c r="N730" s="586">
        <f t="shared" si="204"/>
        <v>0</v>
      </c>
      <c r="U730" s="526"/>
    </row>
    <row r="731" spans="2:21">
      <c r="B731" s="356" t="s">
        <v>427</v>
      </c>
      <c r="C731" s="586">
        <f>C677+C680</f>
        <v>0</v>
      </c>
      <c r="D731" s="586">
        <f t="shared" ref="D731:L731" si="205">D677+D680</f>
        <v>0</v>
      </c>
      <c r="E731" s="586">
        <f t="shared" si="205"/>
        <v>1.2</v>
      </c>
      <c r="F731" s="586">
        <f t="shared" si="205"/>
        <v>0</v>
      </c>
      <c r="G731" s="586">
        <f t="shared" si="205"/>
        <v>0</v>
      </c>
      <c r="H731" s="586">
        <f t="shared" si="205"/>
        <v>0</v>
      </c>
      <c r="I731" s="586">
        <f t="shared" si="205"/>
        <v>0</v>
      </c>
      <c r="J731" s="586">
        <f t="shared" si="205"/>
        <v>0</v>
      </c>
      <c r="K731" s="586">
        <f t="shared" si="205"/>
        <v>0</v>
      </c>
      <c r="L731" s="586">
        <f t="shared" si="205"/>
        <v>0</v>
      </c>
      <c r="M731" s="586">
        <f t="shared" ref="M731:N731" si="206">M677+M680</f>
        <v>0</v>
      </c>
      <c r="N731" s="586">
        <f t="shared" si="206"/>
        <v>0</v>
      </c>
    </row>
    <row r="732" spans="2:21">
      <c r="B732" s="356" t="s">
        <v>429</v>
      </c>
      <c r="C732" s="586">
        <f>C678+C679</f>
        <v>80.691629999999989</v>
      </c>
      <c r="D732" s="586">
        <f t="shared" ref="D732:L732" si="207">D678+D679</f>
        <v>497.91453000000001</v>
      </c>
      <c r="E732" s="586">
        <f t="shared" si="207"/>
        <v>1222.4833833333332</v>
      </c>
      <c r="F732" s="586">
        <f t="shared" si="207"/>
        <v>0</v>
      </c>
      <c r="G732" s="586">
        <f t="shared" si="207"/>
        <v>0</v>
      </c>
      <c r="H732" s="586">
        <f t="shared" si="207"/>
        <v>0</v>
      </c>
      <c r="I732" s="586">
        <f t="shared" si="207"/>
        <v>0</v>
      </c>
      <c r="J732" s="586">
        <f t="shared" si="207"/>
        <v>0</v>
      </c>
      <c r="K732" s="586">
        <f t="shared" si="207"/>
        <v>0</v>
      </c>
      <c r="L732" s="586">
        <f t="shared" si="207"/>
        <v>0</v>
      </c>
      <c r="M732" s="586">
        <f t="shared" ref="M732:N732" si="208">M678+M679</f>
        <v>0</v>
      </c>
      <c r="N732" s="586">
        <f t="shared" si="208"/>
        <v>0</v>
      </c>
    </row>
    <row r="733" spans="2:21">
      <c r="B733" s="295" t="s">
        <v>381</v>
      </c>
      <c r="C733" s="603">
        <f>C683</f>
        <v>175.29210971636297</v>
      </c>
      <c r="D733" s="603">
        <f t="shared" ref="D733:L733" si="209">D683</f>
        <v>434.82240000000002</v>
      </c>
      <c r="E733" s="603">
        <f t="shared" si="209"/>
        <v>331.77466984830187</v>
      </c>
      <c r="F733" s="603">
        <f t="shared" si="209"/>
        <v>0</v>
      </c>
      <c r="G733" s="603">
        <f t="shared" si="209"/>
        <v>0</v>
      </c>
      <c r="H733" s="603">
        <f t="shared" si="209"/>
        <v>0</v>
      </c>
      <c r="I733" s="603">
        <f t="shared" si="209"/>
        <v>0</v>
      </c>
      <c r="J733" s="603">
        <f t="shared" si="209"/>
        <v>0</v>
      </c>
      <c r="K733" s="603">
        <f t="shared" si="209"/>
        <v>0</v>
      </c>
      <c r="L733" s="603">
        <f t="shared" si="209"/>
        <v>0</v>
      </c>
      <c r="M733" s="603">
        <f t="shared" ref="M733:N733" si="210">M683</f>
        <v>0</v>
      </c>
      <c r="N733" s="603">
        <f t="shared" si="210"/>
        <v>0</v>
      </c>
    </row>
    <row r="734" spans="2:21">
      <c r="B734" s="604" t="s">
        <v>431</v>
      </c>
      <c r="C734" s="608">
        <f>C735-SUM(C729:C733)</f>
        <v>747.11996951328524</v>
      </c>
      <c r="D734" s="608">
        <f t="shared" ref="D734" si="211">D735-SUM(D729:D733)</f>
        <v>449.78113159343366</v>
      </c>
      <c r="E734" s="608">
        <f t="shared" ref="E734" si="212">E735-SUM(E729:E733)</f>
        <v>285.91133905664492</v>
      </c>
      <c r="F734" s="608">
        <f t="shared" ref="F734" si="213">F735-SUM(F729:F733)</f>
        <v>0</v>
      </c>
      <c r="G734" s="608">
        <f t="shared" ref="G734" si="214">G735-SUM(G729:G733)</f>
        <v>0</v>
      </c>
      <c r="H734" s="608">
        <f t="shared" ref="H734" si="215">H735-SUM(H729:H733)</f>
        <v>0</v>
      </c>
      <c r="I734" s="608">
        <f t="shared" ref="I734" si="216">I735-SUM(I729:I733)</f>
        <v>0</v>
      </c>
      <c r="J734" s="608">
        <f t="shared" ref="J734" si="217">J735-SUM(J729:J733)</f>
        <v>0</v>
      </c>
      <c r="K734" s="608">
        <f t="shared" ref="K734" si="218">K735-SUM(K729:K733)</f>
        <v>0</v>
      </c>
      <c r="L734" s="608">
        <f t="shared" ref="L734:M734" si="219">L735-SUM(L729:L733)</f>
        <v>0</v>
      </c>
      <c r="M734" s="608">
        <f t="shared" si="219"/>
        <v>0</v>
      </c>
      <c r="N734" s="608">
        <f t="shared" ref="N734" si="220">N735-SUM(N729:N733)</f>
        <v>0</v>
      </c>
    </row>
    <row r="735" spans="2:21">
      <c r="B735" s="604" t="s">
        <v>432</v>
      </c>
      <c r="C735" s="608">
        <f>'Products x speed'!E286</f>
        <v>1143.1589634696481</v>
      </c>
      <c r="D735" s="608">
        <f>'Products x speed'!F286</f>
        <v>1653.9743919741536</v>
      </c>
      <c r="E735" s="608">
        <f>'Products x speed'!G286</f>
        <v>2155.6052671051739</v>
      </c>
      <c r="F735" s="608">
        <f>'Products x speed'!H286</f>
        <v>0</v>
      </c>
      <c r="G735" s="608">
        <f>'Products x speed'!I286</f>
        <v>0</v>
      </c>
      <c r="H735" s="608">
        <f>'Products x speed'!J286</f>
        <v>0</v>
      </c>
      <c r="I735" s="608">
        <f>'Products x speed'!K286</f>
        <v>0</v>
      </c>
      <c r="J735" s="608">
        <f>'Products x speed'!L286</f>
        <v>0</v>
      </c>
      <c r="K735" s="608">
        <f>'Products x speed'!M286</f>
        <v>0</v>
      </c>
      <c r="L735" s="608">
        <f>'Products x speed'!N286</f>
        <v>0</v>
      </c>
      <c r="M735" s="608">
        <f>'Products x speed'!O286</f>
        <v>0</v>
      </c>
      <c r="N735" s="608">
        <f>'Products x speed'!P286</f>
        <v>0</v>
      </c>
    </row>
    <row r="737" spans="2:20" ht="21">
      <c r="B737" s="148" t="s">
        <v>288</v>
      </c>
    </row>
    <row r="738" spans="2:20" ht="9" customHeight="1"/>
    <row r="739" spans="2:20" ht="21">
      <c r="B739" s="300" t="s">
        <v>22</v>
      </c>
      <c r="G739" s="300" t="s">
        <v>21</v>
      </c>
      <c r="O739" s="300" t="s">
        <v>15</v>
      </c>
    </row>
    <row r="740" spans="2:20">
      <c r="B740" s="4"/>
      <c r="C740" s="4"/>
      <c r="D740" s="4"/>
      <c r="E740" s="4"/>
      <c r="F740" s="4"/>
      <c r="G740" s="4"/>
      <c r="H740" s="4"/>
      <c r="I740" s="4"/>
      <c r="J740" s="4"/>
      <c r="K740" s="4"/>
      <c r="L740" s="4"/>
      <c r="M740" s="4"/>
      <c r="N740" s="4"/>
      <c r="O740" s="4"/>
      <c r="P740" s="4"/>
      <c r="Q740" s="4"/>
      <c r="S740" s="4"/>
      <c r="T740" s="4"/>
    </row>
    <row r="741" spans="2:20">
      <c r="B741" s="4"/>
      <c r="C741" s="4"/>
      <c r="D741" s="4"/>
      <c r="E741" s="4"/>
      <c r="F741" s="4"/>
      <c r="G741" s="4"/>
      <c r="H741" s="4"/>
      <c r="I741" s="4"/>
      <c r="J741" s="4"/>
      <c r="K741" s="4"/>
      <c r="L741" s="4"/>
      <c r="M741" s="4"/>
      <c r="N741" s="4"/>
      <c r="O741" s="4"/>
      <c r="P741" s="4"/>
      <c r="Q741" s="4"/>
      <c r="S741" s="4"/>
      <c r="T741" s="4"/>
    </row>
    <row r="742" spans="2:20">
      <c r="B742" s="4"/>
      <c r="C742" s="4"/>
      <c r="D742" s="4"/>
      <c r="E742" s="4"/>
      <c r="F742" s="4"/>
      <c r="G742" s="4"/>
      <c r="H742" s="4"/>
      <c r="I742" s="4"/>
      <c r="J742" s="4"/>
      <c r="K742" s="4"/>
      <c r="L742" s="4"/>
      <c r="M742" s="4"/>
      <c r="N742" s="4"/>
      <c r="O742" s="4"/>
      <c r="P742" s="4"/>
      <c r="Q742" s="4"/>
      <c r="S742" s="4"/>
      <c r="T742" s="4"/>
    </row>
    <row r="743" spans="2:20">
      <c r="B743" s="4"/>
      <c r="C743" s="4"/>
      <c r="D743" s="4"/>
      <c r="E743" s="4"/>
      <c r="F743" s="4"/>
      <c r="G743" s="4"/>
      <c r="H743" s="4"/>
      <c r="I743" s="4"/>
      <c r="J743" s="4"/>
      <c r="K743" s="4"/>
      <c r="L743" s="4"/>
      <c r="M743" s="4"/>
      <c r="N743" s="4"/>
      <c r="O743" s="4"/>
      <c r="P743" s="4"/>
      <c r="Q743" s="4"/>
      <c r="S743" s="4"/>
      <c r="T743" s="4"/>
    </row>
    <row r="744" spans="2:20">
      <c r="B744" s="4"/>
      <c r="C744" s="4"/>
      <c r="D744" s="4"/>
      <c r="E744" s="4"/>
      <c r="F744" s="4"/>
      <c r="G744" s="4"/>
      <c r="H744" s="4"/>
      <c r="I744" s="4"/>
      <c r="J744" s="4"/>
      <c r="K744" s="4"/>
      <c r="L744" s="4"/>
      <c r="M744" s="4"/>
      <c r="N744" s="4"/>
      <c r="O744" s="4"/>
      <c r="P744" s="4"/>
      <c r="Q744" s="4"/>
      <c r="S744" s="4"/>
      <c r="T744" s="4"/>
    </row>
    <row r="745" spans="2:20">
      <c r="B745" s="4"/>
      <c r="C745" s="4"/>
      <c r="D745" s="4"/>
      <c r="E745" s="4"/>
      <c r="F745" s="4"/>
      <c r="G745" s="4"/>
      <c r="H745" s="4"/>
      <c r="I745" s="4"/>
      <c r="J745" s="4"/>
      <c r="K745" s="4"/>
      <c r="L745" s="4"/>
      <c r="M745" s="4"/>
      <c r="N745" s="4"/>
      <c r="O745" s="4"/>
      <c r="P745" s="4"/>
      <c r="Q745" s="4"/>
      <c r="S745" s="4"/>
      <c r="T745" s="4"/>
    </row>
    <row r="746" spans="2:20">
      <c r="B746" s="4"/>
      <c r="C746" s="4"/>
      <c r="D746" s="4"/>
      <c r="E746" s="4"/>
      <c r="F746" s="4"/>
      <c r="G746" s="4"/>
      <c r="H746" s="4"/>
      <c r="I746" s="4"/>
      <c r="J746" s="4"/>
      <c r="K746" s="4"/>
      <c r="L746" s="4"/>
      <c r="M746" s="4"/>
      <c r="N746" s="4"/>
      <c r="O746" s="4"/>
      <c r="P746" s="4"/>
      <c r="Q746" s="4"/>
      <c r="S746" s="4"/>
      <c r="T746" s="4"/>
    </row>
    <row r="747" spans="2:20">
      <c r="B747" s="4"/>
      <c r="C747" s="4"/>
      <c r="D747" s="4"/>
      <c r="E747" s="4"/>
      <c r="F747" s="4"/>
      <c r="G747" s="4"/>
      <c r="H747" s="4"/>
      <c r="I747" s="4"/>
      <c r="J747" s="4"/>
      <c r="K747" s="4"/>
      <c r="L747" s="4"/>
      <c r="M747" s="4"/>
      <c r="N747" s="4"/>
      <c r="O747" s="4"/>
      <c r="P747" s="4"/>
      <c r="Q747" s="4"/>
      <c r="S747" s="4"/>
      <c r="T747" s="4"/>
    </row>
    <row r="748" spans="2:20">
      <c r="B748" s="4"/>
      <c r="C748" s="4"/>
      <c r="D748" s="4"/>
      <c r="E748" s="4"/>
      <c r="F748" s="4"/>
      <c r="G748" s="4"/>
      <c r="H748" s="4"/>
      <c r="I748" s="4"/>
      <c r="J748" s="4"/>
      <c r="K748" s="4"/>
      <c r="L748" s="4"/>
      <c r="M748" s="4"/>
      <c r="N748" s="4"/>
      <c r="O748" s="4"/>
      <c r="P748" s="4"/>
      <c r="Q748" s="4"/>
      <c r="S748" s="4"/>
      <c r="T748" s="4"/>
    </row>
    <row r="749" spans="2:20">
      <c r="B749" s="4"/>
      <c r="C749" s="4"/>
      <c r="D749" s="4"/>
      <c r="E749" s="4"/>
      <c r="F749" s="4"/>
      <c r="G749" s="4"/>
      <c r="H749" s="4"/>
      <c r="I749" s="4"/>
      <c r="J749" s="4"/>
      <c r="K749" s="4"/>
      <c r="L749" s="4"/>
      <c r="M749" s="4"/>
      <c r="N749" s="4"/>
      <c r="O749" s="4"/>
      <c r="P749" s="4"/>
      <c r="Q749" s="4"/>
      <c r="S749" s="4"/>
      <c r="T749" s="4"/>
    </row>
    <row r="750" spans="2:20" ht="12" customHeight="1">
      <c r="B750" s="4"/>
      <c r="C750" s="4"/>
      <c r="D750" s="4"/>
      <c r="E750" s="4"/>
      <c r="F750" s="4"/>
      <c r="G750" s="4"/>
      <c r="H750" s="4"/>
      <c r="I750" s="4"/>
      <c r="J750" s="4"/>
      <c r="K750" s="4"/>
      <c r="L750" s="4"/>
      <c r="M750" s="4"/>
      <c r="N750" s="4"/>
      <c r="O750" s="4"/>
      <c r="P750" s="4"/>
      <c r="Q750" s="4"/>
      <c r="S750" s="4"/>
      <c r="T750" s="4"/>
    </row>
    <row r="751" spans="2:20">
      <c r="B751" s="4"/>
      <c r="C751" s="4"/>
      <c r="D751" s="4"/>
      <c r="E751" s="4"/>
      <c r="F751" s="4"/>
      <c r="G751" s="4"/>
      <c r="H751" s="4"/>
      <c r="I751" s="4"/>
      <c r="J751" s="4"/>
      <c r="K751" s="4"/>
      <c r="L751" s="4"/>
      <c r="M751" s="4"/>
      <c r="N751" s="4"/>
      <c r="O751" s="4"/>
      <c r="P751" s="4"/>
      <c r="Q751" s="4"/>
      <c r="S751" s="4"/>
      <c r="T751" s="4"/>
    </row>
    <row r="752" spans="2:20">
      <c r="B752" s="4"/>
      <c r="C752" s="4"/>
      <c r="D752" s="4"/>
      <c r="E752" s="4"/>
      <c r="F752" s="4"/>
      <c r="G752" s="4"/>
      <c r="H752" s="4"/>
      <c r="I752" s="4"/>
      <c r="J752" s="4"/>
      <c r="K752" s="4"/>
      <c r="L752" s="4"/>
      <c r="M752" s="4"/>
      <c r="N752" s="4"/>
      <c r="O752" s="4"/>
      <c r="P752" s="4"/>
      <c r="Q752" s="4"/>
      <c r="S752" s="4"/>
      <c r="T752" s="4"/>
    </row>
    <row r="753" spans="2:21">
      <c r="B753" s="4"/>
      <c r="C753" s="4"/>
      <c r="D753" s="4"/>
      <c r="E753" s="4"/>
      <c r="F753" s="4"/>
      <c r="G753" s="4"/>
      <c r="H753" s="4"/>
      <c r="I753" s="4"/>
      <c r="J753" s="4"/>
      <c r="K753" s="4"/>
      <c r="L753" s="4"/>
      <c r="M753" s="4"/>
      <c r="N753" s="4"/>
      <c r="O753" s="4"/>
      <c r="P753" s="4"/>
      <c r="Q753" s="4"/>
      <c r="S753" s="4"/>
      <c r="T753" s="4"/>
    </row>
    <row r="754" spans="2:21">
      <c r="B754" s="4"/>
      <c r="C754" s="4"/>
      <c r="D754" s="4"/>
      <c r="E754" s="4"/>
      <c r="F754" s="4"/>
      <c r="G754" s="4"/>
      <c r="H754" s="4"/>
      <c r="I754" s="4"/>
      <c r="J754" s="4"/>
      <c r="K754" s="4"/>
      <c r="L754" s="4"/>
      <c r="M754" s="4"/>
      <c r="N754" s="4"/>
      <c r="O754" s="4"/>
      <c r="P754" s="4"/>
      <c r="Q754" s="4"/>
      <c r="S754" s="4"/>
      <c r="T754" s="4"/>
    </row>
    <row r="755" spans="2:21">
      <c r="B755" s="4"/>
      <c r="C755" s="4"/>
      <c r="D755" s="4"/>
      <c r="E755" s="4"/>
      <c r="F755" s="4"/>
      <c r="G755" s="4"/>
      <c r="H755" s="4"/>
      <c r="I755" s="4"/>
      <c r="J755" s="4"/>
      <c r="K755" s="4"/>
      <c r="L755" s="4"/>
      <c r="M755" s="4"/>
      <c r="N755" s="4"/>
      <c r="O755" s="4"/>
      <c r="P755" s="4"/>
      <c r="Q755" s="4"/>
      <c r="S755" s="4"/>
      <c r="T755" s="4"/>
    </row>
    <row r="756" spans="2:21">
      <c r="B756" s="4"/>
      <c r="C756" s="4"/>
      <c r="D756" s="4"/>
      <c r="E756" s="4"/>
      <c r="F756" s="4"/>
      <c r="G756" s="4"/>
      <c r="H756" s="4"/>
      <c r="I756" s="4"/>
      <c r="J756" s="4"/>
      <c r="K756" s="4"/>
      <c r="L756" s="4"/>
      <c r="M756" s="4"/>
      <c r="N756" s="4"/>
      <c r="O756" s="4"/>
      <c r="P756" s="4"/>
      <c r="Q756" s="4"/>
      <c r="S756" s="4"/>
      <c r="T756" s="4"/>
    </row>
    <row r="757" spans="2:21">
      <c r="B757" s="4"/>
      <c r="C757" s="4"/>
      <c r="D757" s="4"/>
      <c r="E757" s="4"/>
      <c r="F757" s="4"/>
      <c r="G757" s="4"/>
      <c r="H757" s="4"/>
      <c r="I757" s="4"/>
      <c r="J757" s="4"/>
      <c r="K757" s="4"/>
      <c r="L757" s="4"/>
      <c r="M757" s="4"/>
      <c r="N757" s="4"/>
      <c r="O757" s="4"/>
      <c r="P757" s="4"/>
      <c r="Q757" s="4"/>
      <c r="S757" s="4"/>
      <c r="T757" s="4"/>
    </row>
    <row r="758" spans="2:21">
      <c r="B758" s="4"/>
      <c r="C758" s="4"/>
      <c r="D758" s="4"/>
      <c r="E758" s="4"/>
      <c r="F758" s="4"/>
      <c r="G758" s="4"/>
      <c r="H758" s="4"/>
      <c r="I758" s="4"/>
      <c r="J758" s="4"/>
      <c r="K758" s="4"/>
      <c r="L758" s="4"/>
      <c r="M758" s="4"/>
      <c r="N758" s="4"/>
      <c r="O758" s="4"/>
      <c r="P758" s="4"/>
      <c r="Q758" s="4"/>
      <c r="S758" s="4"/>
      <c r="T758" s="4"/>
    </row>
    <row r="759" spans="2:21">
      <c r="B759" s="4"/>
      <c r="C759" s="4"/>
      <c r="D759" s="4"/>
      <c r="E759" s="4"/>
      <c r="F759" s="4"/>
      <c r="G759" s="4"/>
      <c r="H759" s="4"/>
      <c r="I759" s="4"/>
      <c r="J759" s="4"/>
      <c r="K759" s="4"/>
      <c r="L759" s="4"/>
      <c r="M759" s="4"/>
      <c r="N759" s="4"/>
      <c r="O759" s="4"/>
      <c r="P759" s="4"/>
      <c r="Q759" s="4"/>
      <c r="S759" s="4"/>
      <c r="T759" s="4"/>
    </row>
    <row r="760" spans="2:21" ht="15.6">
      <c r="B760" s="111" t="s">
        <v>222</v>
      </c>
      <c r="C760" s="380">
        <v>2016</v>
      </c>
      <c r="D760" s="386">
        <v>2017</v>
      </c>
      <c r="E760" s="386">
        <v>2018</v>
      </c>
      <c r="F760" s="386">
        <v>2019</v>
      </c>
      <c r="G760" s="386">
        <v>2020</v>
      </c>
      <c r="H760" s="386">
        <v>2021</v>
      </c>
      <c r="I760" s="386">
        <v>2022</v>
      </c>
      <c r="J760" s="386">
        <v>2023</v>
      </c>
      <c r="K760" s="386">
        <v>2024</v>
      </c>
      <c r="L760" s="386">
        <v>2025</v>
      </c>
      <c r="M760" s="386">
        <v>2026</v>
      </c>
      <c r="N760" s="386">
        <v>2027</v>
      </c>
    </row>
    <row r="761" spans="2:21">
      <c r="B761" s="356" t="str">
        <f>'Products x speed'!B252</f>
        <v>200G SR4</v>
      </c>
      <c r="C761" s="159"/>
      <c r="D761" s="159"/>
      <c r="E761" s="159">
        <f>'Products x speed'!G60</f>
        <v>500</v>
      </c>
      <c r="F761" s="159">
        <f>'Products x speed'!H60</f>
        <v>0</v>
      </c>
      <c r="G761" s="159">
        <f>'Products x speed'!I60</f>
        <v>0</v>
      </c>
      <c r="H761" s="159">
        <f>'Products x speed'!J60</f>
        <v>0</v>
      </c>
      <c r="I761" s="159">
        <f>'Products x speed'!K60</f>
        <v>0</v>
      </c>
      <c r="J761" s="159">
        <f>'Products x speed'!L60</f>
        <v>0</v>
      </c>
      <c r="K761" s="159">
        <f>'Products x speed'!M60</f>
        <v>0</v>
      </c>
      <c r="L761" s="159">
        <f>'Products x speed'!N60</f>
        <v>0</v>
      </c>
      <c r="M761" s="159">
        <f>'Products x speed'!O60</f>
        <v>0</v>
      </c>
      <c r="N761" s="159">
        <f>'Products x speed'!P60</f>
        <v>0</v>
      </c>
    </row>
    <row r="762" spans="2:21" ht="15.6">
      <c r="B762" s="286" t="str">
        <f>'Products x speed'!B254</f>
        <v>200G FR4</v>
      </c>
      <c r="C762" s="161"/>
      <c r="D762" s="161"/>
      <c r="E762" s="161">
        <f>'Products x speed'!G62</f>
        <v>500</v>
      </c>
      <c r="F762" s="161">
        <f>'Products x speed'!H62</f>
        <v>0</v>
      </c>
      <c r="G762" s="161">
        <f>'Products x speed'!I62</f>
        <v>0</v>
      </c>
      <c r="H762" s="161">
        <f>'Products x speed'!J62</f>
        <v>0</v>
      </c>
      <c r="I762" s="161">
        <f>'Products x speed'!K62</f>
        <v>0</v>
      </c>
      <c r="J762" s="161">
        <f>'Products x speed'!L62</f>
        <v>0</v>
      </c>
      <c r="K762" s="161">
        <f>'Products x speed'!M62</f>
        <v>0</v>
      </c>
      <c r="L762" s="161">
        <f>'Products x speed'!N62</f>
        <v>0</v>
      </c>
      <c r="M762" s="161">
        <f>'Products x speed'!O62</f>
        <v>0</v>
      </c>
      <c r="N762" s="161">
        <f>'Products x speed'!P62</f>
        <v>0</v>
      </c>
      <c r="U762" s="540"/>
    </row>
    <row r="763" spans="2:21" ht="15.6">
      <c r="B763" s="295" t="s">
        <v>13</v>
      </c>
      <c r="C763" s="165"/>
      <c r="D763" s="165"/>
      <c r="E763" s="165">
        <f t="shared" ref="E763:K763" si="221">SUM(E761:E762)</f>
        <v>1000</v>
      </c>
      <c r="F763" s="165">
        <f t="shared" si="221"/>
        <v>0</v>
      </c>
      <c r="G763" s="165">
        <f t="shared" si="221"/>
        <v>0</v>
      </c>
      <c r="H763" s="165">
        <f t="shared" si="221"/>
        <v>0</v>
      </c>
      <c r="I763" s="165">
        <f t="shared" si="221"/>
        <v>0</v>
      </c>
      <c r="J763" s="165">
        <f t="shared" si="221"/>
        <v>0</v>
      </c>
      <c r="K763" s="165">
        <f t="shared" si="221"/>
        <v>0</v>
      </c>
      <c r="L763" s="165">
        <f>SUM(L761:L762)</f>
        <v>0</v>
      </c>
      <c r="M763" s="165">
        <f>SUM(M761:M762)</f>
        <v>0</v>
      </c>
      <c r="N763" s="165">
        <f>SUM(N761:N762)</f>
        <v>0</v>
      </c>
      <c r="U763" s="540"/>
    </row>
    <row r="764" spans="2:21" ht="15.6">
      <c r="C764" s="270"/>
      <c r="D764" s="270"/>
      <c r="E764" s="270"/>
      <c r="F764" s="324" t="s">
        <v>90</v>
      </c>
      <c r="G764" s="270" t="e">
        <f t="shared" ref="G764:N764" si="222">G763/F763-1</f>
        <v>#DIV/0!</v>
      </c>
      <c r="H764" s="270" t="e">
        <f t="shared" si="222"/>
        <v>#DIV/0!</v>
      </c>
      <c r="I764" s="270" t="e">
        <f t="shared" si="222"/>
        <v>#DIV/0!</v>
      </c>
      <c r="J764" s="270" t="e">
        <f t="shared" si="222"/>
        <v>#DIV/0!</v>
      </c>
      <c r="K764" s="270" t="e">
        <f t="shared" si="222"/>
        <v>#DIV/0!</v>
      </c>
      <c r="L764" s="270" t="e">
        <f t="shared" si="222"/>
        <v>#DIV/0!</v>
      </c>
      <c r="M764" s="270" t="e">
        <f t="shared" si="222"/>
        <v>#DIV/0!</v>
      </c>
      <c r="N764" s="270" t="e">
        <f t="shared" si="222"/>
        <v>#DIV/0!</v>
      </c>
      <c r="U764" s="542"/>
    </row>
    <row r="766" spans="2:21" ht="15.6">
      <c r="B766" s="111" t="s">
        <v>223</v>
      </c>
      <c r="C766" s="380">
        <v>2016</v>
      </c>
      <c r="D766" s="386">
        <v>2017</v>
      </c>
      <c r="E766" s="386">
        <v>2018</v>
      </c>
      <c r="F766" s="386">
        <v>2019</v>
      </c>
      <c r="G766" s="386">
        <v>2020</v>
      </c>
      <c r="H766" s="386">
        <v>2021</v>
      </c>
      <c r="I766" s="386">
        <v>2022</v>
      </c>
      <c r="J766" s="386">
        <v>2023</v>
      </c>
      <c r="K766" s="386">
        <v>2024</v>
      </c>
      <c r="L766" s="386">
        <v>2025</v>
      </c>
      <c r="M766" s="386">
        <v>2026</v>
      </c>
      <c r="N766" s="386">
        <v>2027</v>
      </c>
    </row>
    <row r="767" spans="2:21">
      <c r="B767" s="356" t="str">
        <f>B761</f>
        <v>200G SR4</v>
      </c>
      <c r="C767" s="159"/>
      <c r="D767" s="168"/>
      <c r="E767" s="168">
        <f t="shared" ref="E767:L769" si="223">IF(E761=0,"",(E773*10^6)/E761)</f>
        <v>700</v>
      </c>
      <c r="F767" s="168" t="str">
        <f t="shared" si="223"/>
        <v/>
      </c>
      <c r="G767" s="168" t="str">
        <f t="shared" si="223"/>
        <v/>
      </c>
      <c r="H767" s="168" t="str">
        <f t="shared" si="223"/>
        <v/>
      </c>
      <c r="I767" s="168" t="str">
        <f t="shared" si="223"/>
        <v/>
      </c>
      <c r="J767" s="168" t="str">
        <f t="shared" si="223"/>
        <v/>
      </c>
      <c r="K767" s="168" t="str">
        <f t="shared" si="223"/>
        <v/>
      </c>
      <c r="L767" s="168" t="str">
        <f t="shared" si="223"/>
        <v/>
      </c>
      <c r="M767" s="168" t="str">
        <f t="shared" ref="M767:N767" si="224">IF(M761=0,"",(M773*10^6)/M761)</f>
        <v/>
      </c>
      <c r="N767" s="168" t="str">
        <f t="shared" si="224"/>
        <v/>
      </c>
    </row>
    <row r="768" spans="2:21">
      <c r="B768" s="286" t="str">
        <f>B762</f>
        <v>200G FR4</v>
      </c>
      <c r="C768" s="161"/>
      <c r="D768" s="170"/>
      <c r="E768" s="170">
        <f t="shared" si="223"/>
        <v>1500</v>
      </c>
      <c r="F768" s="170" t="str">
        <f t="shared" si="223"/>
        <v/>
      </c>
      <c r="G768" s="170" t="str">
        <f t="shared" si="223"/>
        <v/>
      </c>
      <c r="H768" s="170" t="str">
        <f t="shared" si="223"/>
        <v/>
      </c>
      <c r="I768" s="170" t="str">
        <f t="shared" si="223"/>
        <v/>
      </c>
      <c r="J768" s="170" t="str">
        <f t="shared" si="223"/>
        <v/>
      </c>
      <c r="K768" s="170" t="str">
        <f t="shared" si="223"/>
        <v/>
      </c>
      <c r="L768" s="170" t="str">
        <f t="shared" si="223"/>
        <v/>
      </c>
      <c r="M768" s="170" t="str">
        <f t="shared" ref="M768:N768" si="225">IF(M762=0,"",(M774*10^6)/M762)</f>
        <v/>
      </c>
      <c r="N768" s="170" t="str">
        <f t="shared" si="225"/>
        <v/>
      </c>
    </row>
    <row r="769" spans="2:21">
      <c r="B769" s="372" t="str">
        <f>B763</f>
        <v>Total</v>
      </c>
      <c r="C769" s="165"/>
      <c r="D769" s="106"/>
      <c r="E769" s="106">
        <f t="shared" si="223"/>
        <v>1100</v>
      </c>
      <c r="F769" s="106" t="str">
        <f t="shared" si="223"/>
        <v/>
      </c>
      <c r="G769" s="106" t="str">
        <f t="shared" si="223"/>
        <v/>
      </c>
      <c r="H769" s="106" t="str">
        <f t="shared" si="223"/>
        <v/>
      </c>
      <c r="I769" s="106" t="str">
        <f t="shared" si="223"/>
        <v/>
      </c>
      <c r="J769" s="106" t="str">
        <f t="shared" si="223"/>
        <v/>
      </c>
      <c r="K769" s="106" t="str">
        <f t="shared" si="223"/>
        <v/>
      </c>
      <c r="L769" s="106" t="str">
        <f t="shared" si="223"/>
        <v/>
      </c>
      <c r="M769" s="106" t="str">
        <f t="shared" ref="M769:N769" si="226">IF(M763=0,"",(M775*10^6)/M763)</f>
        <v/>
      </c>
      <c r="N769" s="106" t="str">
        <f t="shared" si="226"/>
        <v/>
      </c>
    </row>
    <row r="770" spans="2:21">
      <c r="B770" s="324"/>
      <c r="C770" s="270"/>
      <c r="D770" s="270"/>
      <c r="E770" s="270"/>
      <c r="F770" s="270"/>
      <c r="G770" s="270"/>
      <c r="H770" s="270"/>
    </row>
    <row r="772" spans="2:21" ht="15.6">
      <c r="B772" s="111" t="s">
        <v>224</v>
      </c>
      <c r="C772" s="380">
        <v>2016</v>
      </c>
      <c r="D772" s="386">
        <v>2017</v>
      </c>
      <c r="E772" s="386">
        <v>2018</v>
      </c>
      <c r="F772" s="386">
        <v>2019</v>
      </c>
      <c r="G772" s="386">
        <v>2020</v>
      </c>
      <c r="H772" s="386">
        <v>2021</v>
      </c>
      <c r="I772" s="386">
        <v>2022</v>
      </c>
      <c r="J772" s="386">
        <v>2023</v>
      </c>
      <c r="K772" s="386">
        <v>2024</v>
      </c>
      <c r="L772" s="386">
        <v>2025</v>
      </c>
      <c r="M772" s="386">
        <v>2026</v>
      </c>
      <c r="N772" s="386">
        <v>2027</v>
      </c>
      <c r="U772" s="540"/>
    </row>
    <row r="773" spans="2:21" ht="15.6">
      <c r="B773" s="356" t="str">
        <f>B761</f>
        <v>200G SR4</v>
      </c>
      <c r="C773" s="159"/>
      <c r="D773" s="168"/>
      <c r="E773" s="303">
        <f>'Products x speed'!G252</f>
        <v>0.35</v>
      </c>
      <c r="F773" s="168">
        <f>'Products x speed'!H252</f>
        <v>0</v>
      </c>
      <c r="G773" s="168">
        <f>'Products x speed'!I252</f>
        <v>0</v>
      </c>
      <c r="H773" s="168">
        <f>'Products x speed'!J252</f>
        <v>0</v>
      </c>
      <c r="I773" s="168">
        <f>'Products x speed'!K252</f>
        <v>0</v>
      </c>
      <c r="J773" s="168">
        <f>'Products x speed'!L252</f>
        <v>0</v>
      </c>
      <c r="K773" s="168">
        <f>'Products x speed'!M252</f>
        <v>0</v>
      </c>
      <c r="L773" s="168">
        <f>'Products x speed'!N252</f>
        <v>0</v>
      </c>
      <c r="M773" s="168">
        <f>'Products x speed'!O252</f>
        <v>0</v>
      </c>
      <c r="N773" s="168">
        <f>'Products x speed'!P252</f>
        <v>0</v>
      </c>
      <c r="U773" s="540"/>
    </row>
    <row r="774" spans="2:21" ht="15.6">
      <c r="B774" s="286" t="str">
        <f>B762</f>
        <v>200G FR4</v>
      </c>
      <c r="C774" s="161"/>
      <c r="D774" s="170"/>
      <c r="E774" s="170">
        <f>'Products x speed'!G254</f>
        <v>0.75</v>
      </c>
      <c r="F774" s="170">
        <f>'Products x speed'!H254</f>
        <v>0</v>
      </c>
      <c r="G774" s="170">
        <f>'Products x speed'!I254</f>
        <v>0</v>
      </c>
      <c r="H774" s="170">
        <f>'Products x speed'!J254</f>
        <v>0</v>
      </c>
      <c r="I774" s="170">
        <f>'Products x speed'!K254</f>
        <v>0</v>
      </c>
      <c r="J774" s="170">
        <f>'Products x speed'!L254</f>
        <v>0</v>
      </c>
      <c r="K774" s="170">
        <f>'Products x speed'!M254</f>
        <v>0</v>
      </c>
      <c r="L774" s="170">
        <f>'Products x speed'!N254</f>
        <v>0</v>
      </c>
      <c r="M774" s="170">
        <f>'Products x speed'!O254</f>
        <v>0</v>
      </c>
      <c r="N774" s="170">
        <f>'Products x speed'!P254</f>
        <v>0</v>
      </c>
      <c r="U774" s="542"/>
    </row>
    <row r="775" spans="2:21">
      <c r="B775" s="295" t="str">
        <f>B769</f>
        <v>Total</v>
      </c>
      <c r="C775" s="165"/>
      <c r="D775" s="106"/>
      <c r="E775" s="106">
        <f t="shared" ref="E775" si="227">SUM(E773:E774)</f>
        <v>1.1000000000000001</v>
      </c>
      <c r="F775" s="106">
        <f t="shared" ref="F775" si="228">SUM(F773:F774)</f>
        <v>0</v>
      </c>
      <c r="G775" s="106">
        <f t="shared" ref="G775" si="229">SUM(G773:G774)</f>
        <v>0</v>
      </c>
      <c r="H775" s="106">
        <f t="shared" ref="H775" si="230">SUM(H773:H774)</f>
        <v>0</v>
      </c>
      <c r="I775" s="106">
        <f t="shared" ref="I775" si="231">SUM(I773:I774)</f>
        <v>0</v>
      </c>
      <c r="J775" s="106">
        <f t="shared" ref="J775" si="232">SUM(J773:J774)</f>
        <v>0</v>
      </c>
      <c r="K775" s="106">
        <f t="shared" ref="K775" si="233">SUM(K773:K774)</f>
        <v>0</v>
      </c>
      <c r="L775" s="106">
        <f>SUM(L773:L774)</f>
        <v>0</v>
      </c>
      <c r="M775" s="106">
        <f>SUM(M773:M774)</f>
        <v>0</v>
      </c>
      <c r="N775" s="106">
        <f>SUM(N773:N774)</f>
        <v>0</v>
      </c>
    </row>
    <row r="776" spans="2:21">
      <c r="C776" s="270"/>
      <c r="D776" s="270"/>
      <c r="E776" s="270"/>
      <c r="F776" s="324" t="s">
        <v>90</v>
      </c>
      <c r="G776" s="270" t="e">
        <f t="shared" ref="G776:N776" si="234">G775/F775-1</f>
        <v>#DIV/0!</v>
      </c>
      <c r="H776" s="270" t="e">
        <f t="shared" si="234"/>
        <v>#DIV/0!</v>
      </c>
      <c r="I776" s="270" t="e">
        <f t="shared" si="234"/>
        <v>#DIV/0!</v>
      </c>
      <c r="J776" s="270" t="e">
        <f t="shared" si="234"/>
        <v>#DIV/0!</v>
      </c>
      <c r="K776" s="270" t="e">
        <f t="shared" si="234"/>
        <v>#DIV/0!</v>
      </c>
      <c r="L776" s="270" t="e">
        <f t="shared" si="234"/>
        <v>#DIV/0!</v>
      </c>
      <c r="M776" s="270" t="e">
        <f t="shared" si="234"/>
        <v>#DIV/0!</v>
      </c>
      <c r="N776" s="270" t="e">
        <f t="shared" si="234"/>
        <v>#DIV/0!</v>
      </c>
    </row>
    <row r="779" spans="2:21" ht="21">
      <c r="B779" s="148" t="s">
        <v>289</v>
      </c>
    </row>
    <row r="780" spans="2:21" ht="21">
      <c r="B780" s="300" t="s">
        <v>22</v>
      </c>
      <c r="G780" s="300" t="s">
        <v>21</v>
      </c>
      <c r="O780" s="300" t="s">
        <v>15</v>
      </c>
    </row>
    <row r="784" spans="2:21" ht="16.5" customHeight="1"/>
    <row r="801" spans="2:21" ht="15.6">
      <c r="B801" s="111" t="s">
        <v>225</v>
      </c>
      <c r="C801" s="385">
        <v>2016</v>
      </c>
      <c r="D801" s="386">
        <v>2017</v>
      </c>
      <c r="E801" s="386">
        <v>2018</v>
      </c>
      <c r="F801" s="386">
        <v>2019</v>
      </c>
      <c r="G801" s="386">
        <v>2020</v>
      </c>
      <c r="H801" s="386">
        <v>2021</v>
      </c>
      <c r="I801" s="386">
        <v>2022</v>
      </c>
      <c r="J801" s="386">
        <v>2023</v>
      </c>
      <c r="K801" s="386">
        <v>2024</v>
      </c>
      <c r="L801" s="386">
        <v>2025</v>
      </c>
      <c r="M801" s="386">
        <v>2026</v>
      </c>
      <c r="N801" s="386">
        <v>2027</v>
      </c>
    </row>
    <row r="802" spans="2:21">
      <c r="B802" s="356" t="str">
        <f>'Products x speed'!B257</f>
        <v>2x200 (400G-SR8)</v>
      </c>
      <c r="C802" s="158"/>
      <c r="D802" s="159"/>
      <c r="E802" s="159">
        <f>'Products x speed'!G65</f>
        <v>23000</v>
      </c>
      <c r="F802" s="159">
        <f>'Products x speed'!H65</f>
        <v>0</v>
      </c>
      <c r="G802" s="159">
        <f>'Products x speed'!I65</f>
        <v>0</v>
      </c>
      <c r="H802" s="159">
        <f>'Products x speed'!J65</f>
        <v>0</v>
      </c>
      <c r="I802" s="159">
        <f>'Products x speed'!K65</f>
        <v>0</v>
      </c>
      <c r="J802" s="159">
        <f>'Products x speed'!L65</f>
        <v>0</v>
      </c>
      <c r="K802" s="159">
        <f>'Products x speed'!M65</f>
        <v>0</v>
      </c>
      <c r="L802" s="159">
        <f>'Products x speed'!N65</f>
        <v>0</v>
      </c>
      <c r="M802" s="159">
        <f>'Products x speed'!O65</f>
        <v>0</v>
      </c>
      <c r="N802" s="159">
        <f>'Products x speed'!P65</f>
        <v>0</v>
      </c>
    </row>
    <row r="803" spans="2:21" ht="15.6">
      <c r="B803" s="286" t="str">
        <f>'Products x speed'!B258</f>
        <v>400G SR4.2</v>
      </c>
      <c r="C803" s="160"/>
      <c r="D803" s="161"/>
      <c r="E803" s="161">
        <f>'Products x speed'!G66</f>
        <v>0</v>
      </c>
      <c r="F803" s="161">
        <f>'Products x speed'!H66</f>
        <v>0</v>
      </c>
      <c r="G803" s="161">
        <f>'Products x speed'!I66</f>
        <v>0</v>
      </c>
      <c r="H803" s="161">
        <f>'Products x speed'!J66</f>
        <v>0</v>
      </c>
      <c r="I803" s="161">
        <f>'Products x speed'!K66</f>
        <v>0</v>
      </c>
      <c r="J803" s="161">
        <f>'Products x speed'!L66</f>
        <v>0</v>
      </c>
      <c r="K803" s="161">
        <f>'Products x speed'!M66</f>
        <v>0</v>
      </c>
      <c r="L803" s="161">
        <f>'Products x speed'!N66</f>
        <v>0</v>
      </c>
      <c r="M803" s="161">
        <f>'Products x speed'!O66</f>
        <v>0</v>
      </c>
      <c r="N803" s="161">
        <f>'Products x speed'!P66</f>
        <v>0</v>
      </c>
      <c r="U803" s="540"/>
    </row>
    <row r="804" spans="2:21" ht="15.6">
      <c r="B804" s="286" t="str">
        <f>'Products x speed'!B259</f>
        <v>400G DR4</v>
      </c>
      <c r="C804" s="160"/>
      <c r="D804" s="161"/>
      <c r="E804" s="161">
        <f>'Products x speed'!G67</f>
        <v>2000</v>
      </c>
      <c r="F804" s="161">
        <f>'Products x speed'!H67</f>
        <v>0</v>
      </c>
      <c r="G804" s="161">
        <f>'Products x speed'!I67</f>
        <v>0</v>
      </c>
      <c r="H804" s="161">
        <f>'Products x speed'!J67</f>
        <v>0</v>
      </c>
      <c r="I804" s="161">
        <f>'Products x speed'!K67</f>
        <v>0</v>
      </c>
      <c r="J804" s="161">
        <f>'Products x speed'!L67</f>
        <v>0</v>
      </c>
      <c r="K804" s="161">
        <f>'Products x speed'!M67</f>
        <v>0</v>
      </c>
      <c r="L804" s="161">
        <f>'Products x speed'!N67</f>
        <v>0</v>
      </c>
      <c r="M804" s="161">
        <f>'Products x speed'!O67</f>
        <v>0</v>
      </c>
      <c r="N804" s="161">
        <f>'Products x speed'!P67</f>
        <v>0</v>
      </c>
      <c r="U804" s="540"/>
    </row>
    <row r="805" spans="2:21">
      <c r="B805" s="286" t="str">
        <f>'Products x speed'!B260</f>
        <v>2x(200G FR4)</v>
      </c>
      <c r="C805" s="160"/>
      <c r="D805" s="161"/>
      <c r="E805" s="161">
        <f>'Products x speed'!G68</f>
        <v>12000</v>
      </c>
      <c r="F805" s="161">
        <f>'Products x speed'!H68</f>
        <v>0</v>
      </c>
      <c r="G805" s="161">
        <f>'Products x speed'!I68</f>
        <v>0</v>
      </c>
      <c r="H805" s="161">
        <f>'Products x speed'!J68</f>
        <v>0</v>
      </c>
      <c r="I805" s="161">
        <f>'Products x speed'!K68</f>
        <v>0</v>
      </c>
      <c r="J805" s="161">
        <f>'Products x speed'!L68</f>
        <v>0</v>
      </c>
      <c r="K805" s="161">
        <f>'Products x speed'!M68</f>
        <v>0</v>
      </c>
      <c r="L805" s="161">
        <f>'Products x speed'!N68</f>
        <v>0</v>
      </c>
      <c r="M805" s="161">
        <f>'Products x speed'!O68</f>
        <v>0</v>
      </c>
      <c r="N805" s="161">
        <f>'Products x speed'!P68</f>
        <v>0</v>
      </c>
    </row>
    <row r="806" spans="2:21" ht="15.6">
      <c r="B806" s="286" t="str">
        <f>'Products x speed'!B261</f>
        <v>400G FR4</v>
      </c>
      <c r="C806" s="160"/>
      <c r="D806" s="161">
        <f>'Products x speed'!F69</f>
        <v>7</v>
      </c>
      <c r="E806" s="161">
        <f>'Products x speed'!G69</f>
        <v>1000</v>
      </c>
      <c r="F806" s="161">
        <f>'Products x speed'!H69</f>
        <v>0</v>
      </c>
      <c r="G806" s="161">
        <f>'Products x speed'!I69</f>
        <v>0</v>
      </c>
      <c r="H806" s="161">
        <f>'Products x speed'!J69</f>
        <v>0</v>
      </c>
      <c r="I806" s="161">
        <f>'Products x speed'!K69</f>
        <v>0</v>
      </c>
      <c r="J806" s="161">
        <f>'Products x speed'!L69</f>
        <v>0</v>
      </c>
      <c r="K806" s="161">
        <f>'Products x speed'!M69</f>
        <v>0</v>
      </c>
      <c r="L806" s="161">
        <f>'Products x speed'!N69</f>
        <v>0</v>
      </c>
      <c r="M806" s="161">
        <f>'Products x speed'!O69</f>
        <v>0</v>
      </c>
      <c r="N806" s="161">
        <f>'Products x speed'!P69</f>
        <v>0</v>
      </c>
      <c r="U806" s="542"/>
    </row>
    <row r="807" spans="2:21">
      <c r="B807" s="286" t="str">
        <f>'Products x speed'!B262</f>
        <v>400G LR8, LR4</v>
      </c>
      <c r="C807" s="160"/>
      <c r="D807" s="161">
        <f>'Products x speed'!F70</f>
        <v>82</v>
      </c>
      <c r="E807" s="161">
        <f>'Products x speed'!G70</f>
        <v>1000</v>
      </c>
      <c r="F807" s="161">
        <f>'Products x speed'!H70</f>
        <v>0</v>
      </c>
      <c r="G807" s="161">
        <f>'Products x speed'!I70</f>
        <v>0</v>
      </c>
      <c r="H807" s="161">
        <f>'Products x speed'!J70</f>
        <v>0</v>
      </c>
      <c r="I807" s="161">
        <f>'Products x speed'!K70</f>
        <v>0</v>
      </c>
      <c r="J807" s="161">
        <f>'Products x speed'!L70</f>
        <v>0</v>
      </c>
      <c r="K807" s="161">
        <f>'Products x speed'!M70</f>
        <v>0</v>
      </c>
      <c r="L807" s="161">
        <f>'Products x speed'!N70</f>
        <v>0</v>
      </c>
      <c r="M807" s="161">
        <f>'Products x speed'!O70</f>
        <v>0</v>
      </c>
      <c r="N807" s="161">
        <f>'Products x speed'!P70</f>
        <v>0</v>
      </c>
    </row>
    <row r="808" spans="2:21">
      <c r="B808" s="286" t="str">
        <f>'Products x speed'!B263</f>
        <v>400G ER4</v>
      </c>
      <c r="C808" s="162"/>
      <c r="D808" s="163">
        <f>'Products x speed'!F71</f>
        <v>0</v>
      </c>
      <c r="E808" s="163">
        <f>'Products x speed'!G71</f>
        <v>0</v>
      </c>
      <c r="F808" s="163">
        <f>'Products x speed'!H71</f>
        <v>0</v>
      </c>
      <c r="G808" s="163">
        <f>'Products x speed'!I71</f>
        <v>0</v>
      </c>
      <c r="H808" s="163">
        <f>'Products x speed'!J71</f>
        <v>0</v>
      </c>
      <c r="I808" s="163">
        <f>'Products x speed'!K71</f>
        <v>0</v>
      </c>
      <c r="J808" s="163">
        <f>'Products x speed'!L71</f>
        <v>0</v>
      </c>
      <c r="K808" s="163">
        <f>'Products x speed'!M71</f>
        <v>0</v>
      </c>
      <c r="L808" s="163">
        <f>'Products x speed'!N71</f>
        <v>0</v>
      </c>
      <c r="M808" s="163">
        <f>'Products x speed'!O71</f>
        <v>0</v>
      </c>
      <c r="N808" s="163">
        <f>'Products x speed'!P71</f>
        <v>0</v>
      </c>
    </row>
    <row r="809" spans="2:21">
      <c r="B809" s="271" t="s">
        <v>13</v>
      </c>
      <c r="C809" s="164"/>
      <c r="D809" s="165">
        <f>SUM(D802:D808)</f>
        <v>89</v>
      </c>
      <c r="E809" s="165">
        <f t="shared" ref="E809:M809" si="235">SUM(E802:E808)</f>
        <v>39000</v>
      </c>
      <c r="F809" s="165">
        <f t="shared" si="235"/>
        <v>0</v>
      </c>
      <c r="G809" s="165">
        <f t="shared" si="235"/>
        <v>0</v>
      </c>
      <c r="H809" s="165">
        <f t="shared" si="235"/>
        <v>0</v>
      </c>
      <c r="I809" s="165">
        <f t="shared" si="235"/>
        <v>0</v>
      </c>
      <c r="J809" s="165">
        <f t="shared" si="235"/>
        <v>0</v>
      </c>
      <c r="K809" s="165">
        <f t="shared" si="235"/>
        <v>0</v>
      </c>
      <c r="L809" s="165">
        <f t="shared" si="235"/>
        <v>0</v>
      </c>
      <c r="M809" s="165">
        <f t="shared" si="235"/>
        <v>0</v>
      </c>
      <c r="N809" s="165">
        <f t="shared" ref="N809" si="236">SUM(N802:N808)</f>
        <v>0</v>
      </c>
    </row>
    <row r="810" spans="2:21">
      <c r="C810" s="270"/>
      <c r="D810" s="270"/>
      <c r="E810" s="270"/>
      <c r="F810" s="324" t="s">
        <v>90</v>
      </c>
      <c r="G810" s="270"/>
      <c r="H810" s="270"/>
      <c r="I810" s="270"/>
      <c r="J810" s="270"/>
      <c r="K810" s="270"/>
      <c r="L810" s="270"/>
      <c r="M810" s="270"/>
      <c r="N810" s="270"/>
    </row>
    <row r="812" spans="2:21" ht="15.6">
      <c r="B812" s="111" t="s">
        <v>226</v>
      </c>
      <c r="C812" s="380">
        <v>2016</v>
      </c>
      <c r="D812" s="386">
        <v>2017</v>
      </c>
      <c r="E812" s="386">
        <v>2018</v>
      </c>
      <c r="F812" s="386">
        <v>2019</v>
      </c>
      <c r="G812" s="386">
        <v>2020</v>
      </c>
      <c r="H812" s="386">
        <v>2021</v>
      </c>
      <c r="I812" s="386">
        <v>2022</v>
      </c>
      <c r="J812" s="386">
        <v>2023</v>
      </c>
      <c r="K812" s="386">
        <v>2024</v>
      </c>
      <c r="L812" s="386">
        <v>2025</v>
      </c>
      <c r="M812" s="386">
        <v>2026</v>
      </c>
      <c r="N812" s="386">
        <v>2027</v>
      </c>
    </row>
    <row r="813" spans="2:21">
      <c r="B813" s="356" t="str">
        <f t="shared" ref="B813:B819" si="237">B802</f>
        <v>2x200 (400G-SR8)</v>
      </c>
      <c r="C813" s="158"/>
      <c r="D813" s="168"/>
      <c r="E813" s="168">
        <f t="shared" ref="E813:F813" si="238">IF(E802=0,"",(E824*10^6)/E802)</f>
        <v>644</v>
      </c>
      <c r="F813" s="168" t="str">
        <f t="shared" si="238"/>
        <v/>
      </c>
      <c r="G813" s="168" t="str">
        <f t="shared" ref="G813:L813" si="239">IF(G802=0,"",(G824*10^6)/G802)</f>
        <v/>
      </c>
      <c r="H813" s="168" t="str">
        <f t="shared" si="239"/>
        <v/>
      </c>
      <c r="I813" s="168" t="str">
        <f t="shared" si="239"/>
        <v/>
      </c>
      <c r="J813" s="168" t="str">
        <f t="shared" si="239"/>
        <v/>
      </c>
      <c r="K813" s="168" t="str">
        <f t="shared" si="239"/>
        <v/>
      </c>
      <c r="L813" s="168" t="str">
        <f t="shared" si="239"/>
        <v/>
      </c>
      <c r="M813" s="168" t="str">
        <f t="shared" ref="M813:N813" si="240">IF(M802=0,"",(M824*10^6)/M802)</f>
        <v/>
      </c>
      <c r="N813" s="168" t="str">
        <f t="shared" si="240"/>
        <v/>
      </c>
    </row>
    <row r="814" spans="2:21">
      <c r="B814" s="286" t="str">
        <f t="shared" si="237"/>
        <v>400G SR4.2</v>
      </c>
      <c r="C814" s="160"/>
      <c r="D814" s="170"/>
      <c r="E814" s="170"/>
      <c r="F814" s="170"/>
      <c r="G814" s="170"/>
      <c r="H814" s="170" t="str">
        <f t="shared" ref="H814:L819" si="241">IF(H803=0,"",(H825*10^6)/H803)</f>
        <v/>
      </c>
      <c r="I814" s="170" t="str">
        <f t="shared" si="241"/>
        <v/>
      </c>
      <c r="J814" s="170" t="str">
        <f t="shared" si="241"/>
        <v/>
      </c>
      <c r="K814" s="170" t="str">
        <f t="shared" si="241"/>
        <v/>
      </c>
      <c r="L814" s="170" t="str">
        <f t="shared" si="241"/>
        <v/>
      </c>
      <c r="M814" s="170" t="str">
        <f t="shared" ref="M814:N814" si="242">IF(M803=0,"",(M825*10^6)/M803)</f>
        <v/>
      </c>
      <c r="N814" s="170" t="str">
        <f t="shared" si="242"/>
        <v/>
      </c>
    </row>
    <row r="815" spans="2:21">
      <c r="B815" s="286" t="str">
        <f t="shared" si="237"/>
        <v>400G DR4</v>
      </c>
      <c r="C815" s="160"/>
      <c r="D815" s="170"/>
      <c r="E815" s="170">
        <f t="shared" ref="E815:F815" si="243">IF(E804=0,"",(E826*10^6)/E804)</f>
        <v>1100</v>
      </c>
      <c r="F815" s="170" t="str">
        <f t="shared" si="243"/>
        <v/>
      </c>
      <c r="G815" s="170" t="str">
        <f>IF(G804=0,"",(G826*10^6)/G804)</f>
        <v/>
      </c>
      <c r="H815" s="170" t="str">
        <f t="shared" si="241"/>
        <v/>
      </c>
      <c r="I815" s="170" t="str">
        <f t="shared" si="241"/>
        <v/>
      </c>
      <c r="J815" s="170" t="str">
        <f t="shared" si="241"/>
        <v/>
      </c>
      <c r="K815" s="170" t="str">
        <f t="shared" si="241"/>
        <v/>
      </c>
      <c r="L815" s="170" t="str">
        <f t="shared" si="241"/>
        <v/>
      </c>
      <c r="M815" s="170" t="str">
        <f t="shared" ref="M815:N815" si="244">IF(M804=0,"",(M826*10^6)/M804)</f>
        <v/>
      </c>
      <c r="N815" s="170" t="str">
        <f t="shared" si="244"/>
        <v/>
      </c>
    </row>
    <row r="816" spans="2:21">
      <c r="B816" s="286" t="str">
        <f t="shared" si="237"/>
        <v>2x(200G FR4)</v>
      </c>
      <c r="C816" s="160"/>
      <c r="D816" s="170"/>
      <c r="E816" s="170">
        <f t="shared" ref="E816:F816" si="245">IF(E805=0,"",(E827*10^6)/E805)</f>
        <v>1850</v>
      </c>
      <c r="F816" s="170" t="str">
        <f t="shared" si="245"/>
        <v/>
      </c>
      <c r="G816" s="170" t="str">
        <f>IF(G805=0,"",(G827*10^6)/G805)</f>
        <v/>
      </c>
      <c r="H816" s="170" t="str">
        <f t="shared" si="241"/>
        <v/>
      </c>
      <c r="I816" s="170" t="str">
        <f t="shared" si="241"/>
        <v/>
      </c>
      <c r="J816" s="170" t="str">
        <f t="shared" si="241"/>
        <v/>
      </c>
      <c r="K816" s="170" t="str">
        <f t="shared" si="241"/>
        <v/>
      </c>
      <c r="L816" s="170" t="str">
        <f t="shared" si="241"/>
        <v/>
      </c>
      <c r="M816" s="170" t="str">
        <f t="shared" ref="M816:N816" si="246">IF(M805=0,"",(M827*10^6)/M805)</f>
        <v/>
      </c>
      <c r="N816" s="170" t="str">
        <f t="shared" si="246"/>
        <v/>
      </c>
    </row>
    <row r="817" spans="2:21">
      <c r="B817" s="286" t="str">
        <f t="shared" si="237"/>
        <v>400G FR4</v>
      </c>
      <c r="C817" s="160"/>
      <c r="D817" s="170"/>
      <c r="E817" s="170">
        <f t="shared" ref="E817:F819" si="247">IF(E806=0,"",(E828*10^6)/E806)</f>
        <v>2000</v>
      </c>
      <c r="F817" s="170" t="str">
        <f t="shared" si="247"/>
        <v/>
      </c>
      <c r="G817" s="170" t="str">
        <f>IF(G806=0,"",(G828*10^6)/G806)</f>
        <v/>
      </c>
      <c r="H817" s="170" t="str">
        <f t="shared" si="241"/>
        <v/>
      </c>
      <c r="I817" s="170" t="str">
        <f t="shared" si="241"/>
        <v/>
      </c>
      <c r="J817" s="170" t="str">
        <f t="shared" si="241"/>
        <v/>
      </c>
      <c r="K817" s="170" t="str">
        <f t="shared" si="241"/>
        <v/>
      </c>
      <c r="L817" s="170" t="str">
        <f t="shared" si="241"/>
        <v/>
      </c>
      <c r="M817" s="170" t="str">
        <f t="shared" ref="M817:N817" si="248">IF(M806=0,"",(M828*10^6)/M806)</f>
        <v/>
      </c>
      <c r="N817" s="170" t="str">
        <f t="shared" si="248"/>
        <v/>
      </c>
    </row>
    <row r="818" spans="2:21">
      <c r="B818" s="286" t="str">
        <f t="shared" si="237"/>
        <v>400G LR8, LR4</v>
      </c>
      <c r="C818" s="160"/>
      <c r="D818" s="170"/>
      <c r="E818" s="170">
        <f t="shared" si="247"/>
        <v>8000</v>
      </c>
      <c r="F818" s="170" t="str">
        <f t="shared" si="247"/>
        <v/>
      </c>
      <c r="G818" s="170" t="str">
        <f>IF(G807=0,"",(G829*10^6)/G807)</f>
        <v/>
      </c>
      <c r="H818" s="170" t="str">
        <f t="shared" si="241"/>
        <v/>
      </c>
      <c r="I818" s="170" t="str">
        <f t="shared" si="241"/>
        <v/>
      </c>
      <c r="J818" s="170" t="str">
        <f t="shared" si="241"/>
        <v/>
      </c>
      <c r="K818" s="170" t="str">
        <f t="shared" si="241"/>
        <v/>
      </c>
      <c r="L818" s="170" t="str">
        <f t="shared" si="241"/>
        <v/>
      </c>
      <c r="M818" s="170" t="str">
        <f t="shared" ref="M818:N819" si="249">IF(M807=0,"",(M829*10^6)/M807)</f>
        <v/>
      </c>
      <c r="N818" s="170" t="str">
        <f t="shared" si="249"/>
        <v/>
      </c>
    </row>
    <row r="819" spans="2:21">
      <c r="B819" s="372" t="str">
        <f t="shared" si="237"/>
        <v>400G ER4</v>
      </c>
      <c r="C819" s="162"/>
      <c r="D819" s="166"/>
      <c r="E819" s="166" t="str">
        <f t="shared" si="247"/>
        <v/>
      </c>
      <c r="F819" s="166" t="str">
        <f t="shared" si="247"/>
        <v/>
      </c>
      <c r="G819" s="166" t="str">
        <f>IF(G808=0,"",(G830*10^6)/G808)</f>
        <v/>
      </c>
      <c r="H819" s="166" t="str">
        <f t="shared" si="241"/>
        <v/>
      </c>
      <c r="I819" s="166" t="str">
        <f t="shared" si="241"/>
        <v/>
      </c>
      <c r="J819" s="166" t="str">
        <f t="shared" si="241"/>
        <v/>
      </c>
      <c r="K819" s="166" t="str">
        <f t="shared" si="241"/>
        <v/>
      </c>
      <c r="L819" s="166" t="str">
        <f t="shared" si="241"/>
        <v/>
      </c>
      <c r="M819" s="166" t="str">
        <f t="shared" si="249"/>
        <v/>
      </c>
      <c r="N819" s="166" t="str">
        <f t="shared" si="249"/>
        <v/>
      </c>
    </row>
    <row r="820" spans="2:21">
      <c r="B820" s="271" t="str">
        <f>$B$809</f>
        <v>Total</v>
      </c>
      <c r="C820" s="164"/>
      <c r="D820" s="106">
        <f>IF(D809=0,"",(D831*10^6)/D809)</f>
        <v>15149.438202247189</v>
      </c>
      <c r="E820" s="106">
        <f t="shared" ref="E820:F820" si="250">IF(E809=0,"",(E831*10^6)/E809)</f>
        <v>1261.8461538461538</v>
      </c>
      <c r="F820" s="106" t="str">
        <f t="shared" si="250"/>
        <v/>
      </c>
      <c r="G820" s="106" t="str">
        <f t="shared" ref="G820:L820" si="251">IF(G809=0,"",(G831*10^6)/G809)</f>
        <v/>
      </c>
      <c r="H820" s="106" t="str">
        <f t="shared" si="251"/>
        <v/>
      </c>
      <c r="I820" s="106" t="str">
        <f t="shared" si="251"/>
        <v/>
      </c>
      <c r="J820" s="106" t="str">
        <f t="shared" si="251"/>
        <v/>
      </c>
      <c r="K820" s="106" t="str">
        <f t="shared" si="251"/>
        <v/>
      </c>
      <c r="L820" s="106" t="str">
        <f t="shared" si="251"/>
        <v/>
      </c>
      <c r="M820" s="106" t="str">
        <f t="shared" ref="M820:N820" si="252">IF(M809=0,"",(M831*10^6)/M809)</f>
        <v/>
      </c>
      <c r="N820" s="106" t="str">
        <f t="shared" si="252"/>
        <v/>
      </c>
    </row>
    <row r="821" spans="2:21">
      <c r="C821" s="270"/>
      <c r="D821" s="270"/>
      <c r="E821" s="270"/>
      <c r="F821" s="324" t="s">
        <v>90</v>
      </c>
      <c r="G821" s="270"/>
      <c r="H821" s="270"/>
      <c r="I821" s="270"/>
      <c r="J821" s="270"/>
      <c r="K821" s="270"/>
      <c r="L821" s="270"/>
      <c r="M821" s="270"/>
      <c r="N821" s="270"/>
    </row>
    <row r="823" spans="2:21" ht="15.6">
      <c r="B823" s="111" t="s">
        <v>227</v>
      </c>
      <c r="C823" s="380">
        <v>2016</v>
      </c>
      <c r="D823" s="386">
        <v>2017</v>
      </c>
      <c r="E823" s="386">
        <v>2018</v>
      </c>
      <c r="F823" s="386">
        <v>2019</v>
      </c>
      <c r="G823" s="386">
        <v>2020</v>
      </c>
      <c r="H823" s="386">
        <v>2021</v>
      </c>
      <c r="I823" s="386">
        <v>2022</v>
      </c>
      <c r="J823" s="386">
        <v>2023</v>
      </c>
      <c r="K823" s="386">
        <v>2024</v>
      </c>
      <c r="L823" s="386">
        <v>2025</v>
      </c>
      <c r="M823" s="386">
        <v>2026</v>
      </c>
      <c r="N823" s="386">
        <v>2027</v>
      </c>
    </row>
    <row r="824" spans="2:21">
      <c r="B824" s="356" t="str">
        <f t="shared" ref="B824:B830" si="253">B802</f>
        <v>2x200 (400G-SR8)</v>
      </c>
      <c r="C824" s="158"/>
      <c r="D824" s="168"/>
      <c r="E824" s="168">
        <f>'Products x speed'!G257</f>
        <v>14.811999999999999</v>
      </c>
      <c r="F824" s="168"/>
      <c r="G824" s="168"/>
      <c r="H824" s="168"/>
      <c r="I824" s="168"/>
      <c r="J824" s="168"/>
      <c r="K824" s="168"/>
      <c r="L824" s="168"/>
      <c r="M824" s="168"/>
      <c r="N824" s="168"/>
    </row>
    <row r="825" spans="2:21" ht="15.6">
      <c r="B825" s="286" t="str">
        <f t="shared" si="253"/>
        <v>400G SR4.2</v>
      </c>
      <c r="C825" s="160"/>
      <c r="D825" s="170"/>
      <c r="E825" s="170">
        <f>'Products x speed'!G258</f>
        <v>0</v>
      </c>
      <c r="F825" s="170"/>
      <c r="G825" s="170"/>
      <c r="H825" s="170"/>
      <c r="I825" s="170"/>
      <c r="J825" s="170"/>
      <c r="K825" s="170"/>
      <c r="L825" s="170"/>
      <c r="M825" s="170"/>
      <c r="N825" s="170"/>
      <c r="U825" s="540"/>
    </row>
    <row r="826" spans="2:21" ht="15.6">
      <c r="B826" s="286" t="str">
        <f t="shared" si="253"/>
        <v>400G DR4</v>
      </c>
      <c r="C826" s="160"/>
      <c r="D826" s="170"/>
      <c r="E826" s="170">
        <f>'Products x speed'!G259</f>
        <v>2.2000000000000002</v>
      </c>
      <c r="F826" s="170"/>
      <c r="G826" s="170"/>
      <c r="H826" s="170"/>
      <c r="I826" s="170"/>
      <c r="J826" s="170"/>
      <c r="K826" s="170"/>
      <c r="L826" s="170"/>
      <c r="M826" s="170"/>
      <c r="N826" s="170"/>
      <c r="U826" s="540"/>
    </row>
    <row r="827" spans="2:21">
      <c r="B827" s="286" t="str">
        <f t="shared" si="253"/>
        <v>2x(200G FR4)</v>
      </c>
      <c r="C827" s="160"/>
      <c r="D827" s="170"/>
      <c r="E827" s="170">
        <f>'Products x speed'!G260</f>
        <v>22.2</v>
      </c>
      <c r="F827" s="170"/>
      <c r="G827" s="170"/>
      <c r="H827" s="170"/>
      <c r="I827" s="170"/>
      <c r="J827" s="170"/>
      <c r="K827" s="170"/>
      <c r="L827" s="170"/>
      <c r="M827" s="170"/>
      <c r="N827" s="170"/>
    </row>
    <row r="828" spans="2:21" ht="15.6">
      <c r="B828" s="286" t="str">
        <f t="shared" si="253"/>
        <v>400G FR4</v>
      </c>
      <c r="C828" s="160"/>
      <c r="D828" s="170">
        <f>'Products x speed'!F261</f>
        <v>8.1299999999999997E-2</v>
      </c>
      <c r="E828" s="170">
        <f>'Products x speed'!G261</f>
        <v>2</v>
      </c>
      <c r="F828" s="170"/>
      <c r="G828" s="170"/>
      <c r="H828" s="170"/>
      <c r="I828" s="170"/>
      <c r="J828" s="170"/>
      <c r="K828" s="170"/>
      <c r="L828" s="170"/>
      <c r="M828" s="170"/>
      <c r="N828" s="170"/>
      <c r="U828" s="542"/>
    </row>
    <row r="829" spans="2:21">
      <c r="B829" s="286" t="str">
        <f t="shared" si="253"/>
        <v>400G LR8, LR4</v>
      </c>
      <c r="C829" s="160"/>
      <c r="D829" s="170">
        <f>'Products x speed'!F262</f>
        <v>1.2669999999999999</v>
      </c>
      <c r="E829" s="170">
        <f>'Products x speed'!G262</f>
        <v>8</v>
      </c>
      <c r="F829" s="170"/>
      <c r="G829" s="170"/>
      <c r="H829" s="170"/>
      <c r="I829" s="170"/>
      <c r="J829" s="170"/>
      <c r="K829" s="170"/>
      <c r="L829" s="170"/>
      <c r="M829" s="170"/>
      <c r="N829" s="170"/>
    </row>
    <row r="830" spans="2:21">
      <c r="B830" s="372" t="str">
        <f t="shared" si="253"/>
        <v>400G ER4</v>
      </c>
      <c r="C830" s="162"/>
      <c r="D830" s="166">
        <f>'Products x speed'!F263</f>
        <v>0</v>
      </c>
      <c r="E830" s="166">
        <f>'Products x speed'!G263</f>
        <v>0</v>
      </c>
      <c r="F830" s="166"/>
      <c r="G830" s="166"/>
      <c r="H830" s="166"/>
      <c r="I830" s="166"/>
      <c r="J830" s="166"/>
      <c r="K830" s="166"/>
      <c r="L830" s="166"/>
      <c r="M830" s="166"/>
      <c r="N830" s="166"/>
    </row>
    <row r="831" spans="2:21">
      <c r="B831" s="271" t="str">
        <f>$B$809</f>
        <v>Total</v>
      </c>
      <c r="C831" s="164"/>
      <c r="D831" s="106">
        <f t="shared" ref="D831:E831" si="254">SUM(D824:D830)</f>
        <v>1.3482999999999998</v>
      </c>
      <c r="E831" s="106">
        <f t="shared" si="254"/>
        <v>49.212000000000003</v>
      </c>
      <c r="F831" s="106"/>
      <c r="G831" s="106"/>
      <c r="H831" s="106"/>
      <c r="I831" s="106"/>
      <c r="J831" s="106"/>
      <c r="K831" s="106"/>
      <c r="L831" s="106"/>
      <c r="M831" s="106"/>
      <c r="N831" s="106"/>
    </row>
    <row r="832" spans="2:21">
      <c r="C832" s="270"/>
      <c r="D832" s="270"/>
      <c r="E832" s="270"/>
      <c r="F832" s="324"/>
      <c r="G832" s="270"/>
      <c r="H832" s="270"/>
      <c r="I832" s="270"/>
      <c r="J832" s="270"/>
      <c r="K832" s="270"/>
      <c r="L832" s="270"/>
      <c r="M832" s="270"/>
      <c r="N832" s="270"/>
    </row>
    <row r="835" spans="2:15" ht="21">
      <c r="B835" s="148" t="s">
        <v>418</v>
      </c>
    </row>
    <row r="836" spans="2:15" ht="21">
      <c r="B836" s="300" t="s">
        <v>22</v>
      </c>
      <c r="G836" s="300" t="s">
        <v>21</v>
      </c>
      <c r="O836" s="300" t="s">
        <v>15</v>
      </c>
    </row>
    <row r="840" spans="2:15" ht="16.5" customHeight="1"/>
    <row r="857" spans="2:21" s="291" customFormat="1" ht="15.6">
      <c r="B857" s="640" t="s">
        <v>419</v>
      </c>
      <c r="C857" s="380">
        <v>2016</v>
      </c>
      <c r="D857" s="386">
        <v>2017</v>
      </c>
      <c r="E857" s="386">
        <v>2018</v>
      </c>
      <c r="F857" s="386">
        <v>2019</v>
      </c>
      <c r="G857" s="386">
        <v>2020</v>
      </c>
      <c r="H857" s="386">
        <v>2021</v>
      </c>
      <c r="I857" s="386">
        <v>2022</v>
      </c>
      <c r="J857" s="386">
        <v>2023</v>
      </c>
      <c r="K857" s="386">
        <v>2024</v>
      </c>
      <c r="L857" s="386">
        <v>2025</v>
      </c>
      <c r="M857" s="386">
        <v>2026</v>
      </c>
      <c r="N857" s="386">
        <v>2027</v>
      </c>
    </row>
    <row r="858" spans="2:21" s="291" customFormat="1" ht="15.6">
      <c r="B858" s="641" t="str">
        <f>Telecom!Q72</f>
        <v>800G SR8_50 m_OSFP, QSFP-DD800</v>
      </c>
      <c r="C858" s="159"/>
      <c r="D858" s="159"/>
      <c r="E858" s="159"/>
      <c r="F858" s="159"/>
      <c r="G858" s="159"/>
      <c r="H858" s="159"/>
      <c r="I858" s="159"/>
      <c r="J858" s="159"/>
      <c r="K858" s="159"/>
      <c r="L858" s="159"/>
      <c r="M858" s="159"/>
      <c r="N858" s="159"/>
      <c r="U858" s="540"/>
    </row>
    <row r="859" spans="2:21" s="291" customFormat="1" ht="15.6">
      <c r="B859" s="373" t="str">
        <f>Telecom!Q73</f>
        <v>800G DR8, DR4_500 m_OSFP, QSFP-DD800</v>
      </c>
      <c r="C859" s="161"/>
      <c r="D859" s="161"/>
      <c r="E859" s="161"/>
      <c r="F859" s="161"/>
      <c r="G859" s="161"/>
      <c r="H859" s="161"/>
      <c r="I859" s="161"/>
      <c r="J859" s="161"/>
      <c r="K859" s="161"/>
      <c r="L859" s="161"/>
      <c r="M859" s="161"/>
      <c r="N859" s="161"/>
      <c r="U859" s="540"/>
    </row>
    <row r="860" spans="2:21" s="291" customFormat="1" ht="15.6">
      <c r="B860" s="373" t="str">
        <f>Telecom!Q74</f>
        <v>2x(400G FR4), 800G FR4_2 km_OSFP, QSFP-DD800</v>
      </c>
      <c r="C860" s="161"/>
      <c r="D860" s="161"/>
      <c r="E860" s="161"/>
      <c r="F860" s="161"/>
      <c r="G860" s="161"/>
      <c r="H860" s="161"/>
      <c r="I860" s="161"/>
      <c r="J860" s="161"/>
      <c r="K860" s="161"/>
      <c r="L860" s="161"/>
      <c r="M860" s="161"/>
      <c r="N860" s="161"/>
      <c r="U860" s="542"/>
    </row>
    <row r="861" spans="2:21" s="291" customFormat="1" ht="15.6">
      <c r="B861" s="373" t="str">
        <f>Telecom!Q75</f>
        <v>800G LR8, LR4_6, 10 km_TBD</v>
      </c>
      <c r="C861" s="161"/>
      <c r="D861" s="161"/>
      <c r="E861" s="161"/>
      <c r="F861" s="161"/>
      <c r="G861" s="161"/>
      <c r="H861" s="161"/>
      <c r="I861" s="161"/>
      <c r="J861" s="161"/>
      <c r="K861" s="161"/>
      <c r="L861" s="161"/>
      <c r="M861" s="161"/>
      <c r="N861" s="161"/>
      <c r="U861" s="542"/>
    </row>
    <row r="862" spans="2:21" s="291" customFormat="1" ht="15.6">
      <c r="B862" s="373" t="str">
        <f>Telecom!Q76</f>
        <v>800G ZRlite_10 km, 20 km_TBD</v>
      </c>
      <c r="C862" s="161"/>
      <c r="D862" s="161"/>
      <c r="E862" s="161"/>
      <c r="F862" s="161"/>
      <c r="G862" s="161"/>
      <c r="H862" s="161"/>
      <c r="I862" s="161"/>
      <c r="J862" s="161"/>
      <c r="K862" s="161"/>
      <c r="L862" s="161"/>
      <c r="M862" s="161"/>
      <c r="N862" s="161"/>
      <c r="U862" s="542"/>
    </row>
    <row r="863" spans="2:21" s="291" customFormat="1" ht="15.6">
      <c r="B863" s="373" t="str">
        <f>Telecom!Q77</f>
        <v>800G ER4_40 km_TBD</v>
      </c>
      <c r="C863" s="161"/>
      <c r="D863" s="161"/>
      <c r="E863" s="161"/>
      <c r="F863" s="161"/>
      <c r="G863" s="161"/>
      <c r="H863" s="161"/>
      <c r="I863" s="161"/>
      <c r="J863" s="161"/>
      <c r="K863" s="161"/>
      <c r="L863" s="161"/>
      <c r="M863" s="161"/>
      <c r="N863" s="161"/>
      <c r="U863" s="542"/>
    </row>
    <row r="864" spans="2:21" s="291" customFormat="1">
      <c r="B864" s="380" t="s">
        <v>13</v>
      </c>
      <c r="C864" s="164"/>
      <c r="D864" s="165"/>
      <c r="E864" s="165"/>
      <c r="F864" s="165"/>
      <c r="G864" s="165"/>
      <c r="H864" s="165"/>
      <c r="I864" s="165"/>
      <c r="J864" s="165"/>
      <c r="K864" s="165"/>
      <c r="L864" s="165"/>
      <c r="M864" s="165"/>
      <c r="N864" s="165"/>
    </row>
    <row r="865" spans="2:21" s="291" customFormat="1">
      <c r="C865" s="293"/>
      <c r="D865" s="293"/>
      <c r="E865" s="293"/>
      <c r="F865" s="642" t="s">
        <v>90</v>
      </c>
      <c r="G865" s="293"/>
      <c r="H865" s="293"/>
      <c r="I865" s="293"/>
      <c r="J865" s="293"/>
      <c r="K865" s="293"/>
      <c r="L865" s="293"/>
      <c r="M865" s="293"/>
      <c r="N865" s="293"/>
    </row>
    <row r="866" spans="2:21" s="291" customFormat="1"/>
    <row r="867" spans="2:21" s="291" customFormat="1" ht="15.6">
      <c r="B867" s="640" t="s">
        <v>420</v>
      </c>
      <c r="C867" s="380">
        <v>2016</v>
      </c>
      <c r="D867" s="386">
        <v>2017</v>
      </c>
      <c r="E867" s="386">
        <v>2018</v>
      </c>
      <c r="F867" s="386">
        <v>2019</v>
      </c>
      <c r="G867" s="386">
        <v>2020</v>
      </c>
      <c r="H867" s="386">
        <v>2021</v>
      </c>
      <c r="I867" s="386">
        <v>2022</v>
      </c>
      <c r="J867" s="386">
        <v>2023</v>
      </c>
      <c r="K867" s="386">
        <v>2024</v>
      </c>
      <c r="L867" s="386">
        <v>2025</v>
      </c>
      <c r="M867" s="386">
        <v>2026</v>
      </c>
      <c r="N867" s="386">
        <v>2027</v>
      </c>
    </row>
    <row r="868" spans="2:21" s="291" customFormat="1">
      <c r="B868" s="643" t="str">
        <f>B858</f>
        <v>800G SR8_50 m_OSFP, QSFP-DD800</v>
      </c>
      <c r="C868" s="159"/>
      <c r="D868" s="168"/>
      <c r="E868" s="168"/>
      <c r="F868" s="168"/>
      <c r="G868" s="168"/>
      <c r="H868" s="168" t="str">
        <f t="shared" ref="H868:M874" si="255">IF(H858=0,"",(H878*10^6)/H858)</f>
        <v/>
      </c>
      <c r="I868" s="168" t="str">
        <f t="shared" si="255"/>
        <v/>
      </c>
      <c r="J868" s="168" t="str">
        <f t="shared" si="255"/>
        <v/>
      </c>
      <c r="K868" s="168" t="str">
        <f t="shared" si="255"/>
        <v/>
      </c>
      <c r="L868" s="168" t="str">
        <f t="shared" si="255"/>
        <v/>
      </c>
      <c r="M868" s="168" t="str">
        <f t="shared" si="255"/>
        <v/>
      </c>
      <c r="N868" s="168" t="str">
        <f t="shared" ref="N868" si="256">IF(N858=0,"",(N878*10^6)/N858)</f>
        <v/>
      </c>
    </row>
    <row r="869" spans="2:21" s="291" customFormat="1">
      <c r="B869" s="373" t="str">
        <f>B859</f>
        <v>800G DR8, DR4_500 m_OSFP, QSFP-DD800</v>
      </c>
      <c r="C869" s="161"/>
      <c r="D869" s="170"/>
      <c r="E869" s="170"/>
      <c r="F869" s="170"/>
      <c r="G869" s="170"/>
      <c r="H869" s="170" t="str">
        <f t="shared" si="255"/>
        <v/>
      </c>
      <c r="I869" s="170" t="str">
        <f t="shared" si="255"/>
        <v/>
      </c>
      <c r="J869" s="170" t="str">
        <f t="shared" si="255"/>
        <v/>
      </c>
      <c r="K869" s="170" t="str">
        <f t="shared" si="255"/>
        <v/>
      </c>
      <c r="L869" s="170" t="str">
        <f t="shared" si="255"/>
        <v/>
      </c>
      <c r="M869" s="170" t="str">
        <f t="shared" si="255"/>
        <v/>
      </c>
      <c r="N869" s="170" t="str">
        <f t="shared" ref="N869" si="257">IF(N859=0,"",(N879*10^6)/N859)</f>
        <v/>
      </c>
    </row>
    <row r="870" spans="2:21" s="291" customFormat="1">
      <c r="B870" s="373" t="str">
        <f t="shared" ref="B870:B873" si="258">B860</f>
        <v>2x(400G FR4), 800G FR4_2 km_OSFP, QSFP-DD800</v>
      </c>
      <c r="C870" s="161"/>
      <c r="D870" s="170"/>
      <c r="E870" s="170"/>
      <c r="F870" s="170"/>
      <c r="G870" s="170"/>
      <c r="H870" s="170" t="str">
        <f t="shared" si="255"/>
        <v/>
      </c>
      <c r="I870" s="170" t="str">
        <f t="shared" si="255"/>
        <v/>
      </c>
      <c r="J870" s="170" t="str">
        <f t="shared" si="255"/>
        <v/>
      </c>
      <c r="K870" s="170" t="str">
        <f t="shared" si="255"/>
        <v/>
      </c>
      <c r="L870" s="170" t="str">
        <f t="shared" si="255"/>
        <v/>
      </c>
      <c r="M870" s="170" t="str">
        <f t="shared" si="255"/>
        <v/>
      </c>
      <c r="N870" s="170" t="str">
        <f t="shared" ref="N870" si="259">IF(N860=0,"",(N880*10^6)/N860)</f>
        <v/>
      </c>
    </row>
    <row r="871" spans="2:21" s="291" customFormat="1">
      <c r="B871" s="373" t="str">
        <f t="shared" si="258"/>
        <v>800G LR8, LR4_6, 10 km_TBD</v>
      </c>
      <c r="C871" s="161"/>
      <c r="D871" s="170"/>
      <c r="E871" s="170"/>
      <c r="F871" s="170"/>
      <c r="G871" s="170"/>
      <c r="H871" s="170"/>
      <c r="I871" s="170" t="str">
        <f t="shared" si="255"/>
        <v/>
      </c>
      <c r="J871" s="170" t="str">
        <f t="shared" si="255"/>
        <v/>
      </c>
      <c r="K871" s="170" t="str">
        <f t="shared" si="255"/>
        <v/>
      </c>
      <c r="L871" s="170" t="str">
        <f t="shared" si="255"/>
        <v/>
      </c>
      <c r="M871" s="170" t="str">
        <f t="shared" si="255"/>
        <v/>
      </c>
      <c r="N871" s="170" t="str">
        <f t="shared" ref="N871" si="260">IF(N861=0,"",(N881*10^6)/N861)</f>
        <v/>
      </c>
    </row>
    <row r="872" spans="2:21" s="291" customFormat="1">
      <c r="B872" s="373" t="str">
        <f t="shared" si="258"/>
        <v>800G ZRlite_10 km, 20 km_TBD</v>
      </c>
      <c r="C872" s="161"/>
      <c r="D872" s="170"/>
      <c r="E872" s="170"/>
      <c r="F872" s="170"/>
      <c r="G872" s="170"/>
      <c r="H872" s="170"/>
      <c r="I872" s="170"/>
      <c r="J872" s="170" t="str">
        <f t="shared" si="255"/>
        <v/>
      </c>
      <c r="K872" s="170" t="str">
        <f t="shared" si="255"/>
        <v/>
      </c>
      <c r="L872" s="170" t="str">
        <f t="shared" si="255"/>
        <v/>
      </c>
      <c r="M872" s="170" t="str">
        <f t="shared" si="255"/>
        <v/>
      </c>
      <c r="N872" s="170" t="str">
        <f t="shared" ref="N872" si="261">IF(N862=0,"",(N882*10^6)/N862)</f>
        <v/>
      </c>
    </row>
    <row r="873" spans="2:21" s="291" customFormat="1">
      <c r="B873" s="373" t="str">
        <f t="shared" si="258"/>
        <v>800G ER4_40 km_TBD</v>
      </c>
      <c r="C873" s="161"/>
      <c r="D873" s="170"/>
      <c r="E873" s="170"/>
      <c r="F873" s="170"/>
      <c r="G873" s="170"/>
      <c r="H873" s="170" t="str">
        <f t="shared" si="255"/>
        <v/>
      </c>
      <c r="I873" s="170" t="str">
        <f t="shared" si="255"/>
        <v/>
      </c>
      <c r="J873" s="170"/>
      <c r="K873" s="170"/>
      <c r="L873" s="170" t="str">
        <f t="shared" si="255"/>
        <v/>
      </c>
      <c r="M873" s="170" t="str">
        <f t="shared" si="255"/>
        <v/>
      </c>
      <c r="N873" s="170" t="str">
        <f t="shared" ref="N873" si="262">IF(N863=0,"",(N883*10^6)/N863)</f>
        <v/>
      </c>
    </row>
    <row r="874" spans="2:21" s="291" customFormat="1">
      <c r="B874" s="380" t="str">
        <f>$B$809</f>
        <v>Total</v>
      </c>
      <c r="C874" s="164"/>
      <c r="D874" s="106" t="str">
        <f>IF(D864=0,"",(D884*10^6)/D864)</f>
        <v/>
      </c>
      <c r="E874" s="106" t="str">
        <f>IF(E864=0,"",(E884*10^6)/E864)</f>
        <v/>
      </c>
      <c r="F874" s="106" t="str">
        <f>IF(F864=0,"",(F884*10^6)/F864)</f>
        <v/>
      </c>
      <c r="G874" s="106" t="str">
        <f>IF(G864=0,"",(G884*10^6)/G864)</f>
        <v/>
      </c>
      <c r="H874" s="106" t="str">
        <f t="shared" si="255"/>
        <v/>
      </c>
      <c r="I874" s="106" t="str">
        <f t="shared" si="255"/>
        <v/>
      </c>
      <c r="J874" s="106" t="str">
        <f t="shared" si="255"/>
        <v/>
      </c>
      <c r="K874" s="106" t="str">
        <f t="shared" si="255"/>
        <v/>
      </c>
      <c r="L874" s="106" t="str">
        <f t="shared" si="255"/>
        <v/>
      </c>
      <c r="M874" s="106" t="str">
        <f t="shared" si="255"/>
        <v/>
      </c>
      <c r="N874" s="106" t="str">
        <f t="shared" ref="N874" si="263">IF(N864=0,"",(N884*10^6)/N864)</f>
        <v/>
      </c>
    </row>
    <row r="875" spans="2:21" s="291" customFormat="1">
      <c r="C875" s="293"/>
      <c r="D875" s="293"/>
      <c r="E875" s="293"/>
      <c r="F875" s="642" t="s">
        <v>90</v>
      </c>
      <c r="G875" s="293"/>
      <c r="H875" s="293"/>
      <c r="I875" s="293"/>
      <c r="J875" s="293"/>
      <c r="K875" s="293"/>
      <c r="L875" s="293"/>
      <c r="M875" s="293"/>
      <c r="N875" s="293"/>
    </row>
    <row r="876" spans="2:21" s="291" customFormat="1"/>
    <row r="877" spans="2:21" s="291" customFormat="1" ht="15.6">
      <c r="B877" s="640" t="s">
        <v>421</v>
      </c>
      <c r="C877" s="380">
        <v>2016</v>
      </c>
      <c r="D877" s="386">
        <v>2017</v>
      </c>
      <c r="E877" s="386">
        <v>2018</v>
      </c>
      <c r="F877" s="386">
        <v>2019</v>
      </c>
      <c r="G877" s="386">
        <v>2020</v>
      </c>
      <c r="H877" s="386">
        <v>2021</v>
      </c>
      <c r="I877" s="386">
        <v>2022</v>
      </c>
      <c r="J877" s="386">
        <v>2023</v>
      </c>
      <c r="K877" s="386">
        <v>2024</v>
      </c>
      <c r="L877" s="386">
        <v>2025</v>
      </c>
      <c r="M877" s="386">
        <v>2026</v>
      </c>
      <c r="N877" s="386">
        <v>2027</v>
      </c>
    </row>
    <row r="878" spans="2:21" s="291" customFormat="1" ht="15.6">
      <c r="B878" s="643" t="str">
        <f t="shared" ref="B878:B883" si="264">B858</f>
        <v>800G SR8_50 m_OSFP, QSFP-DD800</v>
      </c>
      <c r="C878" s="159"/>
      <c r="D878" s="168"/>
      <c r="E878" s="168"/>
      <c r="F878" s="168"/>
      <c r="G878" s="168"/>
      <c r="H878" s="168"/>
      <c r="I878" s="168"/>
      <c r="J878" s="168"/>
      <c r="K878" s="168"/>
      <c r="L878" s="168"/>
      <c r="M878" s="168"/>
      <c r="N878" s="168"/>
      <c r="U878" s="540"/>
    </row>
    <row r="879" spans="2:21" s="291" customFormat="1" ht="15.6">
      <c r="B879" s="373" t="str">
        <f t="shared" si="264"/>
        <v>800G DR8, DR4_500 m_OSFP, QSFP-DD800</v>
      </c>
      <c r="C879" s="161"/>
      <c r="D879" s="170"/>
      <c r="E879" s="170"/>
      <c r="F879" s="170"/>
      <c r="G879" s="170"/>
      <c r="H879" s="170"/>
      <c r="I879" s="170"/>
      <c r="J879" s="170"/>
      <c r="K879" s="170"/>
      <c r="L879" s="170"/>
      <c r="M879" s="170"/>
      <c r="N879" s="170"/>
      <c r="U879" s="540"/>
    </row>
    <row r="880" spans="2:21" s="291" customFormat="1" ht="15.6">
      <c r="B880" s="373" t="str">
        <f t="shared" si="264"/>
        <v>2x(400G FR4), 800G FR4_2 km_OSFP, QSFP-DD800</v>
      </c>
      <c r="C880" s="161"/>
      <c r="D880" s="170"/>
      <c r="E880" s="170"/>
      <c r="F880" s="170"/>
      <c r="G880" s="170"/>
      <c r="H880" s="170"/>
      <c r="I880" s="170"/>
      <c r="J880" s="170"/>
      <c r="K880" s="170"/>
      <c r="L880" s="170"/>
      <c r="M880" s="170"/>
      <c r="N880" s="170"/>
      <c r="U880" s="542"/>
    </row>
    <row r="881" spans="2:21" s="291" customFormat="1" ht="15.6">
      <c r="B881" s="373" t="str">
        <f t="shared" si="264"/>
        <v>800G LR8, LR4_6, 10 km_TBD</v>
      </c>
      <c r="C881" s="161"/>
      <c r="D881" s="170"/>
      <c r="E881" s="170"/>
      <c r="F881" s="170"/>
      <c r="G881" s="170"/>
      <c r="H881" s="170"/>
      <c r="I881" s="170"/>
      <c r="J881" s="170"/>
      <c r="K881" s="170"/>
      <c r="L881" s="170"/>
      <c r="M881" s="170"/>
      <c r="N881" s="170"/>
      <c r="U881" s="542"/>
    </row>
    <row r="882" spans="2:21" s="291" customFormat="1" ht="15.6">
      <c r="B882" s="373" t="str">
        <f t="shared" si="264"/>
        <v>800G ZRlite_10 km, 20 km_TBD</v>
      </c>
      <c r="C882" s="161"/>
      <c r="D882" s="170"/>
      <c r="E882" s="170"/>
      <c r="F882" s="170"/>
      <c r="G882" s="170"/>
      <c r="H882" s="170"/>
      <c r="I882" s="170"/>
      <c r="J882" s="170"/>
      <c r="K882" s="170"/>
      <c r="L882" s="170"/>
      <c r="M882" s="170"/>
      <c r="N882" s="170"/>
      <c r="U882" s="542"/>
    </row>
    <row r="883" spans="2:21" s="291" customFormat="1" ht="15.6">
      <c r="B883" s="373" t="str">
        <f t="shared" si="264"/>
        <v>800G ER4_40 km_TBD</v>
      </c>
      <c r="C883" s="161"/>
      <c r="D883" s="170"/>
      <c r="E883" s="170"/>
      <c r="F883" s="170"/>
      <c r="G883" s="170"/>
      <c r="H883" s="170"/>
      <c r="I883" s="170"/>
      <c r="J883" s="170"/>
      <c r="K883" s="170"/>
      <c r="L883" s="170"/>
      <c r="M883" s="170"/>
      <c r="N883" s="170"/>
      <c r="U883" s="542"/>
    </row>
    <row r="884" spans="2:21" s="291" customFormat="1">
      <c r="B884" s="380" t="str">
        <f>$B$809</f>
        <v>Total</v>
      </c>
      <c r="C884" s="164"/>
      <c r="D884" s="644">
        <f t="shared" ref="D884" si="265">SUM(D878:D883)</f>
        <v>0</v>
      </c>
      <c r="E884" s="106"/>
      <c r="F884" s="106"/>
      <c r="G884" s="106"/>
      <c r="H884" s="106"/>
      <c r="I884" s="106"/>
      <c r="J884" s="106"/>
      <c r="K884" s="106"/>
      <c r="L884" s="106"/>
      <c r="M884" s="106"/>
      <c r="N884" s="106"/>
    </row>
    <row r="885" spans="2:21" s="291" customFormat="1"/>
    <row r="887" spans="2:21" ht="21">
      <c r="B887" s="148" t="s">
        <v>474</v>
      </c>
    </row>
    <row r="888" spans="2:21" ht="21">
      <c r="B888" s="300" t="s">
        <v>22</v>
      </c>
      <c r="G888" s="300" t="s">
        <v>21</v>
      </c>
      <c r="O888" s="300" t="s">
        <v>15</v>
      </c>
    </row>
    <row r="892" spans="2:21" ht="16.5" customHeight="1"/>
    <row r="909" spans="2:21" s="291" customFormat="1" ht="15.6">
      <c r="B909" s="640" t="s">
        <v>475</v>
      </c>
      <c r="C909" s="380">
        <v>2016</v>
      </c>
      <c r="D909" s="386">
        <v>2017</v>
      </c>
      <c r="E909" s="386">
        <v>2018</v>
      </c>
      <c r="F909" s="386">
        <v>2019</v>
      </c>
      <c r="G909" s="386">
        <v>2020</v>
      </c>
      <c r="H909" s="386">
        <v>2021</v>
      </c>
      <c r="I909" s="386">
        <v>2022</v>
      </c>
      <c r="J909" s="386">
        <v>2023</v>
      </c>
      <c r="K909" s="386">
        <v>2024</v>
      </c>
      <c r="L909" s="386">
        <v>2025</v>
      </c>
      <c r="M909" s="386">
        <v>2026</v>
      </c>
      <c r="N909" s="386">
        <v>2027</v>
      </c>
    </row>
    <row r="910" spans="2:21" s="291" customFormat="1" ht="15.6">
      <c r="B910" s="641" t="str">
        <f>Telecom!Q78</f>
        <v>1.6T SR16_100 m_OSFP-XD and TBD</v>
      </c>
      <c r="C910" s="159"/>
      <c r="D910" s="159"/>
      <c r="E910" s="159"/>
      <c r="F910" s="159"/>
      <c r="G910" s="159"/>
      <c r="H910" s="159"/>
      <c r="I910" s="159"/>
      <c r="J910" s="159"/>
      <c r="K910" s="159"/>
      <c r="L910" s="159"/>
      <c r="M910" s="159"/>
      <c r="N910" s="159"/>
      <c r="U910" s="540"/>
    </row>
    <row r="911" spans="2:21" s="291" customFormat="1" ht="15.6">
      <c r="B911" s="373" t="str">
        <f>Telecom!Q79</f>
        <v>1.6T DR8_500 m_OSFP-XD and TBD</v>
      </c>
      <c r="C911" s="161"/>
      <c r="D911" s="161"/>
      <c r="E911" s="161"/>
      <c r="F911" s="161"/>
      <c r="G911" s="161"/>
      <c r="H911" s="161"/>
      <c r="I911" s="161"/>
      <c r="J911" s="161"/>
      <c r="K911" s="161"/>
      <c r="L911" s="161"/>
      <c r="M911" s="161"/>
      <c r="N911" s="161"/>
      <c r="U911" s="540"/>
    </row>
    <row r="912" spans="2:21" s="291" customFormat="1" ht="15.6">
      <c r="B912" s="373" t="str">
        <f>Telecom!Q80</f>
        <v>1.6T FR8_2 km_OSFP-XD and TBD</v>
      </c>
      <c r="C912" s="161"/>
      <c r="D912" s="161"/>
      <c r="E912" s="161"/>
      <c r="F912" s="161"/>
      <c r="G912" s="161"/>
      <c r="H912" s="161"/>
      <c r="I912" s="161"/>
      <c r="J912" s="161"/>
      <c r="K912" s="161"/>
      <c r="L912" s="161"/>
      <c r="M912" s="161"/>
      <c r="N912" s="161"/>
      <c r="U912" s="542"/>
    </row>
    <row r="913" spans="2:21" s="291" customFormat="1">
      <c r="B913" s="380" t="s">
        <v>13</v>
      </c>
      <c r="C913" s="164"/>
      <c r="D913" s="165">
        <f t="shared" ref="D913:M913" si="266">SUM(D910:D912)</f>
        <v>0</v>
      </c>
      <c r="E913" s="165">
        <f t="shared" si="266"/>
        <v>0</v>
      </c>
      <c r="F913" s="165">
        <f t="shared" si="266"/>
        <v>0</v>
      </c>
      <c r="G913" s="165">
        <f t="shared" si="266"/>
        <v>0</v>
      </c>
      <c r="H913" s="165">
        <f t="shared" si="266"/>
        <v>0</v>
      </c>
      <c r="I913" s="165">
        <f t="shared" si="266"/>
        <v>0</v>
      </c>
      <c r="J913" s="165">
        <f t="shared" si="266"/>
        <v>0</v>
      </c>
      <c r="K913" s="165">
        <f t="shared" si="266"/>
        <v>0</v>
      </c>
      <c r="L913" s="165">
        <f t="shared" si="266"/>
        <v>0</v>
      </c>
      <c r="M913" s="165">
        <f t="shared" si="266"/>
        <v>0</v>
      </c>
      <c r="N913" s="165">
        <f t="shared" ref="N913" si="267">SUM(N910:N912)</f>
        <v>0</v>
      </c>
    </row>
    <row r="914" spans="2:21" s="291" customFormat="1">
      <c r="C914" s="293"/>
      <c r="D914" s="293"/>
      <c r="E914" s="293"/>
      <c r="F914" s="642" t="s">
        <v>90</v>
      </c>
      <c r="G914" s="293"/>
      <c r="H914" s="293"/>
      <c r="I914" s="293"/>
      <c r="J914" s="293"/>
      <c r="K914" s="293"/>
      <c r="L914" s="293"/>
      <c r="M914" s="293"/>
      <c r="N914" s="293"/>
    </row>
    <row r="915" spans="2:21" s="291" customFormat="1"/>
    <row r="916" spans="2:21" s="291" customFormat="1" ht="15.6">
      <c r="B916" s="640" t="s">
        <v>476</v>
      </c>
      <c r="C916" s="380">
        <v>2016</v>
      </c>
      <c r="D916" s="386">
        <v>2017</v>
      </c>
      <c r="E916" s="386">
        <v>2018</v>
      </c>
      <c r="F916" s="386">
        <v>2019</v>
      </c>
      <c r="G916" s="386">
        <v>2020</v>
      </c>
      <c r="H916" s="386">
        <v>2021</v>
      </c>
      <c r="I916" s="386">
        <v>2022</v>
      </c>
      <c r="J916" s="386">
        <v>2023</v>
      </c>
      <c r="K916" s="386">
        <v>2024</v>
      </c>
      <c r="L916" s="386">
        <v>2025</v>
      </c>
      <c r="M916" s="386">
        <v>2026</v>
      </c>
      <c r="N916" s="386">
        <v>2027</v>
      </c>
    </row>
    <row r="917" spans="2:21" s="291" customFormat="1">
      <c r="B917" s="643" t="str">
        <f>B910</f>
        <v>1.6T SR16_100 m_OSFP-XD and TBD</v>
      </c>
      <c r="C917" s="159"/>
      <c r="D917" s="168"/>
      <c r="E917" s="168"/>
      <c r="F917" s="168"/>
      <c r="G917" s="168"/>
      <c r="H917" s="168"/>
      <c r="I917" s="168"/>
      <c r="J917" s="168"/>
      <c r="K917" s="168" t="str">
        <f t="shared" ref="K917:M920" si="268">IF(K910=0,"",(K924*10^6)/K910)</f>
        <v/>
      </c>
      <c r="L917" s="168" t="str">
        <f t="shared" si="268"/>
        <v/>
      </c>
      <c r="M917" s="168" t="str">
        <f t="shared" si="268"/>
        <v/>
      </c>
      <c r="N917" s="168" t="str">
        <f t="shared" ref="N917" si="269">IF(N910=0,"",(N924*10^6)/N910)</f>
        <v/>
      </c>
    </row>
    <row r="918" spans="2:21" s="291" customFormat="1">
      <c r="B918" s="373" t="str">
        <f>B911</f>
        <v>1.6T DR8_500 m_OSFP-XD and TBD</v>
      </c>
      <c r="C918" s="161"/>
      <c r="D918" s="170"/>
      <c r="E918" s="170"/>
      <c r="F918" s="170"/>
      <c r="G918" s="170"/>
      <c r="H918" s="170"/>
      <c r="I918" s="170"/>
      <c r="J918" s="170"/>
      <c r="K918" s="170" t="str">
        <f t="shared" si="268"/>
        <v/>
      </c>
      <c r="L918" s="170" t="str">
        <f t="shared" si="268"/>
        <v/>
      </c>
      <c r="M918" s="170" t="str">
        <f t="shared" si="268"/>
        <v/>
      </c>
      <c r="N918" s="170" t="str">
        <f t="shared" ref="N918" si="270">IF(N911=0,"",(N925*10^6)/N911)</f>
        <v/>
      </c>
    </row>
    <row r="919" spans="2:21" s="291" customFormat="1">
      <c r="B919" s="373" t="str">
        <f>B912</f>
        <v>1.6T FR8_2 km_OSFP-XD and TBD</v>
      </c>
      <c r="C919" s="161"/>
      <c r="D919" s="170"/>
      <c r="E919" s="170"/>
      <c r="F919" s="170"/>
      <c r="G919" s="170"/>
      <c r="H919" s="170"/>
      <c r="I919" s="170"/>
      <c r="J919" s="170"/>
      <c r="K919" s="170" t="str">
        <f t="shared" si="268"/>
        <v/>
      </c>
      <c r="L919" s="170" t="str">
        <f t="shared" si="268"/>
        <v/>
      </c>
      <c r="M919" s="170" t="str">
        <f t="shared" si="268"/>
        <v/>
      </c>
      <c r="N919" s="170" t="str">
        <f t="shared" ref="N919" si="271">IF(N912=0,"",(N926*10^6)/N912)</f>
        <v/>
      </c>
    </row>
    <row r="920" spans="2:21" s="291" customFormat="1">
      <c r="B920" s="380" t="str">
        <f>$B$809</f>
        <v>Total</v>
      </c>
      <c r="C920" s="164"/>
      <c r="D920" s="106" t="str">
        <f>IF(D913=0,"",(D927*10^6)/D913)</f>
        <v/>
      </c>
      <c r="E920" s="106" t="str">
        <f>IF(E913=0,"",(E927*10^6)/E913)</f>
        <v/>
      </c>
      <c r="F920" s="106" t="str">
        <f>IF(F913=0,"",(F927*10^6)/F913)</f>
        <v/>
      </c>
      <c r="G920" s="106" t="str">
        <f>IF(G913=0,"",(G927*10^6)/G913)</f>
        <v/>
      </c>
      <c r="H920" s="106"/>
      <c r="I920" s="106"/>
      <c r="J920" s="106"/>
      <c r="K920" s="106" t="str">
        <f t="shared" si="268"/>
        <v/>
      </c>
      <c r="L920" s="106" t="str">
        <f t="shared" si="268"/>
        <v/>
      </c>
      <c r="M920" s="106" t="str">
        <f t="shared" si="268"/>
        <v/>
      </c>
      <c r="N920" s="106" t="str">
        <f t="shared" ref="N920" si="272">IF(N913=0,"",(N927*10^6)/N913)</f>
        <v/>
      </c>
    </row>
    <row r="921" spans="2:21" s="291" customFormat="1">
      <c r="C921" s="293"/>
      <c r="D921" s="293"/>
      <c r="E921" s="293"/>
      <c r="F921" s="642" t="s">
        <v>90</v>
      </c>
      <c r="G921" s="293"/>
      <c r="H921" s="293"/>
      <c r="I921" s="293"/>
      <c r="J921" s="293"/>
      <c r="K921" s="293"/>
      <c r="L921" s="293"/>
      <c r="M921" s="293"/>
      <c r="N921" s="293"/>
    </row>
    <row r="922" spans="2:21" s="291" customFormat="1"/>
    <row r="923" spans="2:21" s="291" customFormat="1" ht="15.6">
      <c r="B923" s="640" t="s">
        <v>477</v>
      </c>
      <c r="C923" s="380">
        <v>2016</v>
      </c>
      <c r="D923" s="386">
        <v>2017</v>
      </c>
      <c r="E923" s="386">
        <v>2018</v>
      </c>
      <c r="F923" s="386">
        <v>2019</v>
      </c>
      <c r="G923" s="386">
        <v>2020</v>
      </c>
      <c r="H923" s="386">
        <v>2021</v>
      </c>
      <c r="I923" s="386">
        <v>2022</v>
      </c>
      <c r="J923" s="386">
        <v>2023</v>
      </c>
      <c r="K923" s="386">
        <v>2024</v>
      </c>
      <c r="L923" s="386">
        <v>2025</v>
      </c>
      <c r="M923" s="386">
        <v>2026</v>
      </c>
      <c r="N923" s="386">
        <v>2027</v>
      </c>
    </row>
    <row r="924" spans="2:21" s="291" customFormat="1" ht="15.6">
      <c r="B924" s="643" t="str">
        <f>B910</f>
        <v>1.6T SR16_100 m_OSFP-XD and TBD</v>
      </c>
      <c r="C924" s="159"/>
      <c r="D924" s="168"/>
      <c r="E924" s="168"/>
      <c r="F924" s="168"/>
      <c r="G924" s="168"/>
      <c r="H924" s="168"/>
      <c r="I924" s="168"/>
      <c r="J924" s="168"/>
      <c r="K924" s="168"/>
      <c r="L924" s="168"/>
      <c r="M924" s="168"/>
      <c r="N924" s="168"/>
      <c r="U924" s="540"/>
    </row>
    <row r="925" spans="2:21" s="291" customFormat="1" ht="15.6">
      <c r="B925" s="373" t="str">
        <f>B911</f>
        <v>1.6T DR8_500 m_OSFP-XD and TBD</v>
      </c>
      <c r="C925" s="161"/>
      <c r="D925" s="170"/>
      <c r="E925" s="170"/>
      <c r="F925" s="170"/>
      <c r="G925" s="170"/>
      <c r="H925" s="170"/>
      <c r="I925" s="170"/>
      <c r="J925" s="170"/>
      <c r="K925" s="170"/>
      <c r="L925" s="170"/>
      <c r="M925" s="170"/>
      <c r="N925" s="170"/>
      <c r="U925" s="540"/>
    </row>
    <row r="926" spans="2:21" s="291" customFormat="1" ht="15.6">
      <c r="B926" s="373" t="str">
        <f>B912</f>
        <v>1.6T FR8_2 km_OSFP-XD and TBD</v>
      </c>
      <c r="C926" s="161"/>
      <c r="D926" s="170"/>
      <c r="E926" s="170"/>
      <c r="F926" s="170"/>
      <c r="G926" s="170"/>
      <c r="H926" s="170"/>
      <c r="I926" s="170"/>
      <c r="J926" s="170"/>
      <c r="K926" s="170"/>
      <c r="L926" s="170"/>
      <c r="M926" s="170"/>
      <c r="N926" s="170"/>
      <c r="U926" s="542"/>
    </row>
    <row r="927" spans="2:21" s="291" customFormat="1">
      <c r="B927" s="380" t="str">
        <f>$B$809</f>
        <v>Total</v>
      </c>
      <c r="C927" s="164"/>
      <c r="D927" s="644">
        <f>SUM(D924:D926)</f>
        <v>0</v>
      </c>
      <c r="E927" s="106">
        <f>SUM(E924:E926)</f>
        <v>0</v>
      </c>
      <c r="F927" s="106">
        <f>SUM(F924:F926)</f>
        <v>0</v>
      </c>
      <c r="G927" s="106"/>
      <c r="H927" s="106"/>
      <c r="I927" s="106"/>
      <c r="J927" s="106"/>
      <c r="K927" s="106"/>
      <c r="L927" s="106"/>
      <c r="M927" s="106"/>
      <c r="N927" s="106"/>
    </row>
    <row r="928" spans="2:21">
      <c r="C928" s="270"/>
      <c r="D928" s="270"/>
      <c r="E928" s="270"/>
      <c r="F928" s="324" t="s">
        <v>90</v>
      </c>
      <c r="G928" s="270"/>
      <c r="H928" s="270"/>
      <c r="I928" s="270"/>
      <c r="J928" s="270"/>
      <c r="K928" s="270"/>
      <c r="L928" s="270" t="e">
        <f>L884/K884-1</f>
        <v>#DIV/0!</v>
      </c>
      <c r="M928" s="270" t="e">
        <f>M884/L884-1</f>
        <v>#DIV/0!</v>
      </c>
      <c r="N928" s="270" t="e">
        <f>N884/M884-1</f>
        <v>#DIV/0!</v>
      </c>
    </row>
    <row r="929" spans="2:14">
      <c r="C929" s="270"/>
      <c r="D929" s="270"/>
      <c r="E929" s="270"/>
      <c r="F929" s="324"/>
      <c r="G929" s="270"/>
      <c r="H929" s="270"/>
      <c r="I929" s="270"/>
      <c r="J929" s="270"/>
      <c r="K929" s="270"/>
      <c r="L929" s="270"/>
      <c r="M929" s="270"/>
      <c r="N929" s="270"/>
    </row>
    <row r="930" spans="2:14">
      <c r="C930" s="270"/>
      <c r="D930" s="270"/>
      <c r="E930" s="270"/>
      <c r="F930" s="324"/>
      <c r="G930" s="270"/>
      <c r="H930" s="270"/>
      <c r="I930" s="270"/>
      <c r="J930" s="270"/>
      <c r="K930" s="270"/>
      <c r="L930" s="270"/>
      <c r="M930" s="270"/>
      <c r="N930" s="270"/>
    </row>
    <row r="931" spans="2:14">
      <c r="C931" s="270"/>
      <c r="D931" s="270"/>
      <c r="E931" s="270"/>
      <c r="F931" s="324"/>
      <c r="G931" s="270"/>
      <c r="H931" s="270"/>
      <c r="I931" s="270"/>
      <c r="J931" s="270"/>
      <c r="K931" s="270"/>
      <c r="L931" s="270"/>
      <c r="M931" s="270"/>
      <c r="N931" s="270"/>
    </row>
    <row r="932" spans="2:14">
      <c r="C932" s="270"/>
      <c r="D932" s="270"/>
      <c r="E932" s="270"/>
      <c r="F932" s="324"/>
      <c r="G932" s="270"/>
      <c r="H932" s="270"/>
      <c r="I932" s="270"/>
      <c r="J932" s="270"/>
      <c r="K932" s="270"/>
      <c r="L932" s="270"/>
      <c r="M932" s="270"/>
      <c r="N932" s="270"/>
    </row>
    <row r="933" spans="2:14">
      <c r="C933" s="270"/>
      <c r="D933" s="270"/>
      <c r="E933" s="270"/>
      <c r="F933" s="324"/>
      <c r="G933" s="270"/>
      <c r="H933" s="270"/>
      <c r="I933" s="270"/>
      <c r="J933" s="270"/>
      <c r="K933" s="270"/>
      <c r="L933" s="270"/>
      <c r="M933" s="270"/>
      <c r="N933" s="270"/>
    </row>
    <row r="935" spans="2:14" ht="21">
      <c r="B935" s="148" t="s">
        <v>386</v>
      </c>
      <c r="C935" s="524">
        <v>2016</v>
      </c>
      <c r="D935" s="524">
        <v>2017</v>
      </c>
      <c r="E935" s="524">
        <v>2018</v>
      </c>
      <c r="F935" s="524">
        <v>2019</v>
      </c>
      <c r="G935" s="524">
        <v>2020</v>
      </c>
      <c r="H935" s="524">
        <v>2021</v>
      </c>
      <c r="I935" s="524">
        <v>2022</v>
      </c>
      <c r="J935" s="524">
        <v>2023</v>
      </c>
      <c r="K935" s="524">
        <v>2024</v>
      </c>
      <c r="L935" s="524">
        <v>2025</v>
      </c>
      <c r="M935" s="524">
        <v>2026</v>
      </c>
      <c r="N935" s="524">
        <v>2027</v>
      </c>
    </row>
    <row r="936" spans="2:14">
      <c r="B936" s="269" t="s">
        <v>70</v>
      </c>
      <c r="C936" s="502">
        <f t="shared" ref="C936:M936" si="273">C282</f>
        <v>13000883.93</v>
      </c>
      <c r="D936" s="502">
        <f t="shared" si="273"/>
        <v>14702610</v>
      </c>
      <c r="E936" s="502">
        <f t="shared" si="273"/>
        <v>16130297.5</v>
      </c>
      <c r="F936" s="502">
        <f t="shared" si="273"/>
        <v>0</v>
      </c>
      <c r="G936" s="502">
        <f t="shared" si="273"/>
        <v>0</v>
      </c>
      <c r="H936" s="502">
        <f t="shared" si="273"/>
        <v>0</v>
      </c>
      <c r="I936" s="502">
        <f t="shared" si="273"/>
        <v>0</v>
      </c>
      <c r="J936" s="502">
        <f t="shared" si="273"/>
        <v>0</v>
      </c>
      <c r="K936" s="502">
        <f t="shared" si="273"/>
        <v>0</v>
      </c>
      <c r="L936" s="502">
        <f t="shared" si="273"/>
        <v>0</v>
      </c>
      <c r="M936" s="502">
        <f t="shared" si="273"/>
        <v>0</v>
      </c>
      <c r="N936" s="502">
        <f t="shared" ref="N936" si="274">N282</f>
        <v>0</v>
      </c>
    </row>
    <row r="937" spans="2:14">
      <c r="B937" s="269" t="s">
        <v>366</v>
      </c>
      <c r="C937" s="294">
        <f>SUM('Products x speed'!E17:E18)</f>
        <v>6522271</v>
      </c>
      <c r="D937" s="294">
        <f>SUM('Products x speed'!F17:F18)</f>
        <v>6815238</v>
      </c>
      <c r="E937" s="294">
        <f>SUM('Products x speed'!G17:G18)</f>
        <v>7087259</v>
      </c>
      <c r="F937" s="294">
        <f>SUM('Products x speed'!H17:H18)</f>
        <v>0</v>
      </c>
      <c r="G937" s="294">
        <f>SUM('Products x speed'!I17:I18)</f>
        <v>0</v>
      </c>
      <c r="H937" s="294">
        <f>SUM('Products x speed'!J17:J18)</f>
        <v>0</v>
      </c>
      <c r="I937" s="294">
        <f>SUM('Products x speed'!K17:K18)</f>
        <v>0</v>
      </c>
      <c r="J937" s="294">
        <f>SUM('Products x speed'!L17:L18)</f>
        <v>0</v>
      </c>
      <c r="K937" s="294">
        <f>SUM('Products x speed'!M17:M18)</f>
        <v>0</v>
      </c>
      <c r="L937" s="294">
        <f>SUM('Products x speed'!N17:N18)</f>
        <v>0</v>
      </c>
      <c r="M937" s="294">
        <f>SUM('Products x speed'!O17:O18)</f>
        <v>0</v>
      </c>
      <c r="N937" s="294">
        <f>SUM('Products x speed'!P17:P18)</f>
        <v>0</v>
      </c>
    </row>
    <row r="938" spans="2:14">
      <c r="B938" s="269" t="s">
        <v>387</v>
      </c>
      <c r="C938" s="294">
        <f>SUM('Products x speed'!E19:E22)</f>
        <v>523162</v>
      </c>
      <c r="D938" s="294">
        <f>SUM('Products x speed'!F19:F22)</f>
        <v>438040.1</v>
      </c>
      <c r="E938" s="294">
        <f>SUM('Products x speed'!G19:G22)</f>
        <v>845482.1</v>
      </c>
      <c r="F938" s="294">
        <f>SUM('Products x speed'!H19:H22)</f>
        <v>0</v>
      </c>
      <c r="G938" s="294">
        <f>SUM('Products x speed'!I19:I22)</f>
        <v>0</v>
      </c>
      <c r="H938" s="294">
        <f>SUM('Products x speed'!J19:J22)</f>
        <v>0</v>
      </c>
      <c r="I938" s="294">
        <f>SUM('Products x speed'!K19:K22)</f>
        <v>0</v>
      </c>
      <c r="J938" s="294">
        <f>SUM('Products x speed'!L19:L22)</f>
        <v>0</v>
      </c>
      <c r="K938" s="294">
        <f>SUM('Products x speed'!M19:M22)</f>
        <v>0</v>
      </c>
      <c r="L938" s="294">
        <f>SUM('Products x speed'!N19:N22)</f>
        <v>0</v>
      </c>
      <c r="M938" s="294">
        <f>SUM('Products x speed'!O19:O22)</f>
        <v>0</v>
      </c>
      <c r="N938" s="294">
        <f>SUM('Products x speed'!P19:P22)</f>
        <v>0</v>
      </c>
    </row>
    <row r="939" spans="2:14">
      <c r="B939" s="269" t="s">
        <v>389</v>
      </c>
      <c r="C939" s="294">
        <f>SUM('Products x speed'!E19:E20)</f>
        <v>410538.25</v>
      </c>
      <c r="D939" s="294">
        <f>SUM('Products x speed'!F19:F20)</f>
        <v>365552.6</v>
      </c>
      <c r="E939" s="294">
        <f>SUM('Products x speed'!G19:G20)</f>
        <v>698120.6</v>
      </c>
      <c r="F939" s="294">
        <f>SUM('Products x speed'!H19:H20)</f>
        <v>0</v>
      </c>
      <c r="G939" s="294">
        <f>SUM('Products x speed'!I19:I20)</f>
        <v>0</v>
      </c>
      <c r="H939" s="294">
        <f>SUM('Products x speed'!J19:J20)</f>
        <v>0</v>
      </c>
      <c r="I939" s="294">
        <f>SUM('Products x speed'!K19:K20)</f>
        <v>0</v>
      </c>
      <c r="J939" s="294">
        <f>SUM('Products x speed'!L19:L20)</f>
        <v>0</v>
      </c>
      <c r="K939" s="294">
        <f>SUM('Products x speed'!M19:M20)</f>
        <v>0</v>
      </c>
      <c r="L939" s="294">
        <f>SUM('Products x speed'!N19:N20)</f>
        <v>0</v>
      </c>
      <c r="M939" s="294">
        <f>SUM('Products x speed'!O19:O20)</f>
        <v>0</v>
      </c>
      <c r="N939" s="294">
        <f>SUM('Products x speed'!P19:P20)</f>
        <v>0</v>
      </c>
    </row>
    <row r="940" spans="2:14">
      <c r="B940" s="269" t="s">
        <v>390</v>
      </c>
      <c r="C940" s="294">
        <f>C938-C939</f>
        <v>112623.75</v>
      </c>
      <c r="D940" s="294">
        <f t="shared" ref="D940:G940" si="275">D938-D939</f>
        <v>72487.5</v>
      </c>
      <c r="E940" s="294">
        <f t="shared" si="275"/>
        <v>147361.5</v>
      </c>
      <c r="F940" s="294">
        <f t="shared" si="275"/>
        <v>0</v>
      </c>
      <c r="G940" s="294">
        <f t="shared" si="275"/>
        <v>0</v>
      </c>
      <c r="H940" s="294">
        <f t="shared" ref="H940" si="276">H938-H939</f>
        <v>0</v>
      </c>
      <c r="I940" s="294">
        <f t="shared" ref="I940" si="277">I938-I939</f>
        <v>0</v>
      </c>
      <c r="J940" s="294">
        <f t="shared" ref="J940:K940" si="278">J938-J939</f>
        <v>0</v>
      </c>
      <c r="K940" s="294">
        <f t="shared" si="278"/>
        <v>0</v>
      </c>
      <c r="L940" s="294">
        <f t="shared" ref="L940" si="279">L938-L939</f>
        <v>0</v>
      </c>
      <c r="M940" s="294">
        <f t="shared" ref="M940:N940" si="280">M938-M939</f>
        <v>0</v>
      </c>
      <c r="N940" s="294">
        <f t="shared" si="280"/>
        <v>0</v>
      </c>
    </row>
    <row r="942" spans="2:14" ht="21">
      <c r="B942" s="148" t="s">
        <v>391</v>
      </c>
    </row>
    <row r="943" spans="2:14">
      <c r="B943" s="269" t="s">
        <v>156</v>
      </c>
      <c r="C943" s="502">
        <f t="shared" ref="C943:M943" si="281">SUM(C564:C568)</f>
        <v>299241</v>
      </c>
      <c r="D943" s="502">
        <f t="shared" si="281"/>
        <v>631974</v>
      </c>
      <c r="E943" s="502">
        <f t="shared" si="281"/>
        <v>2082911</v>
      </c>
      <c r="F943" s="502">
        <f t="shared" si="281"/>
        <v>0</v>
      </c>
      <c r="G943" s="502">
        <f t="shared" si="281"/>
        <v>0</v>
      </c>
      <c r="H943" s="502">
        <f t="shared" si="281"/>
        <v>0</v>
      </c>
      <c r="I943" s="502">
        <f t="shared" si="281"/>
        <v>0</v>
      </c>
      <c r="J943" s="502">
        <f t="shared" si="281"/>
        <v>0</v>
      </c>
      <c r="K943" s="502">
        <f t="shared" si="281"/>
        <v>0</v>
      </c>
      <c r="L943" s="502">
        <f t="shared" si="281"/>
        <v>0</v>
      </c>
      <c r="M943" s="502">
        <f t="shared" si="281"/>
        <v>0</v>
      </c>
      <c r="N943" s="502">
        <f t="shared" ref="N943" si="282">SUM(N564:N568)</f>
        <v>0</v>
      </c>
    </row>
    <row r="944" spans="2:14">
      <c r="B944" s="269" t="s">
        <v>388</v>
      </c>
      <c r="C944" s="502">
        <f>SUM(C649:C653)</f>
        <v>292622</v>
      </c>
      <c r="D944" s="502">
        <f t="shared" ref="D944:M944" si="283">SUM(D649:D652)</f>
        <v>552903</v>
      </c>
      <c r="E944" s="502">
        <f t="shared" si="283"/>
        <v>610404.1176470588</v>
      </c>
      <c r="F944" s="502">
        <f t="shared" si="283"/>
        <v>0</v>
      </c>
      <c r="G944" s="502">
        <f t="shared" si="283"/>
        <v>0</v>
      </c>
      <c r="H944" s="502">
        <f t="shared" si="283"/>
        <v>0</v>
      </c>
      <c r="I944" s="502">
        <f t="shared" si="283"/>
        <v>0</v>
      </c>
      <c r="J944" s="502">
        <f t="shared" si="283"/>
        <v>0</v>
      </c>
      <c r="K944" s="502">
        <f t="shared" si="283"/>
        <v>0</v>
      </c>
      <c r="L944" s="502">
        <f t="shared" si="283"/>
        <v>0</v>
      </c>
      <c r="M944" s="502">
        <f t="shared" si="283"/>
        <v>0</v>
      </c>
      <c r="N944" s="502">
        <f t="shared" ref="N944" si="284">SUM(N649:N652)</f>
        <v>0</v>
      </c>
    </row>
    <row r="945" spans="2:15">
      <c r="B945" s="269" t="s">
        <v>395</v>
      </c>
      <c r="C945" s="502">
        <f>C946+C947</f>
        <v>0</v>
      </c>
      <c r="D945" s="502">
        <f t="shared" ref="D945:L945" si="285">D946+D947</f>
        <v>0</v>
      </c>
      <c r="E945" s="502">
        <f t="shared" si="285"/>
        <v>0</v>
      </c>
      <c r="F945" s="502">
        <f t="shared" si="285"/>
        <v>0</v>
      </c>
      <c r="G945" s="502">
        <f t="shared" si="285"/>
        <v>0</v>
      </c>
      <c r="H945" s="502">
        <f t="shared" si="285"/>
        <v>0</v>
      </c>
      <c r="I945" s="502">
        <f t="shared" si="285"/>
        <v>0</v>
      </c>
      <c r="J945" s="502">
        <f t="shared" si="285"/>
        <v>0</v>
      </c>
      <c r="K945" s="502">
        <f t="shared" si="285"/>
        <v>0</v>
      </c>
      <c r="L945" s="502">
        <f t="shared" si="285"/>
        <v>0</v>
      </c>
      <c r="M945" s="502">
        <f t="shared" ref="M945:N945" si="286">M946+M947</f>
        <v>0</v>
      </c>
      <c r="N945" s="502">
        <f t="shared" si="286"/>
        <v>0</v>
      </c>
    </row>
    <row r="946" spans="2:15">
      <c r="B946" s="269" t="s">
        <v>394</v>
      </c>
      <c r="C946" s="502">
        <f t="shared" ref="C946:L946" si="287">C656</f>
        <v>0</v>
      </c>
      <c r="D946" s="502">
        <f t="shared" si="287"/>
        <v>0</v>
      </c>
      <c r="E946" s="502">
        <f t="shared" si="287"/>
        <v>0</v>
      </c>
      <c r="F946" s="502">
        <f t="shared" si="287"/>
        <v>0</v>
      </c>
      <c r="G946" s="502">
        <f t="shared" si="287"/>
        <v>0</v>
      </c>
      <c r="H946" s="502">
        <f t="shared" si="287"/>
        <v>0</v>
      </c>
      <c r="I946" s="502">
        <f t="shared" si="287"/>
        <v>0</v>
      </c>
      <c r="J946" s="502">
        <f t="shared" si="287"/>
        <v>0</v>
      </c>
      <c r="K946" s="502">
        <f t="shared" si="287"/>
        <v>0</v>
      </c>
      <c r="L946" s="502">
        <f t="shared" si="287"/>
        <v>0</v>
      </c>
      <c r="M946" s="502">
        <f t="shared" ref="M946:N946" si="288">M656</f>
        <v>0</v>
      </c>
      <c r="N946" s="502">
        <f t="shared" si="288"/>
        <v>0</v>
      </c>
    </row>
    <row r="947" spans="2:15">
      <c r="B947" s="269" t="s">
        <v>392</v>
      </c>
      <c r="N947" s="112"/>
      <c r="O947" s="269" t="s">
        <v>393</v>
      </c>
    </row>
    <row r="950" spans="2:15">
      <c r="H950" s="610"/>
      <c r="I950" s="610"/>
      <c r="J950" s="610"/>
      <c r="K950" s="610"/>
      <c r="L950" s="610"/>
      <c r="M950" s="610"/>
      <c r="N950" s="610"/>
    </row>
    <row r="951" spans="2:15">
      <c r="H951" s="610"/>
      <c r="I951" s="610"/>
      <c r="J951" s="610"/>
      <c r="K951" s="610"/>
      <c r="L951" s="610"/>
      <c r="M951" s="610"/>
      <c r="N951" s="610"/>
    </row>
    <row r="952" spans="2:15">
      <c r="H952" s="610"/>
      <c r="I952" s="610"/>
      <c r="J952" s="610"/>
      <c r="K952" s="610"/>
      <c r="L952" s="610"/>
      <c r="M952" s="610"/>
      <c r="N952" s="610"/>
    </row>
  </sheetData>
  <conditionalFormatting sqref="U406 U661 U763">
    <cfRule type="expression" dxfId="34" priority="35">
      <formula>ROUND(U405-U406,-2)&lt;&gt;0</formula>
    </cfRule>
  </conditionalFormatting>
  <conditionalFormatting sqref="U368">
    <cfRule type="expression" dxfId="33" priority="31">
      <formula>ROUND(U367-U368,-2)&lt;&gt;0</formula>
    </cfRule>
  </conditionalFormatting>
  <conditionalFormatting sqref="U367">
    <cfRule type="expression" dxfId="32" priority="30">
      <formula>ROUND(U366-U367,-2)&lt;&gt;0</formula>
    </cfRule>
  </conditionalFormatting>
  <conditionalFormatting sqref="U493">
    <cfRule type="expression" dxfId="31" priority="29">
      <formula>ROUND(U492-U493,-2)&lt;&gt;0</formula>
    </cfRule>
  </conditionalFormatting>
  <conditionalFormatting sqref="U333">
    <cfRule type="expression" dxfId="30" priority="28">
      <formula>ROUND(U332-U333,-2)&lt;&gt;0</formula>
    </cfRule>
  </conditionalFormatting>
  <conditionalFormatting sqref="U284">
    <cfRule type="expression" dxfId="29" priority="27">
      <formula>ROUND(U283-U284,-2)&lt;&gt;0</formula>
    </cfRule>
  </conditionalFormatting>
  <conditionalFormatting sqref="U213">
    <cfRule type="expression" dxfId="28" priority="26">
      <formula>ROUND(U212-U213,-2)&lt;&gt;0</formula>
    </cfRule>
  </conditionalFormatting>
  <conditionalFormatting sqref="U141">
    <cfRule type="expression" dxfId="27" priority="25">
      <formula>ROUND(U140-U141,-2)&lt;&gt;0</formula>
    </cfRule>
  </conditionalFormatting>
  <conditionalFormatting sqref="U121">
    <cfRule type="expression" dxfId="26" priority="24">
      <formula>ROUND(U120-U121,-2)&lt;&gt;0</formula>
    </cfRule>
  </conditionalFormatting>
  <conditionalFormatting sqref="U411">
    <cfRule type="expression" dxfId="25" priority="23">
      <formula>ROUND(U410-U411,-2)&lt;&gt;0</formula>
    </cfRule>
  </conditionalFormatting>
  <conditionalFormatting sqref="U416">
    <cfRule type="expression" dxfId="24" priority="22">
      <formula>ROUND(U415-U416,-2)&lt;&gt;0</formula>
    </cfRule>
  </conditionalFormatting>
  <conditionalFormatting sqref="U527">
    <cfRule type="expression" dxfId="23" priority="21">
      <formula>ROUND(U526-U527,-2)&lt;&gt;0</formula>
    </cfRule>
  </conditionalFormatting>
  <conditionalFormatting sqref="U804">
    <cfRule type="expression" dxfId="22" priority="19">
      <formula>ROUND(U803-U804,-2)&lt;&gt;0</formula>
    </cfRule>
  </conditionalFormatting>
  <conditionalFormatting sqref="U462">
    <cfRule type="expression" dxfId="21" priority="15">
      <formula>ROUND(U461-U462,-2)&lt;&gt;0</formula>
    </cfRule>
  </conditionalFormatting>
  <conditionalFormatting sqref="U444">
    <cfRule type="expression" dxfId="20" priority="17">
      <formula>ROUND(U443-U444,-2)&lt;&gt;0</formula>
    </cfRule>
  </conditionalFormatting>
  <conditionalFormatting sqref="U453">
    <cfRule type="expression" dxfId="19" priority="16">
      <formula>ROUND(U452-U453,-2)&lt;&gt;0</formula>
    </cfRule>
  </conditionalFormatting>
  <conditionalFormatting sqref="U581">
    <cfRule type="expression" dxfId="18" priority="9">
      <formula>ROUND(U580-U581,-2)&lt;&gt;0</formula>
    </cfRule>
  </conditionalFormatting>
  <conditionalFormatting sqref="U565">
    <cfRule type="expression" dxfId="17" priority="11">
      <formula>ROUND(U564-U565,-2)&lt;&gt;0</formula>
    </cfRule>
  </conditionalFormatting>
  <conditionalFormatting sqref="U772">
    <cfRule type="expression" dxfId="16" priority="7">
      <formula>ROUND(U773-U772,-2)&lt;&gt;0</formula>
    </cfRule>
  </conditionalFormatting>
  <conditionalFormatting sqref="U826">
    <cfRule type="expression" dxfId="15" priority="5">
      <formula>ROUND(U825-U826,-2)&lt;&gt;0</formula>
    </cfRule>
  </conditionalFormatting>
  <conditionalFormatting sqref="U664">
    <cfRule type="expression" dxfId="14" priority="90">
      <formula>ROUND(#REF!-U664,-2)&lt;&gt;0</formula>
    </cfRule>
  </conditionalFormatting>
  <conditionalFormatting sqref="U678">
    <cfRule type="expression" dxfId="13" priority="91">
      <formula>ROUND(U677-U678,-2)&lt;&gt;0</formula>
    </cfRule>
  </conditionalFormatting>
  <conditionalFormatting sqref="U646">
    <cfRule type="expression" dxfId="12" priority="93">
      <formula>ROUND(U645-U646,-2)&lt;&gt;0</formula>
    </cfRule>
  </conditionalFormatting>
  <conditionalFormatting sqref="U859">
    <cfRule type="expression" dxfId="11" priority="4">
      <formula>ROUND(U858-U859,-2)&lt;&gt;0</formula>
    </cfRule>
  </conditionalFormatting>
  <conditionalFormatting sqref="U879">
    <cfRule type="expression" dxfId="10" priority="3">
      <formula>ROUND(U878-U879,-2)&lt;&gt;0</formula>
    </cfRule>
  </conditionalFormatting>
  <conditionalFormatting sqref="U911">
    <cfRule type="expression" dxfId="9" priority="2">
      <formula>ROUND(U910-U911,-2)&lt;&gt;0</formula>
    </cfRule>
  </conditionalFormatting>
  <conditionalFormatting sqref="U925">
    <cfRule type="expression" dxfId="8" priority="1">
      <formula>ROUND(U924-U925,-2)&lt;&gt;0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B1:P303"/>
  <sheetViews>
    <sheetView showGridLines="0" zoomScale="70" zoomScaleNormal="70" zoomScalePageLayoutView="70" workbookViewId="0">
      <pane xSplit="4" ySplit="6" topLeftCell="E7" activePane="bottomRight" state="frozen"/>
      <selection pane="topRight" activeCell="E1" sqref="E1"/>
      <selection pane="bottomLeft" activeCell="A7" sqref="A7"/>
      <selection pane="bottomRight"/>
    </sheetView>
  </sheetViews>
  <sheetFormatPr defaultColWidth="8.77734375" defaultRowHeight="13.8"/>
  <cols>
    <col min="1" max="1" width="4.44140625" style="74" customWidth="1"/>
    <col min="2" max="2" width="17.77734375" style="74" customWidth="1"/>
    <col min="3" max="3" width="12.44140625" style="74" customWidth="1"/>
    <col min="4" max="4" width="23.6640625" style="74" customWidth="1"/>
    <col min="5" max="6" width="13.44140625" style="74" customWidth="1"/>
    <col min="7" max="7" width="13.6640625" style="74" customWidth="1"/>
    <col min="8" max="8" width="12.77734375" style="74" customWidth="1"/>
    <col min="9" max="9" width="14.21875" style="74" customWidth="1"/>
    <col min="10" max="11" width="12" style="74" customWidth="1"/>
    <col min="12" max="16" width="12" style="289" customWidth="1"/>
    <col min="17" max="21" width="10.44140625" style="74" customWidth="1"/>
    <col min="22" max="16384" width="8.77734375" style="74"/>
  </cols>
  <sheetData>
    <row r="1" spans="2:16">
      <c r="D1" s="269"/>
      <c r="K1" s="246"/>
      <c r="L1" s="441"/>
      <c r="M1" s="441"/>
      <c r="N1" s="441"/>
      <c r="O1" s="441"/>
      <c r="P1" s="441"/>
    </row>
    <row r="2" spans="2:16" ht="18">
      <c r="B2" s="6" t="str">
        <f>Introduction!$B$2</f>
        <v>LightCounting Ethernet Transceivers Forecast</v>
      </c>
      <c r="C2" s="56"/>
      <c r="D2" s="56"/>
      <c r="H2" s="496"/>
      <c r="I2" s="246"/>
      <c r="J2" s="246"/>
      <c r="K2" s="246"/>
    </row>
    <row r="3" spans="2:16" ht="15.6">
      <c r="B3" s="37" t="str">
        <f>Introduction!B3</f>
        <v>March 2022 - sample spreadsheet</v>
      </c>
      <c r="F3" s="98"/>
      <c r="G3" s="62"/>
      <c r="H3" s="207"/>
      <c r="I3" s="246"/>
      <c r="J3" s="246"/>
      <c r="K3" s="246"/>
    </row>
    <row r="4" spans="2:16" ht="18">
      <c r="B4" s="6" t="s">
        <v>91</v>
      </c>
      <c r="C4" s="56"/>
      <c r="D4" s="56"/>
      <c r="E4" s="352"/>
      <c r="F4" s="207"/>
      <c r="G4" s="112"/>
      <c r="H4" s="207"/>
      <c r="I4" s="246"/>
      <c r="J4" s="246"/>
      <c r="K4" s="246"/>
    </row>
    <row r="5" spans="2:16" ht="14.4">
      <c r="B5" s="75"/>
      <c r="D5" s="269"/>
      <c r="E5" s="245"/>
      <c r="F5" s="245">
        <f>F221-Telecom!F199-Enterprise!F199-Cloud!F199</f>
        <v>0</v>
      </c>
      <c r="G5" s="245"/>
      <c r="H5" s="245"/>
      <c r="I5" s="245"/>
      <c r="J5" s="245"/>
      <c r="K5" s="245"/>
      <c r="L5" s="245"/>
      <c r="M5" s="245"/>
      <c r="N5" s="245"/>
      <c r="O5" s="245"/>
      <c r="P5" s="245"/>
    </row>
    <row r="6" spans="2:16">
      <c r="B6" s="254" t="s">
        <v>32</v>
      </c>
      <c r="C6" s="255" t="s">
        <v>31</v>
      </c>
      <c r="D6" s="256" t="s">
        <v>33</v>
      </c>
      <c r="E6" s="156">
        <v>2016</v>
      </c>
      <c r="F6" s="156">
        <v>2017</v>
      </c>
      <c r="G6" s="156">
        <v>2018</v>
      </c>
      <c r="H6" s="156">
        <v>2019</v>
      </c>
      <c r="I6" s="156">
        <v>2020</v>
      </c>
      <c r="J6" s="156">
        <v>2021</v>
      </c>
      <c r="K6" s="156">
        <v>2022</v>
      </c>
      <c r="L6" s="442">
        <v>2023</v>
      </c>
      <c r="M6" s="442">
        <v>2024</v>
      </c>
      <c r="N6" s="442">
        <v>2025</v>
      </c>
      <c r="O6" s="442">
        <v>2026</v>
      </c>
      <c r="P6" s="442">
        <v>2027</v>
      </c>
    </row>
    <row r="7" spans="2:16" ht="21">
      <c r="B7" s="14"/>
      <c r="F7" s="13" t="s">
        <v>17</v>
      </c>
      <c r="L7" s="74"/>
      <c r="M7" s="74"/>
      <c r="N7" s="74"/>
      <c r="O7" s="74"/>
      <c r="P7" s="74"/>
    </row>
    <row r="8" spans="2:16">
      <c r="B8" s="77" t="s">
        <v>32</v>
      </c>
      <c r="C8" s="77" t="s">
        <v>31</v>
      </c>
      <c r="D8" s="77" t="s">
        <v>33</v>
      </c>
      <c r="E8" s="78">
        <v>2016</v>
      </c>
      <c r="F8" s="78">
        <v>2017</v>
      </c>
      <c r="G8" s="78">
        <v>2018</v>
      </c>
      <c r="H8" s="78">
        <v>2019</v>
      </c>
      <c r="I8" s="78">
        <v>2020</v>
      </c>
      <c r="J8" s="78">
        <v>2021</v>
      </c>
      <c r="K8" s="78">
        <v>2022</v>
      </c>
      <c r="L8" s="78">
        <v>2023</v>
      </c>
      <c r="M8" s="78">
        <v>2024</v>
      </c>
      <c r="N8" s="78">
        <v>2025</v>
      </c>
      <c r="O8" s="78">
        <v>2026</v>
      </c>
      <c r="P8" s="78">
        <v>2027</v>
      </c>
    </row>
    <row r="9" spans="2:16">
      <c r="B9" s="79" t="str">
        <f>Products!B36</f>
        <v>1G</v>
      </c>
      <c r="C9" s="80" t="str">
        <f>Products!C36</f>
        <v>500 m</v>
      </c>
      <c r="D9" s="81" t="str">
        <f>Products!D36</f>
        <v>SFP</v>
      </c>
      <c r="E9" s="90">
        <v>4496175.0999999996</v>
      </c>
      <c r="F9" s="90">
        <v>4278484</v>
      </c>
      <c r="G9" s="90">
        <v>4962296</v>
      </c>
      <c r="H9" s="90"/>
      <c r="I9" s="90"/>
      <c r="J9" s="90"/>
      <c r="K9" s="90"/>
      <c r="L9" s="187"/>
      <c r="M9" s="187"/>
      <c r="N9" s="187"/>
      <c r="O9" s="187"/>
      <c r="P9" s="187"/>
    </row>
    <row r="10" spans="2:16">
      <c r="B10" s="87" t="str">
        <f>Products!B37</f>
        <v>1G</v>
      </c>
      <c r="C10" s="88" t="str">
        <f>Products!C37</f>
        <v>10 km</v>
      </c>
      <c r="D10" s="89" t="str">
        <f>Products!D37</f>
        <v>SFP</v>
      </c>
      <c r="E10" s="90">
        <v>8393495.8800000008</v>
      </c>
      <c r="F10" s="90">
        <v>6412151</v>
      </c>
      <c r="G10" s="90">
        <v>7845061</v>
      </c>
      <c r="H10" s="90"/>
      <c r="I10" s="90"/>
      <c r="J10" s="90"/>
      <c r="K10" s="90"/>
      <c r="L10" s="187"/>
      <c r="M10" s="187"/>
      <c r="N10" s="187"/>
      <c r="O10" s="187"/>
      <c r="P10" s="187"/>
    </row>
    <row r="11" spans="2:16">
      <c r="B11" s="87" t="str">
        <f>Products!B38</f>
        <v>1G</v>
      </c>
      <c r="C11" s="88" t="str">
        <f>Products!C38</f>
        <v>40 km</v>
      </c>
      <c r="D11" s="89" t="str">
        <f>Products!D38</f>
        <v>SFP</v>
      </c>
      <c r="E11" s="90">
        <v>562563.625</v>
      </c>
      <c r="F11" s="90">
        <v>477500.4</v>
      </c>
      <c r="G11" s="90">
        <v>1016133</v>
      </c>
      <c r="H11" s="90"/>
      <c r="I11" s="90"/>
      <c r="J11" s="90"/>
      <c r="K11" s="90"/>
      <c r="L11" s="187"/>
      <c r="M11" s="187"/>
      <c r="N11" s="187"/>
      <c r="O11" s="187"/>
      <c r="P11" s="187"/>
    </row>
    <row r="12" spans="2:16">
      <c r="B12" s="87" t="str">
        <f>Products!B39</f>
        <v>1G</v>
      </c>
      <c r="C12" s="88" t="str">
        <f>Products!C39</f>
        <v>80 km</v>
      </c>
      <c r="D12" s="89" t="str">
        <f>Products!D39</f>
        <v>SFP</v>
      </c>
      <c r="E12" s="90">
        <v>115175.5</v>
      </c>
      <c r="F12" s="90">
        <v>105559.64999999997</v>
      </c>
      <c r="G12" s="90">
        <v>515486</v>
      </c>
      <c r="H12" s="90"/>
      <c r="I12" s="90"/>
      <c r="J12" s="90"/>
      <c r="K12" s="90"/>
      <c r="L12" s="187"/>
      <c r="M12" s="187"/>
      <c r="N12" s="187"/>
      <c r="O12" s="187"/>
      <c r="P12" s="187"/>
    </row>
    <row r="13" spans="2:16">
      <c r="B13" s="325" t="s">
        <v>270</v>
      </c>
      <c r="C13" s="323" t="s">
        <v>170</v>
      </c>
      <c r="D13" s="326" t="s">
        <v>171</v>
      </c>
      <c r="E13" s="86">
        <v>200000</v>
      </c>
      <c r="F13" s="86"/>
      <c r="G13" s="86"/>
      <c r="H13" s="86"/>
      <c r="I13" s="86"/>
      <c r="J13" s="86"/>
      <c r="K13" s="86"/>
      <c r="L13" s="287"/>
      <c r="M13" s="287"/>
      <c r="N13" s="287"/>
      <c r="O13" s="287"/>
      <c r="P13" s="287"/>
    </row>
    <row r="14" spans="2:16">
      <c r="B14" s="87" t="str">
        <f>Products!B41</f>
        <v>10G</v>
      </c>
      <c r="C14" s="88" t="str">
        <f>Products!C41</f>
        <v>300 m</v>
      </c>
      <c r="D14" s="89" t="str">
        <f>Products!D41</f>
        <v>XFP</v>
      </c>
      <c r="E14" s="90">
        <v>117811</v>
      </c>
      <c r="F14" s="90">
        <v>83582</v>
      </c>
      <c r="G14" s="90">
        <v>55887</v>
      </c>
      <c r="H14" s="90"/>
      <c r="I14" s="90"/>
      <c r="J14" s="90"/>
      <c r="K14" s="90"/>
      <c r="L14" s="187"/>
      <c r="M14" s="187"/>
      <c r="N14" s="187"/>
      <c r="O14" s="187"/>
      <c r="P14" s="187"/>
    </row>
    <row r="15" spans="2:16">
      <c r="B15" s="87" t="str">
        <f>Products!B42</f>
        <v>10G</v>
      </c>
      <c r="C15" s="88" t="str">
        <f>Products!C42</f>
        <v>300 m</v>
      </c>
      <c r="D15" s="89" t="str">
        <f>Products!D42</f>
        <v>SFP+</v>
      </c>
      <c r="E15" s="90">
        <v>11231936.93</v>
      </c>
      <c r="F15" s="90">
        <v>12500000</v>
      </c>
      <c r="G15" s="90">
        <v>13931207</v>
      </c>
      <c r="H15" s="90"/>
      <c r="I15" s="90"/>
      <c r="J15" s="90"/>
      <c r="K15" s="90"/>
      <c r="L15" s="187"/>
      <c r="M15" s="187"/>
      <c r="N15" s="187"/>
      <c r="O15" s="187"/>
      <c r="P15" s="187"/>
    </row>
    <row r="16" spans="2:16">
      <c r="B16" s="87" t="str">
        <f>Products!B43</f>
        <v>10G LRM</v>
      </c>
      <c r="C16" s="88" t="str">
        <f>Products!C43</f>
        <v>220 m</v>
      </c>
      <c r="D16" s="89" t="str">
        <f>Products!D43</f>
        <v>SFP+</v>
      </c>
      <c r="E16" s="90">
        <v>121638</v>
      </c>
      <c r="F16" s="90">
        <v>108162</v>
      </c>
      <c r="G16" s="90">
        <v>97170</v>
      </c>
      <c r="H16" s="90"/>
      <c r="I16" s="90"/>
      <c r="J16" s="90"/>
      <c r="K16" s="90"/>
      <c r="L16" s="187"/>
      <c r="M16" s="187"/>
      <c r="N16" s="187"/>
      <c r="O16" s="187"/>
      <c r="P16" s="187"/>
    </row>
    <row r="17" spans="2:16">
      <c r="B17" s="87" t="str">
        <f>Products!B44</f>
        <v>10G</v>
      </c>
      <c r="C17" s="88" t="str">
        <f>Products!C44</f>
        <v>10 km</v>
      </c>
      <c r="D17" s="89" t="str">
        <f>Products!D44</f>
        <v>XFP</v>
      </c>
      <c r="E17" s="90">
        <v>122271</v>
      </c>
      <c r="F17" s="90">
        <v>65238</v>
      </c>
      <c r="G17" s="90">
        <v>198404</v>
      </c>
      <c r="H17" s="90"/>
      <c r="I17" s="90"/>
      <c r="J17" s="90"/>
      <c r="K17" s="90"/>
      <c r="L17" s="187"/>
      <c r="M17" s="187"/>
      <c r="N17" s="187"/>
      <c r="O17" s="187"/>
      <c r="P17" s="187"/>
    </row>
    <row r="18" spans="2:16">
      <c r="B18" s="87" t="str">
        <f>Products!B45</f>
        <v>10G</v>
      </c>
      <c r="C18" s="88" t="str">
        <f>Products!C45</f>
        <v>10 km</v>
      </c>
      <c r="D18" s="89" t="str">
        <f>Products!D45</f>
        <v>SFP+</v>
      </c>
      <c r="E18" s="90">
        <v>6400000</v>
      </c>
      <c r="F18" s="90">
        <v>6750000</v>
      </c>
      <c r="G18" s="90">
        <v>6888855</v>
      </c>
      <c r="H18" s="90"/>
      <c r="I18" s="90"/>
      <c r="J18" s="90"/>
      <c r="K18" s="90"/>
      <c r="L18" s="187"/>
      <c r="M18" s="187"/>
      <c r="N18" s="187"/>
      <c r="O18" s="187"/>
      <c r="P18" s="187"/>
    </row>
    <row r="19" spans="2:16">
      <c r="B19" s="87" t="str">
        <f>Products!B46</f>
        <v>10G</v>
      </c>
      <c r="C19" s="88" t="str">
        <f>Products!C46</f>
        <v>40 km</v>
      </c>
      <c r="D19" s="89" t="str">
        <f>Products!D46</f>
        <v>XFP</v>
      </c>
      <c r="E19" s="90">
        <v>152629</v>
      </c>
      <c r="F19" s="90">
        <v>107234</v>
      </c>
      <c r="G19" s="90">
        <v>156269</v>
      </c>
      <c r="H19" s="90"/>
      <c r="I19" s="90"/>
      <c r="J19" s="90"/>
      <c r="K19" s="90"/>
      <c r="L19" s="187"/>
      <c r="M19" s="187"/>
      <c r="N19" s="187"/>
      <c r="O19" s="187"/>
      <c r="P19" s="187"/>
    </row>
    <row r="20" spans="2:16">
      <c r="B20" s="87" t="str">
        <f>Products!B47</f>
        <v>10G</v>
      </c>
      <c r="C20" s="88" t="str">
        <f>Products!C47</f>
        <v>40 km</v>
      </c>
      <c r="D20" s="89" t="str">
        <f>Products!D47</f>
        <v>SFP+</v>
      </c>
      <c r="E20" s="90">
        <v>257909.25</v>
      </c>
      <c r="F20" s="90">
        <v>258318.59999999998</v>
      </c>
      <c r="G20" s="90">
        <v>541851.6</v>
      </c>
      <c r="H20" s="90"/>
      <c r="I20" s="90"/>
      <c r="J20" s="90"/>
      <c r="K20" s="90"/>
      <c r="L20" s="187"/>
      <c r="M20" s="187"/>
      <c r="N20" s="187"/>
      <c r="O20" s="187"/>
      <c r="P20" s="187"/>
    </row>
    <row r="21" spans="2:16">
      <c r="B21" s="87" t="str">
        <f>Products!B48</f>
        <v>10G</v>
      </c>
      <c r="C21" s="88" t="str">
        <f>Products!C48</f>
        <v>80 km</v>
      </c>
      <c r="D21" s="89" t="str">
        <f>Products!D48</f>
        <v>XFP</v>
      </c>
      <c r="E21" s="90">
        <v>68753</v>
      </c>
      <c r="F21" s="90">
        <v>9455</v>
      </c>
      <c r="G21" s="90">
        <v>9982</v>
      </c>
      <c r="H21" s="90"/>
      <c r="I21" s="90"/>
      <c r="J21" s="90"/>
      <c r="K21" s="90"/>
      <c r="L21" s="187"/>
      <c r="M21" s="187"/>
      <c r="N21" s="187"/>
      <c r="O21" s="187"/>
      <c r="P21" s="187"/>
    </row>
    <row r="22" spans="2:16">
      <c r="B22" s="87" t="str">
        <f>Products!B49</f>
        <v>10G</v>
      </c>
      <c r="C22" s="88" t="str">
        <f>Products!C49</f>
        <v>80 km</v>
      </c>
      <c r="D22" s="89" t="str">
        <f>Products!D49</f>
        <v>SFP+</v>
      </c>
      <c r="E22" s="90">
        <v>43870.75</v>
      </c>
      <c r="F22" s="90">
        <v>63032.5</v>
      </c>
      <c r="G22" s="90">
        <v>137379.5</v>
      </c>
      <c r="H22" s="90"/>
      <c r="I22" s="90"/>
      <c r="J22" s="90"/>
      <c r="K22" s="90"/>
      <c r="L22" s="187"/>
      <c r="M22" s="187"/>
      <c r="N22" s="187"/>
      <c r="O22" s="187"/>
      <c r="P22" s="187"/>
    </row>
    <row r="23" spans="2:16">
      <c r="B23" s="327" t="s">
        <v>60</v>
      </c>
      <c r="C23" s="328" t="s">
        <v>170</v>
      </c>
      <c r="D23" s="326" t="s">
        <v>171</v>
      </c>
      <c r="E23" s="86">
        <v>65053</v>
      </c>
      <c r="F23" s="86">
        <v>24329</v>
      </c>
      <c r="G23" s="90">
        <v>3500</v>
      </c>
      <c r="H23" s="90"/>
      <c r="I23" s="90"/>
      <c r="J23" s="86"/>
      <c r="K23" s="86"/>
      <c r="L23" s="287"/>
      <c r="M23" s="287"/>
      <c r="N23" s="287"/>
      <c r="O23" s="287"/>
      <c r="P23" s="287"/>
    </row>
    <row r="24" spans="2:16">
      <c r="B24" s="79" t="str">
        <f>Products!B51</f>
        <v>25G SR, eSR</v>
      </c>
      <c r="C24" s="80" t="str">
        <f>Products!C51</f>
        <v>100 - 300 m</v>
      </c>
      <c r="D24" s="81" t="str">
        <f>Products!D51</f>
        <v>SFP28</v>
      </c>
      <c r="E24" s="82">
        <v>7146</v>
      </c>
      <c r="F24" s="82">
        <v>95865</v>
      </c>
      <c r="G24" s="82">
        <v>318978</v>
      </c>
      <c r="H24" s="82"/>
      <c r="I24" s="82"/>
      <c r="J24" s="82"/>
      <c r="K24" s="82"/>
      <c r="L24" s="288"/>
      <c r="M24" s="288"/>
      <c r="N24" s="288"/>
      <c r="O24" s="288"/>
      <c r="P24" s="288"/>
    </row>
    <row r="25" spans="2:16">
      <c r="B25" s="87" t="str">
        <f>Products!B52</f>
        <v>25G LR</v>
      </c>
      <c r="C25" s="88" t="str">
        <f>Products!C52</f>
        <v>10 km</v>
      </c>
      <c r="D25" s="89" t="str">
        <f>Products!D52</f>
        <v>SFP28</v>
      </c>
      <c r="E25" s="90">
        <v>4548</v>
      </c>
      <c r="F25" s="90">
        <v>17462</v>
      </c>
      <c r="G25" s="90">
        <v>56709</v>
      </c>
      <c r="H25" s="90"/>
      <c r="I25" s="90"/>
      <c r="J25" s="90"/>
      <c r="K25" s="90"/>
      <c r="L25" s="187"/>
      <c r="M25" s="187"/>
      <c r="N25" s="187"/>
      <c r="O25" s="187"/>
      <c r="P25" s="187"/>
    </row>
    <row r="26" spans="2:16">
      <c r="B26" s="83" t="str">
        <f>Products!B53</f>
        <v>25G ER</v>
      </c>
      <c r="C26" s="84" t="str">
        <f>Products!C53</f>
        <v>40 km</v>
      </c>
      <c r="D26" s="85" t="str">
        <f>Products!D53</f>
        <v>SFP28</v>
      </c>
      <c r="E26" s="90">
        <v>0</v>
      </c>
      <c r="F26" s="90">
        <v>0</v>
      </c>
      <c r="G26" s="90">
        <v>0</v>
      </c>
      <c r="H26" s="90"/>
      <c r="I26" s="90"/>
      <c r="J26" s="90"/>
      <c r="K26" s="90"/>
      <c r="L26" s="187"/>
      <c r="M26" s="187"/>
      <c r="N26" s="187"/>
      <c r="O26" s="187"/>
      <c r="P26" s="187"/>
    </row>
    <row r="27" spans="2:16">
      <c r="B27" s="87" t="str">
        <f>Products!B54</f>
        <v>40G SR4</v>
      </c>
      <c r="C27" s="88" t="str">
        <f>Products!C54</f>
        <v>100 m</v>
      </c>
      <c r="D27" s="89" t="str">
        <f>Products!D54</f>
        <v>QSFP+</v>
      </c>
      <c r="E27" s="82">
        <v>639935</v>
      </c>
      <c r="F27" s="82">
        <v>793812</v>
      </c>
      <c r="G27" s="82">
        <v>960639.5</v>
      </c>
      <c r="H27" s="82"/>
      <c r="I27" s="82"/>
      <c r="J27" s="82"/>
      <c r="K27" s="82"/>
      <c r="L27" s="288"/>
      <c r="M27" s="288"/>
      <c r="N27" s="288"/>
      <c r="O27" s="288"/>
      <c r="P27" s="288"/>
    </row>
    <row r="28" spans="2:16">
      <c r="B28" s="87" t="str">
        <f>Products!B55</f>
        <v>40G MM duplex</v>
      </c>
      <c r="C28" s="88" t="str">
        <f>Products!C55</f>
        <v>100 m</v>
      </c>
      <c r="D28" s="89" t="str">
        <f>Products!D55</f>
        <v>QSFP+</v>
      </c>
      <c r="E28" s="90">
        <v>614294</v>
      </c>
      <c r="F28" s="90">
        <v>750519</v>
      </c>
      <c r="G28" s="90">
        <v>594327</v>
      </c>
      <c r="H28" s="90"/>
      <c r="I28" s="90"/>
      <c r="J28" s="90"/>
      <c r="K28" s="90"/>
      <c r="L28" s="187"/>
      <c r="M28" s="187"/>
      <c r="N28" s="187"/>
      <c r="O28" s="187"/>
      <c r="P28" s="187"/>
    </row>
    <row r="29" spans="2:16">
      <c r="B29" s="87" t="str">
        <f>Products!B56</f>
        <v>40G eSR4</v>
      </c>
      <c r="C29" s="88" t="str">
        <f>Products!C56</f>
        <v>300 m</v>
      </c>
      <c r="D29" s="89" t="str">
        <f>Products!D56</f>
        <v>QSFP+</v>
      </c>
      <c r="E29" s="187">
        <v>275269</v>
      </c>
      <c r="F29" s="187">
        <v>466535</v>
      </c>
      <c r="G29" s="187">
        <v>491067</v>
      </c>
      <c r="H29" s="187"/>
      <c r="I29" s="187"/>
      <c r="J29" s="187"/>
      <c r="K29" s="187"/>
      <c r="L29" s="187"/>
      <c r="M29" s="187"/>
      <c r="N29" s="187"/>
      <c r="O29" s="187"/>
      <c r="P29" s="187"/>
    </row>
    <row r="30" spans="2:16">
      <c r="B30" s="87" t="str">
        <f>Products!B57</f>
        <v xml:space="preserve">40G PSM4 </v>
      </c>
      <c r="C30" s="88" t="s">
        <v>44</v>
      </c>
      <c r="D30" s="89" t="s">
        <v>93</v>
      </c>
      <c r="E30" s="187">
        <v>813790</v>
      </c>
      <c r="F30" s="187">
        <v>613640</v>
      </c>
      <c r="G30" s="187">
        <v>502708</v>
      </c>
      <c r="H30" s="187"/>
      <c r="I30" s="187"/>
      <c r="J30" s="187"/>
      <c r="K30" s="187"/>
      <c r="L30" s="187"/>
      <c r="M30" s="187"/>
      <c r="N30" s="187"/>
      <c r="O30" s="187"/>
      <c r="P30" s="187"/>
    </row>
    <row r="31" spans="2:16">
      <c r="B31" s="87" t="str">
        <f>Products!B58</f>
        <v>40G (FR)</v>
      </c>
      <c r="C31" s="88" t="str">
        <f>Products!C58</f>
        <v>2 km</v>
      </c>
      <c r="D31" s="89" t="str">
        <f>Products!D58</f>
        <v>CFP</v>
      </c>
      <c r="E31" s="187">
        <v>791</v>
      </c>
      <c r="F31" s="187">
        <v>402</v>
      </c>
      <c r="G31" s="187">
        <v>0</v>
      </c>
      <c r="H31" s="187"/>
      <c r="I31" s="187"/>
      <c r="J31" s="187"/>
      <c r="K31" s="187"/>
      <c r="L31" s="187"/>
      <c r="M31" s="187"/>
      <c r="N31" s="187"/>
      <c r="O31" s="187"/>
      <c r="P31" s="187"/>
    </row>
    <row r="32" spans="2:16">
      <c r="B32" s="87" t="str">
        <f>Products!B59</f>
        <v>40G (LR4 subspec)</v>
      </c>
      <c r="C32" s="88" t="str">
        <f>Products!C59</f>
        <v>2 km</v>
      </c>
      <c r="D32" s="89" t="str">
        <f>Products!D59</f>
        <v>QSFP+</v>
      </c>
      <c r="E32" s="187">
        <v>470209</v>
      </c>
      <c r="F32" s="187">
        <v>806616</v>
      </c>
      <c r="G32" s="187">
        <v>271821</v>
      </c>
      <c r="H32" s="187"/>
      <c r="I32" s="187"/>
      <c r="J32" s="187"/>
      <c r="K32" s="187"/>
      <c r="L32" s="187"/>
      <c r="M32" s="187"/>
      <c r="N32" s="187"/>
      <c r="O32" s="187"/>
      <c r="P32" s="187"/>
    </row>
    <row r="33" spans="2:16">
      <c r="B33" s="87" t="str">
        <f>Products!B60</f>
        <v>40G</v>
      </c>
      <c r="C33" s="88" t="str">
        <f>Products!C60</f>
        <v>10 km</v>
      </c>
      <c r="D33" s="89" t="str">
        <f>Products!D60</f>
        <v>CFP</v>
      </c>
      <c r="E33" s="187">
        <v>6655</v>
      </c>
      <c r="F33" s="187">
        <v>2846</v>
      </c>
      <c r="G33" s="187">
        <v>0</v>
      </c>
      <c r="H33" s="187"/>
      <c r="I33" s="187"/>
      <c r="J33" s="187"/>
      <c r="K33" s="187"/>
      <c r="L33" s="187"/>
      <c r="M33" s="187"/>
      <c r="N33" s="187"/>
      <c r="O33" s="187"/>
      <c r="P33" s="187"/>
    </row>
    <row r="34" spans="2:16">
      <c r="B34" s="87" t="str">
        <f>Products!B61</f>
        <v>40G</v>
      </c>
      <c r="C34" s="88" t="str">
        <f>Products!C61</f>
        <v>10 km</v>
      </c>
      <c r="D34" s="89" t="str">
        <f>Products!D61</f>
        <v>QSFP+</v>
      </c>
      <c r="E34" s="187">
        <v>327231</v>
      </c>
      <c r="F34" s="187">
        <v>424358</v>
      </c>
      <c r="G34" s="187">
        <v>269337</v>
      </c>
      <c r="H34" s="187"/>
      <c r="I34" s="187"/>
      <c r="J34" s="187"/>
      <c r="K34" s="187"/>
      <c r="L34" s="187"/>
      <c r="M34" s="187"/>
      <c r="N34" s="187"/>
      <c r="O34" s="187"/>
      <c r="P34" s="187"/>
    </row>
    <row r="35" spans="2:16">
      <c r="B35" s="83" t="str">
        <f>Products!B62</f>
        <v>40G</v>
      </c>
      <c r="C35" s="84" t="str">
        <f>Products!C62</f>
        <v>40 km</v>
      </c>
      <c r="D35" s="85" t="str">
        <f>Products!D62</f>
        <v>QSFP+</v>
      </c>
      <c r="E35" s="287">
        <v>4894</v>
      </c>
      <c r="F35" s="287">
        <v>5432</v>
      </c>
      <c r="G35" s="287">
        <v>8224</v>
      </c>
      <c r="H35" s="287"/>
      <c r="I35" s="287"/>
      <c r="J35" s="287"/>
      <c r="K35" s="287"/>
      <c r="L35" s="287"/>
      <c r="M35" s="287"/>
      <c r="N35" s="287"/>
      <c r="O35" s="287"/>
      <c r="P35" s="287"/>
    </row>
    <row r="36" spans="2:16">
      <c r="B36" s="236" t="str">
        <f>Products!B63</f>
        <v xml:space="preserve">50G </v>
      </c>
      <c r="C36" s="487" t="str">
        <f>Products!C63</f>
        <v>100 m</v>
      </c>
      <c r="D36" s="545" t="str">
        <f>Products!D63</f>
        <v>all</v>
      </c>
      <c r="E36" s="288">
        <v>0</v>
      </c>
      <c r="F36" s="288">
        <v>0</v>
      </c>
      <c r="G36" s="288">
        <v>0</v>
      </c>
      <c r="H36" s="288"/>
      <c r="I36" s="288"/>
      <c r="J36" s="288"/>
      <c r="K36" s="288"/>
      <c r="L36" s="288"/>
      <c r="M36" s="288"/>
      <c r="N36" s="288"/>
      <c r="O36" s="288"/>
      <c r="P36" s="288"/>
    </row>
    <row r="37" spans="2:16">
      <c r="B37" s="239" t="str">
        <f>Products!B64</f>
        <v xml:space="preserve">50G </v>
      </c>
      <c r="C37" s="240" t="str">
        <f>Products!C64</f>
        <v>2 km</v>
      </c>
      <c r="D37" s="241" t="str">
        <f>Products!D64</f>
        <v>all</v>
      </c>
      <c r="E37" s="187">
        <v>0</v>
      </c>
      <c r="F37" s="187">
        <v>0</v>
      </c>
      <c r="G37" s="187">
        <v>0</v>
      </c>
      <c r="H37" s="187"/>
      <c r="I37" s="187"/>
      <c r="J37" s="187"/>
      <c r="K37" s="187"/>
      <c r="L37" s="187"/>
      <c r="M37" s="187"/>
      <c r="N37" s="187"/>
      <c r="O37" s="187"/>
      <c r="P37" s="187"/>
    </row>
    <row r="38" spans="2:16">
      <c r="B38" s="239" t="str">
        <f>Products!B65</f>
        <v xml:space="preserve">50G </v>
      </c>
      <c r="C38" s="240" t="str">
        <f>Products!C65</f>
        <v>10 km</v>
      </c>
      <c r="D38" s="241" t="str">
        <f>Products!D65</f>
        <v>all</v>
      </c>
      <c r="E38" s="187">
        <v>0</v>
      </c>
      <c r="F38" s="187">
        <v>0</v>
      </c>
      <c r="G38" s="187">
        <v>0</v>
      </c>
      <c r="H38" s="187"/>
      <c r="I38" s="187"/>
      <c r="J38" s="187"/>
      <c r="K38" s="187"/>
      <c r="L38" s="187"/>
      <c r="M38" s="187"/>
      <c r="N38" s="187"/>
      <c r="O38" s="187"/>
      <c r="P38" s="187"/>
    </row>
    <row r="39" spans="2:16">
      <c r="B39" s="239" t="str">
        <f>Products!B66</f>
        <v xml:space="preserve">50G </v>
      </c>
      <c r="C39" s="240" t="str">
        <f>Products!C66</f>
        <v>40 km</v>
      </c>
      <c r="D39" s="241" t="str">
        <f>Products!D66</f>
        <v>all</v>
      </c>
      <c r="E39" s="187"/>
      <c r="F39" s="187"/>
      <c r="G39" s="187"/>
      <c r="H39" s="187"/>
      <c r="I39" s="187"/>
      <c r="J39" s="187"/>
      <c r="K39" s="187"/>
      <c r="L39" s="187"/>
      <c r="M39" s="187"/>
      <c r="N39" s="187"/>
      <c r="O39" s="187"/>
      <c r="P39" s="187"/>
    </row>
    <row r="40" spans="2:16">
      <c r="B40" s="242" t="str">
        <f>Products!B67</f>
        <v xml:space="preserve">50G </v>
      </c>
      <c r="C40" s="243" t="str">
        <f>Products!C67</f>
        <v>80 km</v>
      </c>
      <c r="D40" s="244" t="str">
        <f>Products!D67</f>
        <v>all</v>
      </c>
      <c r="E40" s="187"/>
      <c r="F40" s="187"/>
      <c r="G40" s="187"/>
      <c r="H40" s="187"/>
      <c r="I40" s="187"/>
      <c r="J40" s="187"/>
      <c r="K40" s="187"/>
      <c r="L40" s="187"/>
      <c r="M40" s="187"/>
      <c r="N40" s="187"/>
      <c r="O40" s="187"/>
      <c r="P40" s="187"/>
    </row>
    <row r="41" spans="2:16">
      <c r="B41" s="87" t="str">
        <f>Products!B68</f>
        <v>100G SR4</v>
      </c>
      <c r="C41" s="88" t="str">
        <f>Products!C68</f>
        <v>100 m</v>
      </c>
      <c r="D41" s="89" t="str">
        <f>Products!D68</f>
        <v>CFP</v>
      </c>
      <c r="E41" s="82">
        <v>14816</v>
      </c>
      <c r="F41" s="82">
        <v>6913</v>
      </c>
      <c r="G41" s="82">
        <v>5094</v>
      </c>
      <c r="H41" s="82"/>
      <c r="I41" s="82"/>
      <c r="J41" s="82"/>
      <c r="K41" s="82"/>
      <c r="L41" s="82"/>
      <c r="M41" s="82"/>
      <c r="N41" s="82"/>
      <c r="O41" s="82"/>
      <c r="P41" s="82"/>
    </row>
    <row r="42" spans="2:16">
      <c r="B42" s="87" t="str">
        <f>Products!B69</f>
        <v>100G SR4</v>
      </c>
      <c r="C42" s="88" t="str">
        <f>Products!C69</f>
        <v>100 m</v>
      </c>
      <c r="D42" s="89" t="str">
        <f>Products!D69</f>
        <v>CFP2/4</v>
      </c>
      <c r="E42" s="90">
        <v>4367</v>
      </c>
      <c r="F42" s="90">
        <v>2269</v>
      </c>
      <c r="G42" s="90">
        <v>2000</v>
      </c>
      <c r="H42" s="90"/>
      <c r="I42" s="90"/>
      <c r="J42" s="90"/>
      <c r="K42" s="90"/>
      <c r="L42" s="90"/>
      <c r="M42" s="90"/>
      <c r="N42" s="90"/>
      <c r="O42" s="90"/>
      <c r="P42" s="90"/>
    </row>
    <row r="43" spans="2:16">
      <c r="B43" s="87" t="str">
        <f>Products!B70</f>
        <v>100G SR4</v>
      </c>
      <c r="C43" s="88" t="str">
        <f>Products!C70</f>
        <v>100 m</v>
      </c>
      <c r="D43" s="89" t="str">
        <f>Products!D70</f>
        <v>QSFP28</v>
      </c>
      <c r="E43" s="90">
        <v>280058</v>
      </c>
      <c r="F43" s="90">
        <v>622792</v>
      </c>
      <c r="G43" s="90">
        <v>1915817</v>
      </c>
      <c r="H43" s="90"/>
      <c r="I43" s="90"/>
      <c r="J43" s="90"/>
      <c r="K43" s="90"/>
      <c r="L43" s="90"/>
      <c r="M43" s="90"/>
      <c r="N43" s="90"/>
      <c r="O43" s="90"/>
      <c r="P43" s="90"/>
    </row>
    <row r="44" spans="2:16">
      <c r="B44" s="87" t="str">
        <f>Products!B71</f>
        <v>100G SR2</v>
      </c>
      <c r="C44" s="88" t="str">
        <f>Products!C71</f>
        <v>100 m</v>
      </c>
      <c r="D44" s="89" t="str">
        <f>Products!D71</f>
        <v>All</v>
      </c>
      <c r="E44" s="90">
        <v>0</v>
      </c>
      <c r="F44" s="90">
        <v>0</v>
      </c>
      <c r="G44" s="90">
        <v>0</v>
      </c>
      <c r="H44" s="90"/>
      <c r="I44" s="90"/>
      <c r="J44" s="90"/>
      <c r="K44" s="90"/>
      <c r="L44" s="90"/>
      <c r="M44" s="90"/>
      <c r="N44" s="90"/>
      <c r="O44" s="90"/>
      <c r="P44" s="90"/>
    </row>
    <row r="45" spans="2:16">
      <c r="B45" s="87" t="str">
        <f>Products!B72</f>
        <v>100G MM Duplex</v>
      </c>
      <c r="C45" s="88" t="str">
        <f>Products!C72</f>
        <v>100 - 300 m</v>
      </c>
      <c r="D45" s="89" t="str">
        <f>Products!D72</f>
        <v>QSFP28</v>
      </c>
      <c r="E45" s="90">
        <v>0</v>
      </c>
      <c r="F45" s="90">
        <v>0</v>
      </c>
      <c r="G45" s="90">
        <v>150000</v>
      </c>
      <c r="H45" s="90"/>
      <c r="I45" s="90"/>
      <c r="J45" s="90"/>
      <c r="K45" s="90"/>
      <c r="L45" s="90"/>
      <c r="M45" s="90"/>
      <c r="N45" s="90"/>
      <c r="O45" s="90"/>
      <c r="P45" s="90"/>
    </row>
    <row r="46" spans="2:16">
      <c r="B46" s="87" t="str">
        <f>Products!B73</f>
        <v>100G eSR4</v>
      </c>
      <c r="C46" s="88" t="str">
        <f>Products!C73</f>
        <v>300 m</v>
      </c>
      <c r="D46" s="89" t="str">
        <f>Products!D73</f>
        <v>QSFP28</v>
      </c>
      <c r="E46" s="90">
        <v>0</v>
      </c>
      <c r="F46" s="90">
        <v>0</v>
      </c>
      <c r="G46" s="90">
        <v>10000</v>
      </c>
      <c r="H46" s="90"/>
      <c r="I46" s="90"/>
      <c r="J46" s="90"/>
      <c r="K46" s="90"/>
      <c r="L46" s="90"/>
      <c r="M46" s="90"/>
      <c r="N46" s="90"/>
      <c r="O46" s="90"/>
      <c r="P46" s="90"/>
    </row>
    <row r="47" spans="2:16">
      <c r="B47" s="87" t="str">
        <f>Products!B74</f>
        <v>100G PSM4</v>
      </c>
      <c r="C47" s="88" t="str">
        <f>Products!C74</f>
        <v>500 m</v>
      </c>
      <c r="D47" s="89" t="str">
        <f>Products!D74</f>
        <v>QSFP28</v>
      </c>
      <c r="E47" s="90">
        <v>200861</v>
      </c>
      <c r="F47" s="90">
        <v>710038</v>
      </c>
      <c r="G47" s="90">
        <v>514311</v>
      </c>
      <c r="H47" s="90"/>
      <c r="I47" s="90"/>
      <c r="J47" s="90"/>
      <c r="K47" s="90"/>
      <c r="L47" s="90"/>
      <c r="M47" s="90"/>
      <c r="N47" s="90"/>
      <c r="O47" s="90"/>
      <c r="P47" s="90"/>
    </row>
    <row r="48" spans="2:16">
      <c r="B48" s="87" t="str">
        <f>Products!B75</f>
        <v>100G DR</v>
      </c>
      <c r="C48" s="88" t="str">
        <f>Products!C75</f>
        <v>500m</v>
      </c>
      <c r="D48" s="89" t="str">
        <f>Products!D75</f>
        <v>QSFP28</v>
      </c>
      <c r="E48" s="90">
        <v>0</v>
      </c>
      <c r="F48" s="90">
        <v>0</v>
      </c>
      <c r="G48" s="90">
        <v>0</v>
      </c>
      <c r="H48" s="90"/>
      <c r="I48" s="90"/>
      <c r="J48" s="90"/>
      <c r="K48" s="90"/>
      <c r="L48" s="90"/>
      <c r="M48" s="90"/>
      <c r="N48" s="90"/>
      <c r="O48" s="90"/>
      <c r="P48" s="90"/>
    </row>
    <row r="49" spans="2:16">
      <c r="B49" s="87" t="str">
        <f>Products!B76</f>
        <v>100G CWDM4-subspec</v>
      </c>
      <c r="C49" s="88" t="str">
        <f>Products!C76</f>
        <v>500 m</v>
      </c>
      <c r="D49" s="89" t="str">
        <f>Products!D76</f>
        <v>QSFP28</v>
      </c>
      <c r="E49" s="90">
        <v>88200.6</v>
      </c>
      <c r="F49" s="90">
        <v>683412.1</v>
      </c>
      <c r="G49" s="90">
        <v>1100000</v>
      </c>
      <c r="H49" s="90"/>
      <c r="I49" s="90"/>
      <c r="J49" s="90"/>
      <c r="K49" s="90"/>
      <c r="L49" s="90"/>
      <c r="M49" s="90"/>
      <c r="N49" s="90"/>
      <c r="O49" s="90"/>
      <c r="P49" s="90"/>
    </row>
    <row r="50" spans="2:16">
      <c r="B50" s="87" t="str">
        <f>Products!B77</f>
        <v>100G CWDM4</v>
      </c>
      <c r="C50" s="88" t="str">
        <f>Products!C77</f>
        <v>2 km</v>
      </c>
      <c r="D50" s="89" t="str">
        <f>Products!D77</f>
        <v>QSFP28</v>
      </c>
      <c r="E50" s="90">
        <v>30989.399999999994</v>
      </c>
      <c r="F50" s="90">
        <v>292890.90000000002</v>
      </c>
      <c r="G50" s="90">
        <v>1866292.6190476189</v>
      </c>
      <c r="H50" s="90"/>
      <c r="I50" s="90"/>
      <c r="J50" s="90"/>
      <c r="K50" s="90"/>
      <c r="L50" s="90"/>
      <c r="M50" s="90"/>
      <c r="N50" s="90"/>
      <c r="O50" s="90"/>
      <c r="P50" s="90"/>
    </row>
    <row r="51" spans="2:16">
      <c r="B51" s="87" t="str">
        <f>Products!B78</f>
        <v>100G FR, DR+</v>
      </c>
      <c r="C51" s="88" t="str">
        <f>Products!C78</f>
        <v>2 km</v>
      </c>
      <c r="D51" s="89" t="str">
        <f>Products!D78</f>
        <v>QSFP28</v>
      </c>
      <c r="E51" s="90">
        <v>0</v>
      </c>
      <c r="F51" s="90">
        <v>0</v>
      </c>
      <c r="G51" s="90">
        <v>3000</v>
      </c>
      <c r="H51" s="90"/>
      <c r="I51" s="90"/>
      <c r="J51" s="90"/>
      <c r="K51" s="90"/>
      <c r="L51" s="90"/>
      <c r="M51" s="90"/>
      <c r="N51" s="90"/>
      <c r="O51" s="90"/>
      <c r="P51" s="90"/>
    </row>
    <row r="52" spans="2:16">
      <c r="B52" s="87" t="str">
        <f>Products!B79</f>
        <v>100G LR4</v>
      </c>
      <c r="C52" s="88" t="str">
        <f>Products!C79</f>
        <v>10 km</v>
      </c>
      <c r="D52" s="89" t="str">
        <f>Products!D79</f>
        <v>CFP</v>
      </c>
      <c r="E52" s="90">
        <v>109936</v>
      </c>
      <c r="F52" s="90">
        <v>67349</v>
      </c>
      <c r="G52" s="90">
        <v>38716</v>
      </c>
      <c r="H52" s="90"/>
      <c r="I52" s="90"/>
      <c r="J52" s="90"/>
      <c r="K52" s="90"/>
      <c r="L52" s="90"/>
      <c r="M52" s="90"/>
      <c r="N52" s="90"/>
      <c r="O52" s="90"/>
      <c r="P52" s="90"/>
    </row>
    <row r="53" spans="2:16">
      <c r="B53" s="87" t="str">
        <f>Products!B80</f>
        <v>100G LR4</v>
      </c>
      <c r="C53" s="88" t="str">
        <f>Products!C80</f>
        <v>10 km</v>
      </c>
      <c r="D53" s="89" t="str">
        <f>Products!D80</f>
        <v>CFP2/4</v>
      </c>
      <c r="E53" s="90">
        <v>92243</v>
      </c>
      <c r="F53" s="90">
        <v>78202</v>
      </c>
      <c r="G53" s="90">
        <v>73797</v>
      </c>
      <c r="H53" s="90"/>
      <c r="I53" s="90"/>
      <c r="J53" s="90"/>
      <c r="K53" s="90"/>
      <c r="L53" s="90"/>
      <c r="M53" s="90"/>
      <c r="N53" s="90"/>
      <c r="O53" s="90"/>
      <c r="P53" s="90"/>
    </row>
    <row r="54" spans="2:16">
      <c r="B54" s="87" t="str">
        <f>Products!B81</f>
        <v>100G LR4 and LR1</v>
      </c>
      <c r="C54" s="88" t="str">
        <f>Products!C81</f>
        <v>10 km</v>
      </c>
      <c r="D54" s="89" t="str">
        <f>Products!D81</f>
        <v>QSFP28</v>
      </c>
      <c r="E54" s="90">
        <v>90443</v>
      </c>
      <c r="F54" s="90">
        <v>362352</v>
      </c>
      <c r="G54" s="90">
        <v>397891.1176470588</v>
      </c>
      <c r="H54" s="90"/>
      <c r="I54" s="90"/>
      <c r="J54" s="90"/>
      <c r="K54" s="90"/>
      <c r="L54" s="90"/>
      <c r="M54" s="90"/>
      <c r="N54" s="90"/>
      <c r="O54" s="90"/>
      <c r="P54" s="90"/>
    </row>
    <row r="55" spans="2:16">
      <c r="B55" s="87" t="str">
        <f>Products!B82</f>
        <v>100G 4WDM10</v>
      </c>
      <c r="C55" s="88" t="str">
        <f>Products!C82</f>
        <v>10 km</v>
      </c>
      <c r="D55" s="89" t="str">
        <f>Products!D82</f>
        <v>QSFP28</v>
      </c>
      <c r="E55" s="90">
        <v>0</v>
      </c>
      <c r="F55" s="90">
        <v>45000</v>
      </c>
      <c r="G55" s="90">
        <v>100000</v>
      </c>
      <c r="H55" s="90"/>
      <c r="I55" s="90"/>
      <c r="J55" s="90"/>
      <c r="K55" s="90"/>
      <c r="L55" s="90"/>
      <c r="M55" s="90"/>
      <c r="N55" s="90"/>
      <c r="O55" s="90"/>
      <c r="P55" s="90"/>
    </row>
    <row r="56" spans="2:16">
      <c r="B56" s="87" t="str">
        <f>Products!B83</f>
        <v>100G 4WDM20</v>
      </c>
      <c r="C56" s="88" t="str">
        <f>Products!C83</f>
        <v>20 km</v>
      </c>
      <c r="D56" s="89" t="str">
        <f>Products!D83</f>
        <v>QSFP28</v>
      </c>
      <c r="E56" s="90">
        <v>0</v>
      </c>
      <c r="F56" s="90">
        <v>0</v>
      </c>
      <c r="G56" s="90">
        <v>0</v>
      </c>
      <c r="H56" s="90"/>
      <c r="I56" s="90"/>
      <c r="J56" s="90"/>
      <c r="K56" s="90"/>
      <c r="L56" s="90"/>
      <c r="M56" s="90"/>
      <c r="N56" s="90"/>
      <c r="O56" s="90"/>
      <c r="P56" s="90"/>
    </row>
    <row r="57" spans="2:16">
      <c r="B57" s="87" t="str">
        <f>Products!B84</f>
        <v>100G ER4-Lite</v>
      </c>
      <c r="C57" s="88" t="str">
        <f>Products!C84</f>
        <v>30 km</v>
      </c>
      <c r="D57" s="89" t="str">
        <f>Products!D84</f>
        <v>QSFP28</v>
      </c>
      <c r="E57" s="90">
        <v>0</v>
      </c>
      <c r="F57" s="90">
        <v>2000</v>
      </c>
      <c r="G57" s="90">
        <v>6050</v>
      </c>
      <c r="H57" s="90"/>
      <c r="I57" s="90"/>
      <c r="J57" s="90"/>
      <c r="K57" s="90"/>
      <c r="L57" s="90"/>
      <c r="M57" s="90"/>
      <c r="N57" s="90"/>
      <c r="O57" s="90"/>
      <c r="P57" s="90"/>
    </row>
    <row r="58" spans="2:16">
      <c r="B58" s="87" t="str">
        <f>Products!B85</f>
        <v>100G ER4</v>
      </c>
      <c r="C58" s="88" t="str">
        <f>Products!C85</f>
        <v>40 km</v>
      </c>
      <c r="D58" s="89" t="str">
        <f>Products!D85</f>
        <v>QSFP28</v>
      </c>
      <c r="E58" s="90">
        <v>7456</v>
      </c>
      <c r="F58" s="90">
        <v>8272</v>
      </c>
      <c r="G58" s="90">
        <v>4050</v>
      </c>
      <c r="H58" s="90"/>
      <c r="I58" s="90"/>
      <c r="J58" s="90"/>
      <c r="K58" s="90"/>
      <c r="L58" s="90"/>
      <c r="M58" s="90"/>
      <c r="N58" s="90"/>
      <c r="O58" s="90"/>
      <c r="P58" s="90"/>
    </row>
    <row r="59" spans="2:16">
      <c r="B59" s="87" t="str">
        <f>Products!B86</f>
        <v>100G ZR4</v>
      </c>
      <c r="C59" s="88" t="str">
        <f>Products!C86</f>
        <v>80 km</v>
      </c>
      <c r="D59" s="89" t="str">
        <f>Products!D86</f>
        <v>QSFP28</v>
      </c>
      <c r="E59" s="90">
        <v>0</v>
      </c>
      <c r="F59" s="90">
        <v>0</v>
      </c>
      <c r="G59" s="90">
        <v>0</v>
      </c>
      <c r="H59" s="90"/>
      <c r="I59" s="90"/>
      <c r="J59" s="90"/>
      <c r="K59" s="90"/>
      <c r="L59" s="90"/>
      <c r="M59" s="90"/>
      <c r="N59" s="90"/>
      <c r="O59" s="90"/>
      <c r="P59" s="90"/>
    </row>
    <row r="60" spans="2:16">
      <c r="B60" s="79" t="str">
        <f>Products!B87</f>
        <v>200G SR4</v>
      </c>
      <c r="C60" s="80" t="str">
        <f>Products!C87</f>
        <v>100 m</v>
      </c>
      <c r="D60" s="81" t="str">
        <f>Products!D87</f>
        <v>QSFP56</v>
      </c>
      <c r="E60" s="82">
        <v>0</v>
      </c>
      <c r="F60" s="82">
        <v>0</v>
      </c>
      <c r="G60" s="82">
        <v>500</v>
      </c>
      <c r="H60" s="82"/>
      <c r="I60" s="82"/>
      <c r="J60" s="82"/>
      <c r="K60" s="82"/>
      <c r="L60" s="288"/>
      <c r="M60" s="288"/>
      <c r="N60" s="288"/>
      <c r="O60" s="288"/>
      <c r="P60" s="288"/>
    </row>
    <row r="61" spans="2:16">
      <c r="B61" s="87" t="str">
        <f>Products!B88</f>
        <v>200G DR</v>
      </c>
      <c r="C61" s="88" t="str">
        <f>Products!C88</f>
        <v>500 m</v>
      </c>
      <c r="D61" s="89" t="str">
        <f>Products!D88</f>
        <v>TBD</v>
      </c>
      <c r="E61" s="90">
        <v>0</v>
      </c>
      <c r="F61" s="90">
        <v>0</v>
      </c>
      <c r="G61" s="90">
        <v>0</v>
      </c>
      <c r="H61" s="90"/>
      <c r="I61" s="90"/>
      <c r="J61" s="90"/>
      <c r="K61" s="90"/>
      <c r="L61" s="187"/>
      <c r="M61" s="187"/>
      <c r="N61" s="187"/>
      <c r="O61" s="187"/>
      <c r="P61" s="187"/>
    </row>
    <row r="62" spans="2:16">
      <c r="B62" s="87" t="str">
        <f>Products!B89</f>
        <v>200G FR4</v>
      </c>
      <c r="C62" s="88" t="str">
        <f>Products!C89</f>
        <v>3 km</v>
      </c>
      <c r="D62" s="89" t="str">
        <f>Products!D89</f>
        <v>QSFP56</v>
      </c>
      <c r="E62" s="90">
        <v>0</v>
      </c>
      <c r="F62" s="90">
        <v>0</v>
      </c>
      <c r="G62" s="90">
        <v>500</v>
      </c>
      <c r="H62" s="90"/>
      <c r="I62" s="90"/>
      <c r="J62" s="90"/>
      <c r="K62" s="90"/>
      <c r="L62" s="187"/>
      <c r="M62" s="187"/>
      <c r="N62" s="187"/>
      <c r="O62" s="187"/>
      <c r="P62" s="187"/>
    </row>
    <row r="63" spans="2:16">
      <c r="B63" s="87" t="str">
        <f>Products!B90</f>
        <v>200G LR</v>
      </c>
      <c r="C63" s="88" t="str">
        <f>Products!C90</f>
        <v>10 km</v>
      </c>
      <c r="D63" s="89" t="str">
        <f>Products!D90</f>
        <v>TBD</v>
      </c>
      <c r="E63" s="90">
        <v>0</v>
      </c>
      <c r="F63" s="90">
        <v>0</v>
      </c>
      <c r="G63" s="90">
        <v>0</v>
      </c>
      <c r="H63" s="90"/>
      <c r="I63" s="90"/>
      <c r="J63" s="90"/>
      <c r="K63" s="90"/>
      <c r="L63" s="187"/>
      <c r="M63" s="187"/>
      <c r="N63" s="187"/>
      <c r="O63" s="187"/>
      <c r="P63" s="187"/>
    </row>
    <row r="64" spans="2:16">
      <c r="B64" s="83" t="str">
        <f>Products!B91</f>
        <v>200G ER4</v>
      </c>
      <c r="C64" s="84" t="str">
        <f>Products!C91</f>
        <v>40 km</v>
      </c>
      <c r="D64" s="85" t="str">
        <f>Products!D91</f>
        <v>TBD</v>
      </c>
      <c r="E64" s="86">
        <v>0</v>
      </c>
      <c r="F64" s="86">
        <v>0</v>
      </c>
      <c r="G64" s="86">
        <v>0</v>
      </c>
      <c r="H64" s="86"/>
      <c r="I64" s="86"/>
      <c r="J64" s="86"/>
      <c r="K64" s="86"/>
      <c r="L64" s="287"/>
      <c r="M64" s="287"/>
      <c r="N64" s="287"/>
      <c r="O64" s="287"/>
      <c r="P64" s="287"/>
    </row>
    <row r="65" spans="2:16">
      <c r="B65" s="79" t="str">
        <f>Products!B92</f>
        <v>2x200 (400G-SR8)</v>
      </c>
      <c r="C65" s="80" t="str">
        <f>Products!C92</f>
        <v>100 m</v>
      </c>
      <c r="D65" s="81" t="str">
        <f>Products!D92</f>
        <v>OSFP, QSFP-DD</v>
      </c>
      <c r="E65" s="82">
        <v>0</v>
      </c>
      <c r="F65" s="82">
        <v>0</v>
      </c>
      <c r="G65" s="82">
        <v>23000</v>
      </c>
      <c r="H65" s="82"/>
      <c r="I65" s="82"/>
      <c r="J65" s="82"/>
      <c r="K65" s="82"/>
      <c r="L65" s="288"/>
      <c r="M65" s="288"/>
      <c r="N65" s="288"/>
      <c r="O65" s="288"/>
      <c r="P65" s="288"/>
    </row>
    <row r="66" spans="2:16">
      <c r="B66" s="87" t="str">
        <f>Products!B93</f>
        <v>400G SR4.2</v>
      </c>
      <c r="C66" s="88" t="str">
        <f>Products!C93</f>
        <v>100 m</v>
      </c>
      <c r="D66" s="89" t="str">
        <f>Products!D93</f>
        <v>OSFP, QSFP-DD</v>
      </c>
      <c r="E66" s="90">
        <v>0</v>
      </c>
      <c r="F66" s="90">
        <v>0</v>
      </c>
      <c r="G66" s="90">
        <v>0</v>
      </c>
      <c r="H66" s="90"/>
      <c r="I66" s="90"/>
      <c r="J66" s="90"/>
      <c r="K66" s="90"/>
      <c r="L66" s="187"/>
      <c r="M66" s="187"/>
      <c r="N66" s="187"/>
      <c r="O66" s="187"/>
      <c r="P66" s="187"/>
    </row>
    <row r="67" spans="2:16">
      <c r="B67" s="87" t="str">
        <f>Products!B94</f>
        <v>400G DR4</v>
      </c>
      <c r="C67" s="88" t="str">
        <f>Products!C94</f>
        <v>500 m</v>
      </c>
      <c r="D67" s="89" t="str">
        <f>Products!D94</f>
        <v>OSFP, QSFP-DD, QSFP112</v>
      </c>
      <c r="E67" s="90">
        <v>0</v>
      </c>
      <c r="F67" s="90">
        <v>0</v>
      </c>
      <c r="G67" s="90">
        <v>2000</v>
      </c>
      <c r="H67" s="90"/>
      <c r="I67" s="90"/>
      <c r="J67" s="90"/>
      <c r="K67" s="90"/>
      <c r="L67" s="187"/>
      <c r="M67" s="187"/>
      <c r="N67" s="187"/>
      <c r="O67" s="187"/>
      <c r="P67" s="187"/>
    </row>
    <row r="68" spans="2:16">
      <c r="B68" s="87" t="str">
        <f>Products!B95</f>
        <v>2x(200G FR4)</v>
      </c>
      <c r="C68" s="88" t="str">
        <f>Products!C95</f>
        <v>2 km</v>
      </c>
      <c r="D68" s="89" t="str">
        <f>Products!D95</f>
        <v>OSFP</v>
      </c>
      <c r="E68" s="90">
        <v>0</v>
      </c>
      <c r="F68" s="90">
        <v>0</v>
      </c>
      <c r="G68" s="90">
        <v>12000</v>
      </c>
      <c r="H68" s="90"/>
      <c r="I68" s="90"/>
      <c r="J68" s="90"/>
      <c r="K68" s="90"/>
      <c r="L68" s="187"/>
      <c r="M68" s="187"/>
      <c r="N68" s="187"/>
      <c r="O68" s="187"/>
      <c r="P68" s="187"/>
    </row>
    <row r="69" spans="2:16">
      <c r="B69" s="87" t="str">
        <f>Products!B96</f>
        <v>400G FR4</v>
      </c>
      <c r="C69" s="88" t="str">
        <f>Products!C96</f>
        <v>2 km</v>
      </c>
      <c r="D69" s="89" t="str">
        <f>Products!D96</f>
        <v>OSFP, QSFP-DD, QSFP112</v>
      </c>
      <c r="E69" s="90">
        <v>0</v>
      </c>
      <c r="F69" s="90">
        <v>7</v>
      </c>
      <c r="G69" s="90">
        <v>1000</v>
      </c>
      <c r="H69" s="90"/>
      <c r="I69" s="90"/>
      <c r="J69" s="90"/>
      <c r="K69" s="90"/>
      <c r="L69" s="187"/>
      <c r="M69" s="187"/>
      <c r="N69" s="187"/>
      <c r="O69" s="187"/>
      <c r="P69" s="187"/>
    </row>
    <row r="70" spans="2:16">
      <c r="B70" s="87" t="str">
        <f>Products!B97</f>
        <v>400G LR8, LR4</v>
      </c>
      <c r="C70" s="88" t="str">
        <f>Products!C97</f>
        <v>10 km</v>
      </c>
      <c r="D70" s="89" t="str">
        <f>Products!D97</f>
        <v>OSFP, QSFP-DD, QSFP112</v>
      </c>
      <c r="E70" s="90">
        <v>0</v>
      </c>
      <c r="F70" s="90">
        <v>82</v>
      </c>
      <c r="G70" s="90">
        <v>1000</v>
      </c>
      <c r="H70" s="90"/>
      <c r="I70" s="90"/>
      <c r="J70" s="90"/>
      <c r="K70" s="90"/>
      <c r="L70" s="187"/>
      <c r="M70" s="187"/>
      <c r="N70" s="187"/>
      <c r="O70" s="187"/>
      <c r="P70" s="187"/>
    </row>
    <row r="71" spans="2:16">
      <c r="B71" s="83" t="str">
        <f>Products!B98</f>
        <v>400G ER4</v>
      </c>
      <c r="C71" s="84" t="str">
        <f>Products!C98</f>
        <v>40 km</v>
      </c>
      <c r="D71" s="85" t="str">
        <f>Products!D98</f>
        <v>TBD</v>
      </c>
      <c r="E71" s="86">
        <v>0</v>
      </c>
      <c r="F71" s="86">
        <v>0</v>
      </c>
      <c r="G71" s="86">
        <v>0</v>
      </c>
      <c r="H71" s="86"/>
      <c r="I71" s="86"/>
      <c r="J71" s="86"/>
      <c r="K71" s="86"/>
      <c r="L71" s="287"/>
      <c r="M71" s="287"/>
      <c r="N71" s="287"/>
      <c r="O71" s="287"/>
      <c r="P71" s="287"/>
    </row>
    <row r="72" spans="2:16" s="92" customFormat="1">
      <c r="B72" s="87" t="str">
        <f>Products!B99</f>
        <v>800G SR8</v>
      </c>
      <c r="C72" s="88" t="str">
        <f>Products!C99</f>
        <v>50 m</v>
      </c>
      <c r="D72" s="89" t="str">
        <f>Products!D99</f>
        <v>OSFP, QSFP-DD800</v>
      </c>
      <c r="E72" s="90"/>
      <c r="F72" s="90"/>
      <c r="G72" s="90"/>
      <c r="H72" s="90"/>
      <c r="I72" s="90"/>
      <c r="J72" s="90"/>
      <c r="K72" s="90"/>
      <c r="L72" s="187"/>
      <c r="M72" s="187"/>
      <c r="N72" s="187"/>
      <c r="O72" s="187"/>
      <c r="P72" s="187"/>
    </row>
    <row r="73" spans="2:16" s="92" customFormat="1">
      <c r="B73" s="87" t="str">
        <f>Products!B100</f>
        <v>800G DR8, DR4</v>
      </c>
      <c r="C73" s="88" t="str">
        <f>Products!C100</f>
        <v>500 m</v>
      </c>
      <c r="D73" s="89" t="str">
        <f>Products!D100</f>
        <v>OSFP, QSFP-DD800</v>
      </c>
      <c r="E73" s="90"/>
      <c r="F73" s="90"/>
      <c r="G73" s="90"/>
      <c r="H73" s="90"/>
      <c r="I73" s="90"/>
      <c r="J73" s="90"/>
      <c r="K73" s="90"/>
      <c r="L73" s="187"/>
      <c r="M73" s="187"/>
      <c r="N73" s="187"/>
      <c r="O73" s="187"/>
      <c r="P73" s="187"/>
    </row>
    <row r="74" spans="2:16" s="92" customFormat="1">
      <c r="B74" s="87" t="str">
        <f>Products!B101</f>
        <v>2x(400G FR4), 800G FR4</v>
      </c>
      <c r="C74" s="88" t="str">
        <f>Products!C101</f>
        <v>2 km</v>
      </c>
      <c r="D74" s="89" t="str">
        <f>Products!D101</f>
        <v>OSFP, QSFP-DD800</v>
      </c>
      <c r="E74" s="90"/>
      <c r="F74" s="90"/>
      <c r="G74" s="90"/>
      <c r="H74" s="90"/>
      <c r="I74" s="90"/>
      <c r="J74" s="90"/>
      <c r="K74" s="90"/>
      <c r="L74" s="187"/>
      <c r="M74" s="187"/>
      <c r="N74" s="187"/>
      <c r="O74" s="187"/>
      <c r="P74" s="187"/>
    </row>
    <row r="75" spans="2:16" s="92" customFormat="1">
      <c r="B75" s="87" t="str">
        <f>Products!B102</f>
        <v>800G LR8, LR4</v>
      </c>
      <c r="C75" s="88" t="str">
        <f>Products!C102</f>
        <v>6, 10 km</v>
      </c>
      <c r="D75" s="89" t="str">
        <f>Products!D102</f>
        <v>TBD</v>
      </c>
      <c r="E75" s="90"/>
      <c r="F75" s="90"/>
      <c r="G75" s="90"/>
      <c r="H75" s="90"/>
      <c r="I75" s="90"/>
      <c r="J75" s="90"/>
      <c r="K75" s="90"/>
      <c r="L75" s="187"/>
      <c r="M75" s="187"/>
      <c r="N75" s="187"/>
      <c r="O75" s="187"/>
      <c r="P75" s="187"/>
    </row>
    <row r="76" spans="2:16" s="92" customFormat="1">
      <c r="B76" s="87" t="str">
        <f>Products!B103</f>
        <v>800G ZRlite</v>
      </c>
      <c r="C76" s="88" t="str">
        <f>Products!C103</f>
        <v>10 km, 20 km</v>
      </c>
      <c r="D76" s="89" t="str">
        <f>Products!D103</f>
        <v>TBD</v>
      </c>
      <c r="E76" s="90"/>
      <c r="F76" s="90"/>
      <c r="G76" s="90"/>
      <c r="H76" s="90"/>
      <c r="I76" s="90"/>
      <c r="J76" s="90"/>
      <c r="K76" s="90"/>
      <c r="L76" s="187"/>
      <c r="M76" s="187"/>
      <c r="N76" s="187"/>
      <c r="O76" s="187"/>
      <c r="P76" s="187"/>
    </row>
    <row r="77" spans="2:16" s="92" customFormat="1">
      <c r="B77" s="83" t="str">
        <f>Products!B104</f>
        <v>800G ER4</v>
      </c>
      <c r="C77" s="84" t="str">
        <f>Products!C104</f>
        <v>40 km</v>
      </c>
      <c r="D77" s="85" t="str">
        <f>Products!D104</f>
        <v>TBD</v>
      </c>
      <c r="E77" s="86"/>
      <c r="F77" s="86"/>
      <c r="G77" s="86"/>
      <c r="H77" s="86"/>
      <c r="I77" s="86"/>
      <c r="J77" s="86"/>
      <c r="K77" s="86"/>
      <c r="L77" s="287"/>
      <c r="M77" s="287"/>
      <c r="N77" s="287"/>
      <c r="O77" s="287"/>
      <c r="P77" s="287"/>
    </row>
    <row r="78" spans="2:16" s="92" customFormat="1">
      <c r="B78" s="87" t="str">
        <f>Products!B105</f>
        <v>1.6T SR16</v>
      </c>
      <c r="C78" s="88" t="str">
        <f>Products!C105</f>
        <v>100 m</v>
      </c>
      <c r="D78" s="89" t="str">
        <f>Products!D105</f>
        <v>OSFP-XD and TBD</v>
      </c>
      <c r="E78" s="90"/>
      <c r="F78" s="90"/>
      <c r="G78" s="90"/>
      <c r="H78" s="90"/>
      <c r="I78" s="90"/>
      <c r="J78" s="90"/>
      <c r="K78" s="90"/>
      <c r="L78" s="187"/>
      <c r="M78" s="187"/>
      <c r="N78" s="187"/>
      <c r="O78" s="187"/>
      <c r="P78" s="187"/>
    </row>
    <row r="79" spans="2:16" s="92" customFormat="1">
      <c r="B79" s="87" t="str">
        <f>Products!B106</f>
        <v>1.6T DR8</v>
      </c>
      <c r="C79" s="88" t="str">
        <f>Products!C106</f>
        <v>500 m</v>
      </c>
      <c r="D79" s="89" t="str">
        <f>Products!D106</f>
        <v>OSFP-XD and TBD</v>
      </c>
      <c r="E79" s="90"/>
      <c r="F79" s="90"/>
      <c r="G79" s="90"/>
      <c r="H79" s="90"/>
      <c r="I79" s="90"/>
      <c r="J79" s="90"/>
      <c r="K79" s="90"/>
      <c r="L79" s="187"/>
      <c r="M79" s="187"/>
      <c r="N79" s="187"/>
      <c r="O79" s="187"/>
      <c r="P79" s="187"/>
    </row>
    <row r="80" spans="2:16" s="92" customFormat="1">
      <c r="B80" s="87" t="str">
        <f>Products!B107</f>
        <v>1.6T FR8</v>
      </c>
      <c r="C80" s="88" t="str">
        <f>Products!C107</f>
        <v>2 km</v>
      </c>
      <c r="D80" s="89" t="str">
        <f>Products!D107</f>
        <v>OSFP-XD and TBD</v>
      </c>
      <c r="E80" s="90"/>
      <c r="F80" s="90"/>
      <c r="G80" s="90"/>
      <c r="H80" s="90"/>
      <c r="I80" s="90"/>
      <c r="J80" s="90"/>
      <c r="K80" s="90"/>
      <c r="L80" s="187"/>
      <c r="M80" s="187"/>
      <c r="N80" s="187"/>
      <c r="O80" s="187"/>
      <c r="P80" s="187"/>
    </row>
    <row r="81" spans="2:16" s="92" customFormat="1">
      <c r="B81" s="87" t="str">
        <f>Products!B108</f>
        <v>1.6T LR8</v>
      </c>
      <c r="C81" s="88" t="str">
        <f>Products!C108</f>
        <v>10 km</v>
      </c>
      <c r="D81" s="89" t="str">
        <f>Products!D108</f>
        <v>OSFP-XD and TBD</v>
      </c>
      <c r="E81" s="90"/>
      <c r="F81" s="90"/>
      <c r="G81" s="90"/>
      <c r="H81" s="90"/>
      <c r="I81" s="90"/>
      <c r="J81" s="90"/>
      <c r="K81" s="90"/>
      <c r="L81" s="187"/>
      <c r="M81" s="187"/>
      <c r="N81" s="187"/>
      <c r="O81" s="187"/>
      <c r="P81" s="187"/>
    </row>
    <row r="82" spans="2:16" s="92" customFormat="1">
      <c r="B82" s="83" t="str">
        <f>Products!B109</f>
        <v>1.6T ER8</v>
      </c>
      <c r="C82" s="84" t="str">
        <f>Products!C109</f>
        <v>&gt;10 km</v>
      </c>
      <c r="D82" s="85" t="str">
        <f>Products!D109</f>
        <v>OSFP-XD and TBD</v>
      </c>
      <c r="E82" s="86"/>
      <c r="F82" s="86"/>
      <c r="G82" s="86"/>
      <c r="H82" s="86"/>
      <c r="I82" s="86"/>
      <c r="J82" s="86"/>
      <c r="K82" s="86"/>
      <c r="L82" s="287"/>
      <c r="M82" s="287"/>
      <c r="N82" s="287"/>
      <c r="O82" s="287"/>
      <c r="P82" s="287"/>
    </row>
    <row r="83" spans="2:16" s="92" customFormat="1">
      <c r="B83" s="87" t="str">
        <f>Products!B110</f>
        <v>3.2T SR</v>
      </c>
      <c r="C83" s="88" t="str">
        <f>Products!C110</f>
        <v>100 m</v>
      </c>
      <c r="D83" s="89" t="str">
        <f>Products!D110</f>
        <v>OSFP-XD and TBD</v>
      </c>
      <c r="E83" s="90"/>
      <c r="F83" s="90"/>
      <c r="G83" s="90"/>
      <c r="H83" s="90"/>
      <c r="I83" s="90"/>
      <c r="J83" s="90"/>
      <c r="K83" s="90"/>
      <c r="L83" s="187"/>
      <c r="M83" s="187"/>
      <c r="N83" s="187"/>
      <c r="O83" s="187"/>
      <c r="P83" s="187"/>
    </row>
    <row r="84" spans="2:16" s="92" customFormat="1">
      <c r="B84" s="87" t="str">
        <f>Products!B111</f>
        <v>3.2T DR</v>
      </c>
      <c r="C84" s="88" t="str">
        <f>Products!C111</f>
        <v>500 m</v>
      </c>
      <c r="D84" s="89" t="str">
        <f>Products!D111</f>
        <v>OSFP-XD and TBD</v>
      </c>
      <c r="E84" s="90"/>
      <c r="F84" s="90"/>
      <c r="G84" s="90"/>
      <c r="H84" s="90"/>
      <c r="I84" s="90"/>
      <c r="J84" s="90"/>
      <c r="K84" s="90"/>
      <c r="L84" s="187"/>
      <c r="M84" s="187"/>
      <c r="N84" s="187"/>
      <c r="O84" s="187"/>
      <c r="P84" s="187"/>
    </row>
    <row r="85" spans="2:16" s="92" customFormat="1">
      <c r="B85" s="87" t="str">
        <f>Products!B112</f>
        <v>3.2T FR</v>
      </c>
      <c r="C85" s="88" t="str">
        <f>Products!C112</f>
        <v>2 km</v>
      </c>
      <c r="D85" s="89" t="str">
        <f>Products!D112</f>
        <v>OSFP-XD and TBD</v>
      </c>
      <c r="E85" s="90"/>
      <c r="F85" s="90"/>
      <c r="G85" s="90"/>
      <c r="H85" s="90"/>
      <c r="I85" s="90"/>
      <c r="J85" s="90"/>
      <c r="K85" s="90"/>
      <c r="L85" s="187"/>
      <c r="M85" s="187"/>
      <c r="N85" s="187"/>
      <c r="O85" s="187"/>
      <c r="P85" s="187"/>
    </row>
    <row r="86" spans="2:16" s="92" customFormat="1">
      <c r="B86" s="87" t="str">
        <f>Products!B113</f>
        <v>3.2T LR</v>
      </c>
      <c r="C86" s="88" t="str">
        <f>Products!C113</f>
        <v>10 km</v>
      </c>
      <c r="D86" s="89" t="str">
        <f>Products!D113</f>
        <v>OSFP-XD and TBD</v>
      </c>
      <c r="E86" s="90"/>
      <c r="F86" s="90"/>
      <c r="G86" s="90"/>
      <c r="H86" s="90"/>
      <c r="I86" s="90"/>
      <c r="J86" s="90"/>
      <c r="K86" s="90"/>
      <c r="L86" s="187"/>
      <c r="M86" s="187"/>
      <c r="N86" s="187"/>
      <c r="O86" s="187"/>
      <c r="P86" s="187"/>
    </row>
    <row r="87" spans="2:16" s="92" customFormat="1">
      <c r="B87" s="87" t="str">
        <f>Products!B114</f>
        <v>3.2T ER</v>
      </c>
      <c r="C87" s="88" t="str">
        <f>Products!C114</f>
        <v>&gt;10 km</v>
      </c>
      <c r="D87" s="89" t="str">
        <f>Products!D114</f>
        <v>OSFP-XD and TBD</v>
      </c>
      <c r="E87" s="90"/>
      <c r="F87" s="90"/>
      <c r="G87" s="90"/>
      <c r="H87" s="90"/>
      <c r="I87" s="90"/>
      <c r="J87" s="90"/>
      <c r="K87" s="90"/>
      <c r="L87" s="187"/>
      <c r="M87" s="187"/>
      <c r="N87" s="187"/>
      <c r="O87" s="187"/>
      <c r="P87" s="187"/>
    </row>
    <row r="88" spans="2:16" s="92" customFormat="1">
      <c r="B88" s="83">
        <f>Products!B115</f>
        <v>0</v>
      </c>
      <c r="C88" s="84"/>
      <c r="D88" s="85"/>
      <c r="E88" s="86"/>
      <c r="F88" s="86"/>
      <c r="G88" s="86"/>
      <c r="H88" s="86"/>
      <c r="I88" s="86"/>
      <c r="J88" s="86"/>
      <c r="K88" s="86"/>
      <c r="L88" s="287"/>
      <c r="M88" s="287"/>
      <c r="N88" s="287"/>
      <c r="O88" s="287"/>
      <c r="P88" s="287"/>
    </row>
    <row r="89" spans="2:16">
      <c r="B89" s="45" t="s">
        <v>20</v>
      </c>
      <c r="C89" s="46"/>
      <c r="D89" s="47"/>
      <c r="E89" s="96">
        <f t="shared" ref="E89:G89" si="0">SUM(E9:E88)</f>
        <v>36433414.034999996</v>
      </c>
      <c r="F89" s="96">
        <f t="shared" si="0"/>
        <v>38102112.150000006</v>
      </c>
      <c r="G89" s="96">
        <f t="shared" si="0"/>
        <v>46060310.33669468</v>
      </c>
      <c r="H89" s="96"/>
      <c r="I89" s="96"/>
      <c r="J89" s="96"/>
      <c r="K89" s="96"/>
      <c r="L89" s="96"/>
      <c r="M89" s="96"/>
      <c r="N89" s="96"/>
      <c r="O89" s="96"/>
      <c r="P89" s="96"/>
    </row>
    <row r="90" spans="2:16">
      <c r="B90" s="232" t="s">
        <v>340</v>
      </c>
      <c r="C90" s="510" t="s">
        <v>49</v>
      </c>
      <c r="D90" s="545" t="s">
        <v>49</v>
      </c>
      <c r="E90" s="273">
        <f t="shared" ref="E90:G90" si="1">SUM(E14:E23)</f>
        <v>18581871.93</v>
      </c>
      <c r="F90" s="505">
        <f t="shared" si="1"/>
        <v>19969351.100000001</v>
      </c>
      <c r="G90" s="505">
        <f t="shared" si="1"/>
        <v>22020505.100000001</v>
      </c>
      <c r="H90" s="505"/>
      <c r="I90" s="505"/>
      <c r="J90" s="505"/>
      <c r="K90" s="505"/>
      <c r="L90" s="505"/>
      <c r="M90" s="505"/>
      <c r="N90" s="505"/>
      <c r="O90" s="505"/>
      <c r="P90" s="505"/>
    </row>
    <row r="91" spans="2:16">
      <c r="B91" s="48" t="s">
        <v>213</v>
      </c>
      <c r="C91" s="267" t="s">
        <v>49</v>
      </c>
      <c r="D91" s="509" t="s">
        <v>49</v>
      </c>
      <c r="E91" s="272">
        <f t="shared" ref="E91:G91" si="2">SUM(E24:E26)</f>
        <v>11694</v>
      </c>
      <c r="F91" s="272">
        <f t="shared" si="2"/>
        <v>113327</v>
      </c>
      <c r="G91" s="272">
        <f t="shared" si="2"/>
        <v>375687</v>
      </c>
      <c r="H91" s="277"/>
      <c r="I91" s="277"/>
      <c r="J91" s="277"/>
      <c r="K91" s="277"/>
      <c r="L91" s="21"/>
      <c r="M91" s="21"/>
      <c r="N91" s="21"/>
      <c r="O91" s="21"/>
      <c r="P91" s="21"/>
    </row>
    <row r="92" spans="2:16">
      <c r="B92" s="48" t="s">
        <v>212</v>
      </c>
      <c r="C92" s="267" t="s">
        <v>49</v>
      </c>
      <c r="D92" s="509" t="s">
        <v>49</v>
      </c>
      <c r="E92" s="21">
        <f t="shared" ref="E92:G92" si="3">SUM(E27:E35)</f>
        <v>3153068</v>
      </c>
      <c r="F92" s="21">
        <f t="shared" si="3"/>
        <v>3864160</v>
      </c>
      <c r="G92" s="21">
        <f t="shared" si="3"/>
        <v>3098123.5</v>
      </c>
      <c r="H92" s="21"/>
      <c r="I92" s="21"/>
      <c r="J92" s="21"/>
      <c r="K92" s="21"/>
      <c r="L92" s="21"/>
      <c r="M92" s="21"/>
      <c r="N92" s="21"/>
      <c r="O92" s="21"/>
      <c r="P92" s="21"/>
    </row>
    <row r="93" spans="2:16">
      <c r="B93" s="48" t="s">
        <v>214</v>
      </c>
      <c r="C93" s="267" t="s">
        <v>49</v>
      </c>
      <c r="D93" s="509" t="s">
        <v>49</v>
      </c>
      <c r="E93" s="21">
        <f t="shared" ref="E93:G93" si="4">SUM(E36:E40)</f>
        <v>0</v>
      </c>
      <c r="F93" s="21">
        <f t="shared" si="4"/>
        <v>0</v>
      </c>
      <c r="G93" s="21">
        <f t="shared" si="4"/>
        <v>0</v>
      </c>
      <c r="H93" s="21"/>
      <c r="I93" s="21"/>
      <c r="J93" s="21"/>
      <c r="K93" s="21"/>
      <c r="L93" s="21"/>
      <c r="M93" s="21"/>
      <c r="N93" s="21"/>
      <c r="O93" s="21"/>
      <c r="P93" s="21"/>
    </row>
    <row r="94" spans="2:16">
      <c r="B94" s="48" t="s">
        <v>209</v>
      </c>
      <c r="C94" s="267" t="s">
        <v>49</v>
      </c>
      <c r="D94" s="509" t="s">
        <v>49</v>
      </c>
      <c r="E94" s="21">
        <f t="shared" ref="E94:G94" si="5">SUM(E41:E59)</f>
        <v>919370</v>
      </c>
      <c r="F94" s="21">
        <f t="shared" si="5"/>
        <v>2881490</v>
      </c>
      <c r="G94" s="21">
        <f t="shared" si="5"/>
        <v>6187018.7366946787</v>
      </c>
      <c r="H94" s="21"/>
      <c r="I94" s="21"/>
      <c r="J94" s="21"/>
      <c r="K94" s="21"/>
      <c r="L94" s="21"/>
      <c r="M94" s="21"/>
      <c r="N94" s="21"/>
      <c r="O94" s="21"/>
      <c r="P94" s="21"/>
    </row>
    <row r="95" spans="2:16">
      <c r="B95" s="48" t="s">
        <v>211</v>
      </c>
      <c r="C95" s="267" t="s">
        <v>49</v>
      </c>
      <c r="D95" s="509" t="s">
        <v>49</v>
      </c>
      <c r="E95" s="438">
        <f>SUM(E60:E64)</f>
        <v>0</v>
      </c>
      <c r="F95" s="438">
        <f t="shared" ref="F95:G95" si="6">SUM(F60:F64)</f>
        <v>0</v>
      </c>
      <c r="G95" s="438">
        <f t="shared" si="6"/>
        <v>1000</v>
      </c>
      <c r="H95" s="438"/>
      <c r="I95" s="438"/>
      <c r="J95" s="438"/>
      <c r="K95" s="21"/>
      <c r="L95" s="21"/>
      <c r="M95" s="21"/>
      <c r="N95" s="21"/>
      <c r="O95" s="21"/>
      <c r="P95" s="21"/>
    </row>
    <row r="96" spans="2:16">
      <c r="B96" s="48" t="s">
        <v>210</v>
      </c>
      <c r="C96" s="267" t="s">
        <v>49</v>
      </c>
      <c r="D96" s="509" t="s">
        <v>49</v>
      </c>
      <c r="E96" s="21">
        <f>SUM(E65:E71)</f>
        <v>0</v>
      </c>
      <c r="F96" s="21">
        <f t="shared" ref="F96:G96" si="7">SUM(F65:F71)</f>
        <v>89</v>
      </c>
      <c r="G96" s="21">
        <f t="shared" si="7"/>
        <v>39000</v>
      </c>
      <c r="H96" s="21"/>
      <c r="I96" s="21"/>
      <c r="J96" s="21"/>
      <c r="K96" s="21"/>
      <c r="L96" s="21"/>
      <c r="M96" s="21"/>
      <c r="N96" s="21"/>
      <c r="O96" s="21"/>
      <c r="P96" s="21"/>
    </row>
    <row r="97" spans="2:16">
      <c r="B97" s="48" t="s">
        <v>369</v>
      </c>
      <c r="C97" s="267" t="s">
        <v>49</v>
      </c>
      <c r="D97" s="509" t="s">
        <v>49</v>
      </c>
      <c r="E97" s="438">
        <f>SUM(E72:E77)</f>
        <v>0</v>
      </c>
      <c r="F97" s="438">
        <f t="shared" ref="F97:G97" si="8">SUM(F72:F77)</f>
        <v>0</v>
      </c>
      <c r="G97" s="438">
        <f t="shared" si="8"/>
        <v>0</v>
      </c>
      <c r="H97" s="438"/>
      <c r="I97" s="438"/>
      <c r="J97" s="438"/>
      <c r="K97" s="438"/>
      <c r="L97" s="438"/>
      <c r="M97" s="438"/>
      <c r="N97" s="438"/>
      <c r="O97" s="438"/>
      <c r="P97" s="438"/>
    </row>
    <row r="98" spans="2:16">
      <c r="B98" s="48" t="s">
        <v>462</v>
      </c>
      <c r="C98" s="267" t="s">
        <v>49</v>
      </c>
      <c r="D98" s="509" t="s">
        <v>49</v>
      </c>
      <c r="E98" s="21"/>
      <c r="F98" s="21"/>
      <c r="G98" s="21"/>
      <c r="H98" s="21"/>
      <c r="I98" s="21"/>
      <c r="J98" s="438"/>
      <c r="K98" s="438"/>
      <c r="L98" s="21"/>
      <c r="M98" s="21"/>
      <c r="N98" s="21"/>
      <c r="O98" s="21"/>
      <c r="P98" s="21"/>
    </row>
    <row r="99" spans="2:16">
      <c r="B99" s="93" t="s">
        <v>463</v>
      </c>
      <c r="C99" s="94" t="s">
        <v>49</v>
      </c>
      <c r="D99" s="95" t="s">
        <v>49</v>
      </c>
      <c r="E99" s="55"/>
      <c r="F99" s="55"/>
      <c r="G99" s="55"/>
      <c r="H99" s="55"/>
      <c r="I99" s="55"/>
      <c r="J99" s="55"/>
      <c r="K99" s="55"/>
      <c r="L99" s="55"/>
      <c r="M99" s="55"/>
      <c r="N99" s="55"/>
      <c r="O99" s="55"/>
      <c r="P99" s="55"/>
    </row>
    <row r="100" spans="2:16">
      <c r="D100" s="546"/>
      <c r="E100" s="354"/>
      <c r="F100" s="354"/>
      <c r="G100" s="354"/>
      <c r="H100" s="354"/>
      <c r="I100" s="354"/>
      <c r="J100" s="354"/>
      <c r="K100" s="354"/>
      <c r="L100" s="354"/>
      <c r="M100" s="354"/>
      <c r="N100" s="354"/>
      <c r="O100" s="354"/>
      <c r="P100" s="354"/>
    </row>
    <row r="101" spans="2:16">
      <c r="E101" s="624"/>
      <c r="F101" s="624"/>
      <c r="G101" s="624"/>
      <c r="H101" s="624"/>
      <c r="I101" s="624"/>
      <c r="J101" s="624"/>
      <c r="K101" s="624"/>
      <c r="L101" s="624"/>
      <c r="M101" s="624"/>
      <c r="N101" s="624"/>
      <c r="O101" s="624"/>
      <c r="P101" s="624"/>
    </row>
    <row r="103" spans="2:16" ht="21">
      <c r="B103" s="14" t="s">
        <v>19</v>
      </c>
      <c r="C103" s="14"/>
      <c r="D103" s="14"/>
      <c r="E103" s="246"/>
      <c r="F103" s="246"/>
      <c r="G103" s="246"/>
      <c r="H103" s="246"/>
      <c r="I103" s="246"/>
      <c r="J103" s="246"/>
      <c r="K103" s="246"/>
      <c r="L103" s="441"/>
      <c r="M103" s="441"/>
      <c r="N103" s="441"/>
      <c r="O103" s="441"/>
      <c r="P103" s="441"/>
    </row>
    <row r="104" spans="2:16">
      <c r="B104" s="77" t="str">
        <f>B6</f>
        <v>Data Rate</v>
      </c>
      <c r="C104" s="77" t="str">
        <f>C6</f>
        <v>Reach</v>
      </c>
      <c r="D104" s="77" t="str">
        <f>D6</f>
        <v>Form Factor</v>
      </c>
      <c r="E104" s="78">
        <v>2016</v>
      </c>
      <c r="F104" s="78">
        <v>2017</v>
      </c>
      <c r="G104" s="78">
        <v>2018</v>
      </c>
      <c r="H104" s="78">
        <v>2019</v>
      </c>
      <c r="I104" s="78">
        <v>2020</v>
      </c>
      <c r="J104" s="78">
        <v>2021</v>
      </c>
      <c r="K104" s="78">
        <v>2022</v>
      </c>
      <c r="L104" s="78">
        <v>2023</v>
      </c>
      <c r="M104" s="78">
        <v>2024</v>
      </c>
      <c r="N104" s="78">
        <v>2025</v>
      </c>
      <c r="O104" s="78">
        <v>2026</v>
      </c>
      <c r="P104" s="78">
        <v>2027</v>
      </c>
    </row>
    <row r="105" spans="2:16">
      <c r="B105" s="79" t="str">
        <f t="shared" ref="B105:D134" si="9">B9</f>
        <v>1G</v>
      </c>
      <c r="C105" s="80" t="str">
        <f t="shared" si="9"/>
        <v>500 m</v>
      </c>
      <c r="D105" s="81" t="str">
        <f t="shared" si="9"/>
        <v>SFP</v>
      </c>
      <c r="E105" s="103">
        <f t="shared" ref="E105:G105" si="10">IF(E9=0,"",E201*10^6/E9)</f>
        <v>10.178233731377588</v>
      </c>
      <c r="F105" s="103">
        <f t="shared" si="10"/>
        <v>8.9746992158904888</v>
      </c>
      <c r="G105" s="103">
        <f t="shared" si="10"/>
        <v>8.1963947817703744</v>
      </c>
      <c r="H105" s="103"/>
      <c r="I105" s="103"/>
      <c r="J105" s="103"/>
      <c r="K105" s="103"/>
      <c r="L105" s="104"/>
      <c r="M105" s="104"/>
      <c r="N105" s="104"/>
      <c r="O105" s="104"/>
      <c r="P105" s="104"/>
    </row>
    <row r="106" spans="2:16">
      <c r="B106" s="87" t="str">
        <f t="shared" si="9"/>
        <v>1G</v>
      </c>
      <c r="C106" s="88" t="str">
        <f t="shared" si="9"/>
        <v>10 km</v>
      </c>
      <c r="D106" s="89" t="str">
        <f t="shared" si="9"/>
        <v>SFP</v>
      </c>
      <c r="E106" s="103">
        <f t="shared" ref="E106:G106" si="11">IF(E10=0,"",E202*10^6/E10)</f>
        <v>11.313150064475876</v>
      </c>
      <c r="F106" s="103">
        <f t="shared" si="11"/>
        <v>9.7279618337487541</v>
      </c>
      <c r="G106" s="103">
        <f t="shared" si="11"/>
        <v>7.9991133376783168</v>
      </c>
      <c r="H106" s="103"/>
      <c r="I106" s="103"/>
      <c r="J106" s="103"/>
      <c r="K106" s="103"/>
      <c r="L106" s="104"/>
      <c r="M106" s="104"/>
      <c r="N106" s="104"/>
      <c r="O106" s="104"/>
      <c r="P106" s="104"/>
    </row>
    <row r="107" spans="2:16">
      <c r="B107" s="87" t="str">
        <f t="shared" si="9"/>
        <v>1G</v>
      </c>
      <c r="C107" s="88" t="str">
        <f t="shared" si="9"/>
        <v>40 km</v>
      </c>
      <c r="D107" s="89" t="str">
        <f t="shared" si="9"/>
        <v>SFP</v>
      </c>
      <c r="E107" s="103">
        <f t="shared" ref="E107:G107" si="12">IF(E11=0,"",E203*10^6/E11)</f>
        <v>14.223250006112197</v>
      </c>
      <c r="F107" s="103">
        <f t="shared" si="12"/>
        <v>11.270556706605298</v>
      </c>
      <c r="G107" s="103">
        <f t="shared" si="12"/>
        <v>11.355942578382948</v>
      </c>
      <c r="H107" s="103"/>
      <c r="I107" s="103"/>
      <c r="J107" s="103"/>
      <c r="K107" s="103"/>
      <c r="L107" s="104"/>
      <c r="M107" s="104"/>
      <c r="N107" s="104"/>
      <c r="O107" s="104"/>
      <c r="P107" s="104"/>
    </row>
    <row r="108" spans="2:16">
      <c r="B108" s="87" t="str">
        <f t="shared" si="9"/>
        <v>1G</v>
      </c>
      <c r="C108" s="88" t="str">
        <f t="shared" si="9"/>
        <v>80 km</v>
      </c>
      <c r="D108" s="89" t="str">
        <f t="shared" si="9"/>
        <v>SFP</v>
      </c>
      <c r="E108" s="103">
        <f t="shared" ref="E108:G108" si="13">IF(E12=0,"",E204*10^6/E12)</f>
        <v>47.263945249069465</v>
      </c>
      <c r="F108" s="103">
        <f t="shared" si="13"/>
        <v>42.349942382451964</v>
      </c>
      <c r="G108" s="103">
        <f t="shared" si="13"/>
        <v>32.87799862653884</v>
      </c>
      <c r="H108" s="103"/>
      <c r="I108" s="103"/>
      <c r="J108" s="103"/>
      <c r="K108" s="103"/>
      <c r="L108" s="104"/>
      <c r="M108" s="104"/>
      <c r="N108" s="104"/>
      <c r="O108" s="104"/>
      <c r="P108" s="104"/>
    </row>
    <row r="109" spans="2:16">
      <c r="B109" s="83" t="str">
        <f t="shared" si="9"/>
        <v>G &amp; Fast Ethernet</v>
      </c>
      <c r="C109" s="84" t="str">
        <f t="shared" si="9"/>
        <v>Various</v>
      </c>
      <c r="D109" s="85" t="str">
        <f t="shared" si="9"/>
        <v>Legacy/discontinued</v>
      </c>
      <c r="E109" s="102">
        <f t="shared" ref="E109:G134" si="14">IF(E13=0,"",E205*10^6/E13)</f>
        <v>18</v>
      </c>
      <c r="F109" s="102" t="str">
        <f t="shared" si="14"/>
        <v/>
      </c>
      <c r="G109" s="102" t="str">
        <f t="shared" si="14"/>
        <v/>
      </c>
      <c r="H109" s="102"/>
      <c r="I109" s="102"/>
      <c r="J109" s="102"/>
      <c r="K109" s="102"/>
      <c r="L109" s="443"/>
      <c r="M109" s="443"/>
      <c r="N109" s="443"/>
      <c r="O109" s="443"/>
      <c r="P109" s="443"/>
    </row>
    <row r="110" spans="2:16">
      <c r="B110" s="87" t="str">
        <f t="shared" si="9"/>
        <v>10G</v>
      </c>
      <c r="C110" s="88" t="str">
        <f t="shared" si="9"/>
        <v>300 m</v>
      </c>
      <c r="D110" s="89" t="str">
        <f t="shared" si="9"/>
        <v>XFP</v>
      </c>
      <c r="E110" s="103">
        <f t="shared" si="14"/>
        <v>65.084287545305614</v>
      </c>
      <c r="F110" s="103">
        <f t="shared" si="14"/>
        <v>58.749084731162213</v>
      </c>
      <c r="G110" s="103">
        <f t="shared" si="14"/>
        <v>53.859817130996483</v>
      </c>
      <c r="H110" s="103"/>
      <c r="I110" s="103"/>
      <c r="J110" s="103"/>
      <c r="K110" s="103"/>
      <c r="L110" s="104"/>
      <c r="M110" s="104"/>
      <c r="N110" s="104"/>
      <c r="O110" s="104"/>
      <c r="P110" s="104"/>
    </row>
    <row r="111" spans="2:16">
      <c r="B111" s="87" t="str">
        <f t="shared" si="9"/>
        <v>10G</v>
      </c>
      <c r="C111" s="88" t="str">
        <f t="shared" si="9"/>
        <v>300 m</v>
      </c>
      <c r="D111" s="89" t="str">
        <f t="shared" si="9"/>
        <v>SFP+</v>
      </c>
      <c r="E111" s="103">
        <f t="shared" si="14"/>
        <v>18.016278339273537</v>
      </c>
      <c r="F111" s="103">
        <f t="shared" si="14"/>
        <v>15.097691372748406</v>
      </c>
      <c r="G111" s="103">
        <f t="shared" si="14"/>
        <v>12.873119482168063</v>
      </c>
      <c r="H111" s="103"/>
      <c r="I111" s="103"/>
      <c r="J111" s="103"/>
      <c r="K111" s="103"/>
      <c r="L111" s="104"/>
      <c r="M111" s="104"/>
      <c r="N111" s="104"/>
      <c r="O111" s="104"/>
      <c r="P111" s="104"/>
    </row>
    <row r="112" spans="2:16">
      <c r="B112" s="87" t="str">
        <f t="shared" si="9"/>
        <v>10G LRM</v>
      </c>
      <c r="C112" s="88" t="str">
        <f t="shared" si="9"/>
        <v>220 m</v>
      </c>
      <c r="D112" s="89" t="str">
        <f t="shared" si="9"/>
        <v>SFP+</v>
      </c>
      <c r="E112" s="103">
        <f t="shared" si="14"/>
        <v>78.390761412913719</v>
      </c>
      <c r="F112" s="103">
        <f t="shared" si="14"/>
        <v>66.716018564745482</v>
      </c>
      <c r="G112" s="103">
        <f t="shared" si="14"/>
        <v>62.552567664917163</v>
      </c>
      <c r="H112" s="103"/>
      <c r="I112" s="103"/>
      <c r="J112" s="103"/>
      <c r="K112" s="103"/>
      <c r="L112" s="104"/>
      <c r="M112" s="104"/>
      <c r="N112" s="104"/>
      <c r="O112" s="104"/>
      <c r="P112" s="104"/>
    </row>
    <row r="113" spans="2:16">
      <c r="B113" s="87" t="str">
        <f t="shared" si="9"/>
        <v>10G</v>
      </c>
      <c r="C113" s="88" t="str">
        <f t="shared" si="9"/>
        <v>10 km</v>
      </c>
      <c r="D113" s="89" t="str">
        <f t="shared" si="9"/>
        <v>XFP</v>
      </c>
      <c r="E113" s="103">
        <f t="shared" si="14"/>
        <v>67.576972221049004</v>
      </c>
      <c r="F113" s="103">
        <f t="shared" si="14"/>
        <v>51.799368807617711</v>
      </c>
      <c r="G113" s="103">
        <f t="shared" si="14"/>
        <v>44.013044587017021</v>
      </c>
      <c r="H113" s="103"/>
      <c r="I113" s="103"/>
      <c r="J113" s="103"/>
      <c r="K113" s="103"/>
      <c r="L113" s="104"/>
      <c r="M113" s="104"/>
      <c r="N113" s="104"/>
      <c r="O113" s="104"/>
      <c r="P113" s="104"/>
    </row>
    <row r="114" spans="2:16">
      <c r="B114" s="87" t="str">
        <f t="shared" si="9"/>
        <v>10G</v>
      </c>
      <c r="C114" s="88" t="str">
        <f t="shared" si="9"/>
        <v>10 km</v>
      </c>
      <c r="D114" s="89" t="str">
        <f t="shared" si="9"/>
        <v>SFP+</v>
      </c>
      <c r="E114" s="103">
        <f t="shared" si="14"/>
        <v>38.465958311427336</v>
      </c>
      <c r="F114" s="103">
        <f t="shared" si="14"/>
        <v>30.5</v>
      </c>
      <c r="G114" s="103">
        <f t="shared" si="14"/>
        <v>24.174517052756187</v>
      </c>
      <c r="H114" s="103"/>
      <c r="I114" s="103"/>
      <c r="J114" s="103"/>
      <c r="K114" s="103"/>
      <c r="L114" s="104"/>
      <c r="M114" s="104"/>
      <c r="N114" s="104"/>
      <c r="O114" s="104"/>
      <c r="P114" s="104"/>
    </row>
    <row r="115" spans="2:16">
      <c r="B115" s="87" t="str">
        <f t="shared" si="9"/>
        <v>10G</v>
      </c>
      <c r="C115" s="88" t="str">
        <f t="shared" si="9"/>
        <v>40 km</v>
      </c>
      <c r="D115" s="89" t="str">
        <f t="shared" si="9"/>
        <v>XFP</v>
      </c>
      <c r="E115" s="103">
        <f t="shared" si="14"/>
        <v>202.96860771881492</v>
      </c>
      <c r="F115" s="103">
        <f t="shared" si="14"/>
        <v>139.47449702400385</v>
      </c>
      <c r="G115" s="103">
        <f t="shared" si="14"/>
        <v>119.6669017796072</v>
      </c>
      <c r="H115" s="103"/>
      <c r="I115" s="103"/>
      <c r="J115" s="103"/>
      <c r="K115" s="103"/>
      <c r="L115" s="104"/>
      <c r="M115" s="104"/>
      <c r="N115" s="104"/>
      <c r="O115" s="104"/>
      <c r="P115" s="104"/>
    </row>
    <row r="116" spans="2:16">
      <c r="B116" s="87" t="str">
        <f t="shared" si="9"/>
        <v>10G</v>
      </c>
      <c r="C116" s="88" t="str">
        <f t="shared" si="9"/>
        <v>40 km</v>
      </c>
      <c r="D116" s="89" t="str">
        <f t="shared" si="9"/>
        <v>SFP+</v>
      </c>
      <c r="E116" s="103">
        <f t="shared" si="14"/>
        <v>191.20778168956542</v>
      </c>
      <c r="F116" s="103">
        <f t="shared" si="14"/>
        <v>155.78241680453388</v>
      </c>
      <c r="G116" s="103">
        <f t="shared" si="14"/>
        <v>99.963714368632438</v>
      </c>
      <c r="H116" s="103"/>
      <c r="I116" s="103"/>
      <c r="J116" s="103"/>
      <c r="K116" s="103"/>
      <c r="L116" s="104"/>
      <c r="M116" s="104"/>
      <c r="N116" s="104"/>
      <c r="O116" s="104"/>
      <c r="P116" s="104"/>
    </row>
    <row r="117" spans="2:16">
      <c r="B117" s="87" t="str">
        <f t="shared" si="9"/>
        <v>10G</v>
      </c>
      <c r="C117" s="88" t="str">
        <f t="shared" si="9"/>
        <v>80 km</v>
      </c>
      <c r="D117" s="89" t="str">
        <f t="shared" si="9"/>
        <v>XFP</v>
      </c>
      <c r="E117" s="103">
        <f t="shared" si="14"/>
        <v>272.0748723385496</v>
      </c>
      <c r="F117" s="103">
        <f t="shared" si="14"/>
        <v>279.05568350167476</v>
      </c>
      <c r="G117" s="103">
        <f t="shared" si="14"/>
        <v>298.53432873031477</v>
      </c>
      <c r="H117" s="103"/>
      <c r="I117" s="103"/>
      <c r="J117" s="103"/>
      <c r="K117" s="103"/>
      <c r="L117" s="103"/>
      <c r="M117" s="103"/>
      <c r="N117" s="103"/>
      <c r="O117" s="103"/>
      <c r="P117" s="103"/>
    </row>
    <row r="118" spans="2:16">
      <c r="B118" s="87" t="str">
        <f t="shared" si="9"/>
        <v>10G</v>
      </c>
      <c r="C118" s="88" t="str">
        <f t="shared" si="9"/>
        <v>80 km</v>
      </c>
      <c r="D118" s="89" t="str">
        <f t="shared" si="9"/>
        <v>SFP+</v>
      </c>
      <c r="E118" s="103">
        <f t="shared" si="14"/>
        <v>362.31733736347383</v>
      </c>
      <c r="F118" s="103">
        <f t="shared" si="14"/>
        <v>296.14130230693672</v>
      </c>
      <c r="G118" s="103">
        <f t="shared" si="14"/>
        <v>232.06261204152722</v>
      </c>
      <c r="H118" s="103"/>
      <c r="I118" s="103"/>
      <c r="J118" s="103"/>
      <c r="K118" s="103"/>
      <c r="L118" s="104"/>
      <c r="M118" s="104"/>
      <c r="N118" s="104"/>
      <c r="O118" s="104"/>
      <c r="P118" s="104"/>
    </row>
    <row r="119" spans="2:16">
      <c r="B119" s="87" t="str">
        <f t="shared" si="9"/>
        <v>10G</v>
      </c>
      <c r="C119" s="88" t="str">
        <f t="shared" si="9"/>
        <v>Various</v>
      </c>
      <c r="D119" s="89" t="str">
        <f t="shared" si="9"/>
        <v>Legacy/discontinued</v>
      </c>
      <c r="E119" s="102">
        <f t="shared" si="14"/>
        <v>99.093186017554928</v>
      </c>
      <c r="F119" s="102">
        <f t="shared" si="14"/>
        <v>94.281145957499305</v>
      </c>
      <c r="G119" s="102">
        <f t="shared" si="14"/>
        <v>114.28571428571429</v>
      </c>
      <c r="H119" s="102"/>
      <c r="I119" s="102"/>
      <c r="J119" s="102"/>
      <c r="K119" s="102"/>
      <c r="L119" s="443"/>
      <c r="M119" s="443"/>
      <c r="N119" s="443"/>
      <c r="O119" s="443"/>
      <c r="P119" s="443"/>
    </row>
    <row r="120" spans="2:16">
      <c r="B120" s="79" t="str">
        <f t="shared" si="9"/>
        <v>25G SR, eSR</v>
      </c>
      <c r="C120" s="80" t="str">
        <f t="shared" si="9"/>
        <v>100 - 300 m</v>
      </c>
      <c r="D120" s="81" t="str">
        <f t="shared" si="9"/>
        <v>SFP28</v>
      </c>
      <c r="E120" s="101">
        <f t="shared" si="14"/>
        <v>187.14315701091519</v>
      </c>
      <c r="F120" s="101">
        <f t="shared" si="14"/>
        <v>141.11071819746516</v>
      </c>
      <c r="G120" s="101">
        <f t="shared" si="14"/>
        <v>87.296721341283785</v>
      </c>
      <c r="H120" s="101"/>
      <c r="I120" s="101"/>
      <c r="J120" s="101"/>
      <c r="K120" s="101"/>
      <c r="L120" s="355"/>
      <c r="M120" s="355"/>
      <c r="N120" s="355"/>
      <c r="O120" s="355"/>
      <c r="P120" s="355"/>
    </row>
    <row r="121" spans="2:16">
      <c r="B121" s="87" t="str">
        <f t="shared" si="9"/>
        <v>25G LR</v>
      </c>
      <c r="C121" s="88" t="str">
        <f t="shared" si="9"/>
        <v>10 km</v>
      </c>
      <c r="D121" s="89" t="str">
        <f t="shared" si="9"/>
        <v>SFP28</v>
      </c>
      <c r="E121" s="103">
        <f t="shared" si="14"/>
        <v>456.24032541776609</v>
      </c>
      <c r="F121" s="103">
        <f t="shared" si="14"/>
        <v>324.10355668962507</v>
      </c>
      <c r="G121" s="103">
        <f t="shared" si="14"/>
        <v>194.62477807755377</v>
      </c>
      <c r="H121" s="103"/>
      <c r="I121" s="103"/>
      <c r="J121" s="103"/>
      <c r="K121" s="103"/>
      <c r="L121" s="104"/>
      <c r="M121" s="104"/>
      <c r="N121" s="104"/>
      <c r="O121" s="104"/>
      <c r="P121" s="104"/>
    </row>
    <row r="122" spans="2:16">
      <c r="B122" s="83" t="str">
        <f t="shared" si="9"/>
        <v>25G ER</v>
      </c>
      <c r="C122" s="84" t="str">
        <f t="shared" si="9"/>
        <v>40 km</v>
      </c>
      <c r="D122" s="85" t="str">
        <f t="shared" si="9"/>
        <v>SFP28</v>
      </c>
      <c r="E122" s="103" t="str">
        <f t="shared" si="14"/>
        <v/>
      </c>
      <c r="F122" s="103" t="str">
        <f t="shared" si="14"/>
        <v/>
      </c>
      <c r="G122" s="103" t="str">
        <f t="shared" si="14"/>
        <v/>
      </c>
      <c r="H122" s="103"/>
      <c r="I122" s="103"/>
      <c r="J122" s="103"/>
      <c r="K122" s="103"/>
      <c r="L122" s="104"/>
      <c r="M122" s="104"/>
      <c r="N122" s="104"/>
      <c r="O122" s="104"/>
      <c r="P122" s="104"/>
    </row>
    <row r="123" spans="2:16">
      <c r="B123" s="87" t="str">
        <f t="shared" si="9"/>
        <v>40G SR4</v>
      </c>
      <c r="C123" s="88" t="str">
        <f t="shared" si="9"/>
        <v>100 m</v>
      </c>
      <c r="D123" s="89" t="str">
        <f t="shared" si="9"/>
        <v>QSFP+</v>
      </c>
      <c r="E123" s="101">
        <f t="shared" si="14"/>
        <v>96.595063887564976</v>
      </c>
      <c r="F123" s="101">
        <f t="shared" si="14"/>
        <v>80.379797575925679</v>
      </c>
      <c r="G123" s="101">
        <f t="shared" si="14"/>
        <v>58.660264540622045</v>
      </c>
      <c r="H123" s="101"/>
      <c r="I123" s="101"/>
      <c r="J123" s="101"/>
      <c r="K123" s="101"/>
      <c r="L123" s="355"/>
      <c r="M123" s="355"/>
      <c r="N123" s="355"/>
      <c r="O123" s="355"/>
      <c r="P123" s="355"/>
    </row>
    <row r="124" spans="2:16">
      <c r="B124" s="87" t="str">
        <f t="shared" si="9"/>
        <v>40G MM duplex</v>
      </c>
      <c r="C124" s="88" t="str">
        <f t="shared" si="9"/>
        <v>100 m</v>
      </c>
      <c r="D124" s="89" t="str">
        <f t="shared" si="9"/>
        <v>QSFP+</v>
      </c>
      <c r="E124" s="103">
        <f t="shared" si="14"/>
        <v>250</v>
      </c>
      <c r="F124" s="103">
        <f t="shared" si="14"/>
        <v>240</v>
      </c>
      <c r="G124" s="103">
        <f t="shared" si="14"/>
        <v>227</v>
      </c>
      <c r="H124" s="103"/>
      <c r="I124" s="103"/>
      <c r="J124" s="103"/>
      <c r="K124" s="103"/>
      <c r="L124" s="104"/>
      <c r="M124" s="104"/>
      <c r="N124" s="104"/>
      <c r="O124" s="104"/>
      <c r="P124" s="104"/>
    </row>
    <row r="125" spans="2:16">
      <c r="B125" s="87" t="str">
        <f t="shared" si="9"/>
        <v>40G eSR4</v>
      </c>
      <c r="C125" s="88" t="str">
        <f t="shared" si="9"/>
        <v>300 m</v>
      </c>
      <c r="D125" s="89" t="str">
        <f t="shared" si="9"/>
        <v>QSFP+</v>
      </c>
      <c r="E125" s="103">
        <f t="shared" si="14"/>
        <v>106.66614587912188</v>
      </c>
      <c r="F125" s="103">
        <f t="shared" si="14"/>
        <v>80.99928194026171</v>
      </c>
      <c r="G125" s="103">
        <f t="shared" si="14"/>
        <v>63.850920529241115</v>
      </c>
      <c r="H125" s="103"/>
      <c r="I125" s="103"/>
      <c r="J125" s="103"/>
      <c r="K125" s="103"/>
      <c r="L125" s="104"/>
      <c r="M125" s="104"/>
      <c r="N125" s="104"/>
      <c r="O125" s="104"/>
      <c r="P125" s="104"/>
    </row>
    <row r="126" spans="2:16">
      <c r="B126" s="87" t="str">
        <f t="shared" si="9"/>
        <v xml:space="preserve">40G PSM4 </v>
      </c>
      <c r="C126" s="88" t="str">
        <f t="shared" si="9"/>
        <v>500 m</v>
      </c>
      <c r="D126" s="89" t="str">
        <f t="shared" si="9"/>
        <v>QSFP+</v>
      </c>
      <c r="E126" s="104">
        <f t="shared" si="14"/>
        <v>253.19068527507093</v>
      </c>
      <c r="F126" s="104">
        <f t="shared" si="14"/>
        <v>262.79055146339874</v>
      </c>
      <c r="G126" s="104">
        <f t="shared" si="14"/>
        <v>251.75081757202989</v>
      </c>
      <c r="H126" s="104"/>
      <c r="I126" s="104"/>
      <c r="J126" s="104"/>
      <c r="K126" s="104"/>
      <c r="L126" s="104"/>
      <c r="M126" s="104"/>
      <c r="N126" s="104"/>
      <c r="O126" s="104"/>
      <c r="P126" s="104"/>
    </row>
    <row r="127" spans="2:16">
      <c r="B127" s="87" t="str">
        <f t="shared" si="9"/>
        <v>40G (FR)</v>
      </c>
      <c r="C127" s="88" t="str">
        <f t="shared" si="9"/>
        <v>2 km</v>
      </c>
      <c r="D127" s="89" t="str">
        <f t="shared" si="9"/>
        <v>CFP</v>
      </c>
      <c r="E127" s="103">
        <f t="shared" si="14"/>
        <v>4569.894941368153</v>
      </c>
      <c r="F127" s="103">
        <f t="shared" si="14"/>
        <v>5251.681208639473</v>
      </c>
      <c r="G127" s="103" t="str">
        <f t="shared" si="14"/>
        <v/>
      </c>
      <c r="H127" s="103"/>
      <c r="I127" s="103"/>
      <c r="J127" s="103"/>
      <c r="K127" s="103"/>
      <c r="L127" s="104"/>
      <c r="M127" s="104"/>
      <c r="N127" s="104"/>
      <c r="O127" s="104"/>
      <c r="P127" s="104"/>
    </row>
    <row r="128" spans="2:16">
      <c r="B128" s="87" t="str">
        <f t="shared" si="9"/>
        <v>40G (LR4 subspec)</v>
      </c>
      <c r="C128" s="88" t="str">
        <f t="shared" si="9"/>
        <v>2 km</v>
      </c>
      <c r="D128" s="89" t="str">
        <f t="shared" si="9"/>
        <v>QSFP+</v>
      </c>
      <c r="E128" s="103">
        <f t="shared" si="14"/>
        <v>377.60055209491952</v>
      </c>
      <c r="F128" s="103">
        <f t="shared" si="14"/>
        <v>343.5254726908467</v>
      </c>
      <c r="G128" s="103">
        <f t="shared" si="14"/>
        <v>303.68617678545809</v>
      </c>
      <c r="H128" s="103"/>
      <c r="I128" s="103"/>
      <c r="J128" s="103"/>
      <c r="K128" s="103"/>
      <c r="L128" s="104"/>
      <c r="M128" s="104"/>
      <c r="N128" s="104"/>
      <c r="O128" s="104"/>
      <c r="P128" s="104"/>
    </row>
    <row r="129" spans="2:16">
      <c r="B129" s="87" t="str">
        <f t="shared" si="9"/>
        <v>40G</v>
      </c>
      <c r="C129" s="88" t="str">
        <f t="shared" si="9"/>
        <v>10 km</v>
      </c>
      <c r="D129" s="89" t="str">
        <f t="shared" si="9"/>
        <v>CFP</v>
      </c>
      <c r="E129" s="103">
        <f t="shared" si="14"/>
        <v>1174.9655306999969</v>
      </c>
      <c r="F129" s="103">
        <f t="shared" si="14"/>
        <v>1350.8997571323105</v>
      </c>
      <c r="G129" s="103" t="str">
        <f t="shared" si="14"/>
        <v/>
      </c>
      <c r="H129" s="103"/>
      <c r="I129" s="103"/>
      <c r="J129" s="103"/>
      <c r="K129" s="103"/>
      <c r="L129" s="104"/>
      <c r="M129" s="104"/>
      <c r="N129" s="104"/>
      <c r="O129" s="104"/>
      <c r="P129" s="104"/>
    </row>
    <row r="130" spans="2:16">
      <c r="B130" s="87" t="str">
        <f t="shared" si="9"/>
        <v>40G</v>
      </c>
      <c r="C130" s="88" t="str">
        <f t="shared" si="9"/>
        <v>10 km</v>
      </c>
      <c r="D130" s="89" t="str">
        <f t="shared" si="9"/>
        <v>QSFP+</v>
      </c>
      <c r="E130" s="103">
        <f t="shared" si="14"/>
        <v>427.72742888770347</v>
      </c>
      <c r="F130" s="103">
        <f t="shared" si="14"/>
        <v>401.36672508917627</v>
      </c>
      <c r="G130" s="103">
        <f t="shared" si="14"/>
        <v>361.77095787062291</v>
      </c>
      <c r="H130" s="103"/>
      <c r="I130" s="103"/>
      <c r="J130" s="103"/>
      <c r="K130" s="103"/>
      <c r="L130" s="104"/>
      <c r="M130" s="104"/>
      <c r="N130" s="104"/>
      <c r="O130" s="104"/>
      <c r="P130" s="104"/>
    </row>
    <row r="131" spans="2:16">
      <c r="B131" s="83" t="str">
        <f t="shared" si="9"/>
        <v>40G</v>
      </c>
      <c r="C131" s="84" t="str">
        <f t="shared" si="9"/>
        <v>40 km</v>
      </c>
      <c r="D131" s="85" t="str">
        <f t="shared" si="9"/>
        <v>QSFP+</v>
      </c>
      <c r="E131" s="102">
        <f t="shared" si="14"/>
        <v>1673.0572324239708</v>
      </c>
      <c r="F131" s="102">
        <f t="shared" si="14"/>
        <v>1459.2330281290015</v>
      </c>
      <c r="G131" s="102">
        <f t="shared" si="14"/>
        <v>1255.0508268482483</v>
      </c>
      <c r="H131" s="102"/>
      <c r="I131" s="102"/>
      <c r="J131" s="102"/>
      <c r="K131" s="102"/>
      <c r="L131" s="443"/>
      <c r="M131" s="443"/>
      <c r="N131" s="443"/>
      <c r="O131" s="443"/>
      <c r="P131" s="443"/>
    </row>
    <row r="132" spans="2:16">
      <c r="B132" s="79" t="str">
        <f t="shared" si="9"/>
        <v xml:space="preserve">50G </v>
      </c>
      <c r="C132" s="80" t="str">
        <f t="shared" si="9"/>
        <v>100 m</v>
      </c>
      <c r="D132" s="81" t="str">
        <f t="shared" si="9"/>
        <v>all</v>
      </c>
      <c r="E132" s="101" t="str">
        <f t="shared" si="14"/>
        <v/>
      </c>
      <c r="F132" s="101" t="str">
        <f t="shared" si="14"/>
        <v/>
      </c>
      <c r="G132" s="101" t="str">
        <f t="shared" si="14"/>
        <v/>
      </c>
      <c r="H132" s="101"/>
      <c r="I132" s="101"/>
      <c r="J132" s="101"/>
      <c r="K132" s="101"/>
      <c r="L132" s="355"/>
      <c r="M132" s="355"/>
      <c r="N132" s="355"/>
      <c r="O132" s="355"/>
      <c r="P132" s="355"/>
    </row>
    <row r="133" spans="2:16">
      <c r="B133" s="239" t="str">
        <f t="shared" si="9"/>
        <v xml:space="preserve">50G </v>
      </c>
      <c r="C133" s="240" t="str">
        <f t="shared" si="9"/>
        <v>2 km</v>
      </c>
      <c r="D133" s="241" t="str">
        <f t="shared" si="9"/>
        <v>all</v>
      </c>
      <c r="E133" s="104" t="str">
        <f t="shared" si="14"/>
        <v/>
      </c>
      <c r="F133" s="104" t="str">
        <f t="shared" si="14"/>
        <v/>
      </c>
      <c r="G133" s="104" t="str">
        <f t="shared" si="14"/>
        <v/>
      </c>
      <c r="H133" s="104"/>
      <c r="I133" s="104"/>
      <c r="J133" s="104"/>
      <c r="K133" s="104"/>
      <c r="L133" s="104"/>
      <c r="M133" s="104"/>
      <c r="N133" s="104"/>
      <c r="O133" s="104"/>
      <c r="P133" s="104"/>
    </row>
    <row r="134" spans="2:16">
      <c r="B134" s="239" t="str">
        <f t="shared" si="9"/>
        <v xml:space="preserve">50G </v>
      </c>
      <c r="C134" s="240" t="str">
        <f t="shared" si="9"/>
        <v>10 km</v>
      </c>
      <c r="D134" s="241" t="str">
        <f t="shared" si="9"/>
        <v>all</v>
      </c>
      <c r="E134" s="104" t="str">
        <f t="shared" si="14"/>
        <v/>
      </c>
      <c r="F134" s="104" t="str">
        <f t="shared" si="14"/>
        <v/>
      </c>
      <c r="G134" s="104" t="str">
        <f t="shared" si="14"/>
        <v/>
      </c>
      <c r="H134" s="104"/>
      <c r="I134" s="104"/>
      <c r="J134" s="104"/>
      <c r="K134" s="104"/>
      <c r="L134" s="104"/>
      <c r="M134" s="104"/>
      <c r="N134" s="104"/>
      <c r="O134" s="104"/>
      <c r="P134" s="104"/>
    </row>
    <row r="135" spans="2:16">
      <c r="B135" s="239" t="str">
        <f t="shared" ref="B135:D135" si="15">B39</f>
        <v xml:space="preserve">50G </v>
      </c>
      <c r="C135" s="240" t="str">
        <f t="shared" si="15"/>
        <v>40 km</v>
      </c>
      <c r="D135" s="241" t="str">
        <f t="shared" si="15"/>
        <v>all</v>
      </c>
      <c r="E135" s="104"/>
      <c r="F135" s="104"/>
      <c r="G135" s="104"/>
      <c r="H135" s="104"/>
      <c r="I135" s="104"/>
      <c r="J135" s="104"/>
      <c r="K135" s="104"/>
      <c r="L135" s="104"/>
      <c r="M135" s="104"/>
      <c r="N135" s="104"/>
      <c r="O135" s="104"/>
      <c r="P135" s="104"/>
    </row>
    <row r="136" spans="2:16">
      <c r="B136" s="239" t="str">
        <f t="shared" ref="B136:D136" si="16">B40</f>
        <v xml:space="preserve">50G </v>
      </c>
      <c r="C136" s="240" t="str">
        <f t="shared" si="16"/>
        <v>80 km</v>
      </c>
      <c r="D136" s="241" t="str">
        <f t="shared" si="16"/>
        <v>all</v>
      </c>
      <c r="E136" s="104"/>
      <c r="F136" s="104"/>
      <c r="G136" s="104"/>
      <c r="H136" s="104"/>
      <c r="I136" s="104"/>
      <c r="J136" s="104"/>
      <c r="K136" s="104"/>
      <c r="L136" s="104"/>
      <c r="M136" s="104"/>
      <c r="N136" s="104"/>
      <c r="O136" s="104"/>
      <c r="P136" s="104"/>
    </row>
    <row r="137" spans="2:16">
      <c r="B137" s="79" t="str">
        <f t="shared" ref="B137:D156" si="17">B41</f>
        <v>100G SR4</v>
      </c>
      <c r="C137" s="80" t="str">
        <f t="shared" si="17"/>
        <v>100 m</v>
      </c>
      <c r="D137" s="81" t="str">
        <f t="shared" si="17"/>
        <v>CFP</v>
      </c>
      <c r="E137" s="101">
        <f t="shared" ref="E137:G137" si="18">IF(E41=0,"",E233*10^6/E41)</f>
        <v>1422.7039686825053</v>
      </c>
      <c r="F137" s="101">
        <f t="shared" si="18"/>
        <v>1273.3986691740201</v>
      </c>
      <c r="G137" s="101">
        <f t="shared" si="18"/>
        <v>1018.9069493521796</v>
      </c>
      <c r="H137" s="101"/>
      <c r="I137" s="101"/>
      <c r="J137" s="101"/>
      <c r="K137" s="101"/>
      <c r="L137" s="355"/>
      <c r="M137" s="355"/>
      <c r="N137" s="355"/>
      <c r="O137" s="355"/>
      <c r="P137" s="355"/>
    </row>
    <row r="138" spans="2:16">
      <c r="B138" s="87" t="str">
        <f t="shared" si="17"/>
        <v>100G SR4</v>
      </c>
      <c r="C138" s="88" t="str">
        <f t="shared" si="17"/>
        <v>100 m</v>
      </c>
      <c r="D138" s="89" t="str">
        <f t="shared" si="17"/>
        <v>CFP2/4</v>
      </c>
      <c r="E138" s="103">
        <f t="shared" ref="E138:G138" si="19">IF(E42=0,"",E234*10^6/E42)</f>
        <v>1204.7629951912068</v>
      </c>
      <c r="F138" s="103">
        <f t="shared" si="19"/>
        <v>1092.608197443808</v>
      </c>
      <c r="G138" s="103">
        <f t="shared" si="19"/>
        <v>1004.0468400000002</v>
      </c>
      <c r="H138" s="103"/>
      <c r="I138" s="103"/>
      <c r="J138" s="103"/>
      <c r="K138" s="103"/>
      <c r="L138" s="104"/>
      <c r="M138" s="104"/>
      <c r="N138" s="104"/>
      <c r="O138" s="104"/>
      <c r="P138" s="104"/>
    </row>
    <row r="139" spans="2:16">
      <c r="B139" s="87" t="str">
        <f t="shared" si="17"/>
        <v>100G SR4</v>
      </c>
      <c r="C139" s="88" t="str">
        <f t="shared" si="17"/>
        <v>100 m</v>
      </c>
      <c r="D139" s="89" t="str">
        <f t="shared" si="17"/>
        <v>QSFP28</v>
      </c>
      <c r="E139" s="103">
        <f t="shared" ref="E139:G139" si="20">IF(E43=0,"",E235*10^6/E43)</f>
        <v>258.09426618771823</v>
      </c>
      <c r="F139" s="103">
        <f t="shared" si="20"/>
        <v>182.02277386466108</v>
      </c>
      <c r="G139" s="103">
        <f t="shared" si="20"/>
        <v>113.54682982085136</v>
      </c>
      <c r="H139" s="103"/>
      <c r="I139" s="103"/>
      <c r="J139" s="103"/>
      <c r="K139" s="103"/>
      <c r="L139" s="104"/>
      <c r="M139" s="104"/>
      <c r="N139" s="104"/>
      <c r="O139" s="104"/>
      <c r="P139" s="104"/>
    </row>
    <row r="140" spans="2:16">
      <c r="B140" s="87" t="str">
        <f t="shared" si="17"/>
        <v>100G SR2</v>
      </c>
      <c r="C140" s="88" t="str">
        <f t="shared" si="17"/>
        <v>100 m</v>
      </c>
      <c r="D140" s="89" t="str">
        <f t="shared" si="17"/>
        <v>All</v>
      </c>
      <c r="E140" s="103" t="str">
        <f t="shared" ref="E140:G140" si="21">IF(E44=0,"",E236*10^6/E44)</f>
        <v/>
      </c>
      <c r="F140" s="103" t="str">
        <f t="shared" si="21"/>
        <v/>
      </c>
      <c r="G140" s="103" t="str">
        <f t="shared" si="21"/>
        <v/>
      </c>
      <c r="H140" s="103"/>
      <c r="I140" s="103"/>
      <c r="J140" s="103"/>
      <c r="K140" s="103"/>
      <c r="L140" s="104"/>
      <c r="M140" s="104"/>
      <c r="N140" s="104"/>
      <c r="O140" s="104"/>
      <c r="P140" s="104"/>
    </row>
    <row r="141" spans="2:16">
      <c r="B141" s="87" t="str">
        <f t="shared" si="17"/>
        <v>100G MM Duplex</v>
      </c>
      <c r="C141" s="88" t="str">
        <f t="shared" si="17"/>
        <v>100 - 300 m</v>
      </c>
      <c r="D141" s="89" t="str">
        <f t="shared" si="17"/>
        <v>QSFP28</v>
      </c>
      <c r="E141" s="103" t="str">
        <f t="shared" ref="E141:G141" si="22">IF(E45=0,"",E237*10^6/E45)</f>
        <v/>
      </c>
      <c r="F141" s="103" t="str">
        <f t="shared" si="22"/>
        <v/>
      </c>
      <c r="G141" s="103">
        <f t="shared" si="22"/>
        <v>170</v>
      </c>
      <c r="H141" s="103"/>
      <c r="I141" s="103"/>
      <c r="J141" s="103"/>
      <c r="K141" s="103"/>
      <c r="L141" s="104"/>
      <c r="M141" s="104"/>
      <c r="N141" s="104"/>
      <c r="O141" s="104"/>
      <c r="P141" s="104"/>
    </row>
    <row r="142" spans="2:16">
      <c r="B142" s="87" t="str">
        <f t="shared" si="17"/>
        <v>100G eSR4</v>
      </c>
      <c r="C142" s="88" t="str">
        <f t="shared" si="17"/>
        <v>300 m</v>
      </c>
      <c r="D142" s="89" t="str">
        <f t="shared" si="17"/>
        <v>QSFP28</v>
      </c>
      <c r="E142" s="103" t="str">
        <f t="shared" ref="E142:G142" si="23">IF(E46=0,"",E238*10^6/E46)</f>
        <v/>
      </c>
      <c r="F142" s="103" t="str">
        <f t="shared" si="23"/>
        <v/>
      </c>
      <c r="G142" s="103">
        <f t="shared" si="23"/>
        <v>170</v>
      </c>
      <c r="H142" s="103"/>
      <c r="I142" s="103"/>
      <c r="J142" s="103"/>
      <c r="K142" s="103"/>
      <c r="L142" s="104"/>
      <c r="M142" s="104"/>
      <c r="N142" s="104"/>
      <c r="O142" s="104"/>
      <c r="P142" s="104"/>
    </row>
    <row r="143" spans="2:16">
      <c r="B143" s="87" t="str">
        <f t="shared" si="17"/>
        <v>100G PSM4</v>
      </c>
      <c r="C143" s="88" t="str">
        <f t="shared" si="17"/>
        <v>500 m</v>
      </c>
      <c r="D143" s="89" t="str">
        <f t="shared" si="17"/>
        <v>QSFP28</v>
      </c>
      <c r="E143" s="103">
        <f t="shared" ref="E143:G143" si="24">IF(E47=0,"",E239*10^6/E47)</f>
        <v>337.41687156790022</v>
      </c>
      <c r="F143" s="103">
        <f t="shared" si="24"/>
        <v>222.65569307558187</v>
      </c>
      <c r="G143" s="103">
        <f t="shared" si="24"/>
        <v>188.02033788894266</v>
      </c>
      <c r="H143" s="103"/>
      <c r="I143" s="103"/>
      <c r="J143" s="103"/>
      <c r="K143" s="103"/>
      <c r="L143" s="104"/>
      <c r="M143" s="104"/>
      <c r="N143" s="104"/>
      <c r="O143" s="104"/>
      <c r="P143" s="104"/>
    </row>
    <row r="144" spans="2:16">
      <c r="B144" s="87" t="str">
        <f t="shared" si="17"/>
        <v>100G DR</v>
      </c>
      <c r="C144" s="88" t="str">
        <f t="shared" si="17"/>
        <v>500m</v>
      </c>
      <c r="D144" s="89" t="str">
        <f t="shared" si="17"/>
        <v>QSFP28</v>
      </c>
      <c r="E144" s="103" t="str">
        <f t="shared" ref="E144:G144" si="25">IF(E48=0,"",E240*10^6/E48)</f>
        <v/>
      </c>
      <c r="F144" s="103" t="str">
        <f t="shared" si="25"/>
        <v/>
      </c>
      <c r="G144" s="103" t="str">
        <f t="shared" si="25"/>
        <v/>
      </c>
      <c r="H144" s="103"/>
      <c r="I144" s="103"/>
      <c r="J144" s="103"/>
      <c r="K144" s="103"/>
      <c r="L144" s="104"/>
      <c r="M144" s="104"/>
      <c r="N144" s="104"/>
      <c r="O144" s="104"/>
      <c r="P144" s="104"/>
    </row>
    <row r="145" spans="2:16">
      <c r="B145" s="87" t="str">
        <f t="shared" si="17"/>
        <v>100G CWDM4-subspec</v>
      </c>
      <c r="C145" s="88" t="str">
        <f t="shared" si="17"/>
        <v>500 m</v>
      </c>
      <c r="D145" s="89" t="str">
        <f t="shared" si="17"/>
        <v>QSFP28</v>
      </c>
      <c r="E145" s="103">
        <f t="shared" ref="E145:G145" si="26">IF(E49=0,"",E241*10^6/E49)</f>
        <v>625</v>
      </c>
      <c r="F145" s="103">
        <f t="shared" si="26"/>
        <v>450</v>
      </c>
      <c r="G145" s="103">
        <f t="shared" si="26"/>
        <v>280</v>
      </c>
      <c r="H145" s="103"/>
      <c r="I145" s="103"/>
      <c r="J145" s="103"/>
      <c r="K145" s="103"/>
      <c r="L145" s="103"/>
      <c r="M145" s="103"/>
      <c r="N145" s="103"/>
      <c r="O145" s="103"/>
      <c r="P145" s="103"/>
    </row>
    <row r="146" spans="2:16">
      <c r="B146" s="87" t="str">
        <f t="shared" si="17"/>
        <v>100G CWDM4</v>
      </c>
      <c r="C146" s="88" t="str">
        <f t="shared" si="17"/>
        <v>2 km</v>
      </c>
      <c r="D146" s="89" t="str">
        <f t="shared" si="17"/>
        <v>QSFP28</v>
      </c>
      <c r="E146" s="103">
        <f t="shared" ref="E146:G146" si="27">IF(E50=0,"",E242*10^6/E50)</f>
        <v>825</v>
      </c>
      <c r="F146" s="103">
        <f t="shared" si="27"/>
        <v>650</v>
      </c>
      <c r="G146" s="103">
        <f t="shared" si="27"/>
        <v>490</v>
      </c>
      <c r="H146" s="103"/>
      <c r="I146" s="103"/>
      <c r="J146" s="103"/>
      <c r="K146" s="103"/>
      <c r="L146" s="104"/>
      <c r="M146" s="104"/>
      <c r="N146" s="104"/>
      <c r="O146" s="104"/>
      <c r="P146" s="104"/>
    </row>
    <row r="147" spans="2:16">
      <c r="B147" s="87" t="str">
        <f t="shared" si="17"/>
        <v>100G FR, DR+</v>
      </c>
      <c r="C147" s="88" t="str">
        <f t="shared" si="17"/>
        <v>2 km</v>
      </c>
      <c r="D147" s="89" t="str">
        <f t="shared" si="17"/>
        <v>QSFP28</v>
      </c>
      <c r="E147" s="103" t="str">
        <f t="shared" ref="E147:G147" si="28">IF(E51=0,"",E243*10^6/E51)</f>
        <v/>
      </c>
      <c r="F147" s="103" t="str">
        <f t="shared" si="28"/>
        <v/>
      </c>
      <c r="G147" s="103">
        <f t="shared" si="28"/>
        <v>400</v>
      </c>
      <c r="H147" s="103"/>
      <c r="I147" s="103"/>
      <c r="J147" s="103"/>
      <c r="K147" s="103"/>
      <c r="L147" s="104"/>
      <c r="M147" s="104"/>
      <c r="N147" s="104"/>
      <c r="O147" s="104"/>
      <c r="P147" s="104"/>
    </row>
    <row r="148" spans="2:16">
      <c r="B148" s="87" t="str">
        <f t="shared" si="17"/>
        <v>100G LR4</v>
      </c>
      <c r="C148" s="88" t="str">
        <f t="shared" si="17"/>
        <v>10 km</v>
      </c>
      <c r="D148" s="89" t="str">
        <f t="shared" si="17"/>
        <v>CFP</v>
      </c>
      <c r="E148" s="103">
        <f t="shared" ref="E148:G148" si="29">IF(E52=0,"",E244*10^6/E52)</f>
        <v>3527.8709620331333</v>
      </c>
      <c r="F148" s="103">
        <f t="shared" si="29"/>
        <v>2768.0701132780364</v>
      </c>
      <c r="G148" s="103">
        <f t="shared" si="29"/>
        <v>2103.9330552211131</v>
      </c>
      <c r="H148" s="103"/>
      <c r="I148" s="103"/>
      <c r="J148" s="103"/>
      <c r="K148" s="103"/>
      <c r="L148" s="103"/>
      <c r="M148" s="103"/>
      <c r="N148" s="103"/>
      <c r="O148" s="103"/>
      <c r="P148" s="103"/>
    </row>
    <row r="149" spans="2:16" ht="14.55" customHeight="1">
      <c r="B149" s="87" t="str">
        <f t="shared" si="17"/>
        <v>100G LR4</v>
      </c>
      <c r="C149" s="88" t="str">
        <f t="shared" si="17"/>
        <v>10 km</v>
      </c>
      <c r="D149" s="89" t="str">
        <f t="shared" si="17"/>
        <v>CFP2/4</v>
      </c>
      <c r="E149" s="103">
        <f t="shared" ref="E149:G149" si="30">IF(E53=0,"",E245*10^6/E53)</f>
        <v>2882.5268681316725</v>
      </c>
      <c r="F149" s="103">
        <f t="shared" si="30"/>
        <v>2140.3307221126156</v>
      </c>
      <c r="G149" s="103">
        <f t="shared" si="30"/>
        <v>1371.5324877705048</v>
      </c>
      <c r="H149" s="103"/>
      <c r="I149" s="103"/>
      <c r="J149" s="103"/>
      <c r="K149" s="103"/>
      <c r="L149" s="103"/>
      <c r="M149" s="103"/>
      <c r="N149" s="103"/>
      <c r="O149" s="103"/>
      <c r="P149" s="103"/>
    </row>
    <row r="150" spans="2:16">
      <c r="B150" s="87" t="str">
        <f t="shared" si="17"/>
        <v>100G LR4 and LR1</v>
      </c>
      <c r="C150" s="88" t="str">
        <f t="shared" si="17"/>
        <v>10 km</v>
      </c>
      <c r="D150" s="89" t="str">
        <f t="shared" si="17"/>
        <v>QSFP28</v>
      </c>
      <c r="E150" s="103">
        <f t="shared" ref="E150:G150" si="31">IF(E54=0,"",E246*10^6/E54)</f>
        <v>1938.1501024552811</v>
      </c>
      <c r="F150" s="103">
        <f t="shared" si="31"/>
        <v>1200</v>
      </c>
      <c r="G150" s="103">
        <f t="shared" si="31"/>
        <v>833.83281288172873</v>
      </c>
      <c r="H150" s="103"/>
      <c r="I150" s="103"/>
      <c r="J150" s="103"/>
      <c r="K150" s="103"/>
      <c r="L150" s="103"/>
      <c r="M150" s="103"/>
      <c r="N150" s="103"/>
      <c r="O150" s="103"/>
      <c r="P150" s="103"/>
    </row>
    <row r="151" spans="2:16">
      <c r="B151" s="87" t="str">
        <f t="shared" si="17"/>
        <v>100G 4WDM10</v>
      </c>
      <c r="C151" s="88" t="str">
        <f t="shared" si="17"/>
        <v>10 km</v>
      </c>
      <c r="D151" s="89" t="str">
        <f t="shared" si="17"/>
        <v>QSFP28</v>
      </c>
      <c r="E151" s="103" t="str">
        <f t="shared" ref="E151:G151" si="32">IF(E55=0,"",E247*10^6/E55)</f>
        <v/>
      </c>
      <c r="F151" s="103">
        <f t="shared" si="32"/>
        <v>500</v>
      </c>
      <c r="G151" s="103">
        <f t="shared" si="32"/>
        <v>300</v>
      </c>
      <c r="H151" s="103"/>
      <c r="I151" s="103"/>
      <c r="J151" s="103"/>
      <c r="K151" s="103"/>
      <c r="L151" s="103"/>
      <c r="M151" s="103"/>
      <c r="N151" s="103"/>
      <c r="O151" s="103"/>
      <c r="P151" s="103"/>
    </row>
    <row r="152" spans="2:16">
      <c r="B152" s="87" t="str">
        <f t="shared" si="17"/>
        <v>100G 4WDM20</v>
      </c>
      <c r="C152" s="88" t="str">
        <f t="shared" si="17"/>
        <v>20 km</v>
      </c>
      <c r="D152" s="89" t="str">
        <f t="shared" si="17"/>
        <v>QSFP28</v>
      </c>
      <c r="E152" s="103" t="str">
        <f t="shared" ref="E152:G152" si="33">IF(E56=0,"",E248*10^6/E56)</f>
        <v/>
      </c>
      <c r="F152" s="103" t="str">
        <f t="shared" si="33"/>
        <v/>
      </c>
      <c r="G152" s="103" t="str">
        <f t="shared" si="33"/>
        <v/>
      </c>
      <c r="H152" s="103"/>
      <c r="I152" s="103"/>
      <c r="J152" s="103"/>
      <c r="K152" s="103"/>
      <c r="L152" s="103"/>
      <c r="M152" s="103"/>
      <c r="N152" s="103"/>
      <c r="O152" s="103"/>
      <c r="P152" s="103"/>
    </row>
    <row r="153" spans="2:16">
      <c r="B153" s="87" t="str">
        <f t="shared" si="17"/>
        <v>100G ER4-Lite</v>
      </c>
      <c r="C153" s="88" t="str">
        <f t="shared" si="17"/>
        <v>30 km</v>
      </c>
      <c r="D153" s="89" t="str">
        <f t="shared" si="17"/>
        <v>QSFP28</v>
      </c>
      <c r="E153" s="103" t="str">
        <f t="shared" ref="E153:G153" si="34">IF(E57=0,"",E249*10^6/E57)</f>
        <v/>
      </c>
      <c r="F153" s="103">
        <f t="shared" si="34"/>
        <v>3487.2423945044161</v>
      </c>
      <c r="G153" s="103">
        <f t="shared" si="34"/>
        <v>3113.2837037037034</v>
      </c>
      <c r="H153" s="103"/>
      <c r="I153" s="103"/>
      <c r="J153" s="103"/>
      <c r="K153" s="103"/>
      <c r="L153" s="103"/>
      <c r="M153" s="103"/>
      <c r="N153" s="103"/>
      <c r="O153" s="103"/>
      <c r="P153" s="103"/>
    </row>
    <row r="154" spans="2:16">
      <c r="B154" s="87" t="str">
        <f t="shared" si="17"/>
        <v>100G ER4</v>
      </c>
      <c r="C154" s="88" t="str">
        <f t="shared" si="17"/>
        <v>40 km</v>
      </c>
      <c r="D154" s="89" t="str">
        <f t="shared" si="17"/>
        <v>QSFP28</v>
      </c>
      <c r="E154" s="103">
        <f t="shared" ref="E154:G154" si="35">IF(E58=0,"",E250*10^6/E58)</f>
        <v>8992.3604525403425</v>
      </c>
      <c r="F154" s="103">
        <f t="shared" si="35"/>
        <v>6675.4855675304152</v>
      </c>
      <c r="G154" s="103">
        <f t="shared" si="35"/>
        <v>4939.9288403201153</v>
      </c>
      <c r="H154" s="103"/>
      <c r="I154" s="103"/>
      <c r="J154" s="103"/>
      <c r="K154" s="103"/>
      <c r="L154" s="103"/>
      <c r="M154" s="103"/>
      <c r="N154" s="103"/>
      <c r="O154" s="103"/>
      <c r="P154" s="103"/>
    </row>
    <row r="155" spans="2:16">
      <c r="B155" s="83" t="str">
        <f t="shared" si="17"/>
        <v>100G ZR4</v>
      </c>
      <c r="C155" s="84" t="str">
        <f t="shared" si="17"/>
        <v>80 km</v>
      </c>
      <c r="D155" s="85" t="str">
        <f t="shared" si="17"/>
        <v>QSFP28</v>
      </c>
      <c r="E155" s="102" t="str">
        <f t="shared" ref="E155:G155" si="36">IF(E59=0,"",E251*10^6/E59)</f>
        <v/>
      </c>
      <c r="F155" s="102" t="str">
        <f t="shared" si="36"/>
        <v/>
      </c>
      <c r="G155" s="102" t="str">
        <f t="shared" si="36"/>
        <v/>
      </c>
      <c r="H155" s="102"/>
      <c r="I155" s="102"/>
      <c r="J155" s="102"/>
      <c r="K155" s="102"/>
      <c r="L155" s="102"/>
      <c r="M155" s="102"/>
      <c r="N155" s="102"/>
      <c r="O155" s="102"/>
      <c r="P155" s="102"/>
    </row>
    <row r="156" spans="2:16">
      <c r="B156" s="232" t="str">
        <f t="shared" si="17"/>
        <v>200G SR4</v>
      </c>
      <c r="C156" s="231" t="str">
        <f t="shared" si="17"/>
        <v>100 m</v>
      </c>
      <c r="D156" s="230" t="str">
        <f t="shared" si="17"/>
        <v>QSFP56</v>
      </c>
      <c r="E156" s="101"/>
      <c r="F156" s="101"/>
      <c r="G156" s="101">
        <f t="shared" ref="G156" si="37">IF(G60=0,"",G252*10^6/G60)</f>
        <v>700</v>
      </c>
      <c r="H156" s="101"/>
      <c r="I156" s="101"/>
      <c r="J156" s="101"/>
      <c r="K156" s="101"/>
      <c r="L156" s="101"/>
      <c r="M156" s="101"/>
      <c r="N156" s="101"/>
      <c r="O156" s="101"/>
      <c r="P156" s="101"/>
    </row>
    <row r="157" spans="2:16">
      <c r="B157" s="48" t="str">
        <f t="shared" ref="B157:D170" si="38">B61</f>
        <v>200G DR</v>
      </c>
      <c r="C157" s="49" t="str">
        <f t="shared" si="38"/>
        <v>500 m</v>
      </c>
      <c r="D157" s="50" t="str">
        <f t="shared" si="38"/>
        <v>TBD</v>
      </c>
      <c r="E157" s="103"/>
      <c r="F157" s="103"/>
      <c r="G157" s="103" t="str">
        <f t="shared" ref="G157:G160" si="39">IF(G61=0,"",G253*10^6/G61)</f>
        <v/>
      </c>
      <c r="H157" s="103"/>
      <c r="I157" s="103"/>
      <c r="J157" s="103"/>
      <c r="K157" s="103"/>
      <c r="L157" s="103"/>
      <c r="M157" s="103"/>
      <c r="N157" s="103"/>
      <c r="O157" s="103"/>
      <c r="P157" s="103"/>
    </row>
    <row r="158" spans="2:16">
      <c r="B158" s="48" t="str">
        <f t="shared" si="38"/>
        <v>200G FR4</v>
      </c>
      <c r="C158" s="49" t="str">
        <f t="shared" si="38"/>
        <v>3 km</v>
      </c>
      <c r="D158" s="50" t="str">
        <f t="shared" si="38"/>
        <v>QSFP56</v>
      </c>
      <c r="E158" s="103"/>
      <c r="F158" s="103"/>
      <c r="G158" s="103">
        <f t="shared" si="39"/>
        <v>1500</v>
      </c>
      <c r="H158" s="103"/>
      <c r="I158" s="103"/>
      <c r="J158" s="103"/>
      <c r="K158" s="103"/>
      <c r="L158" s="103"/>
      <c r="M158" s="103"/>
      <c r="N158" s="103"/>
      <c r="O158" s="103"/>
      <c r="P158" s="103"/>
    </row>
    <row r="159" spans="2:16">
      <c r="B159" s="48" t="str">
        <f t="shared" si="38"/>
        <v>200G LR</v>
      </c>
      <c r="C159" s="49" t="str">
        <f t="shared" si="38"/>
        <v>10 km</v>
      </c>
      <c r="D159" s="50" t="str">
        <f t="shared" si="38"/>
        <v>TBD</v>
      </c>
      <c r="E159" s="103"/>
      <c r="F159" s="103"/>
      <c r="G159" s="103" t="str">
        <f t="shared" si="39"/>
        <v/>
      </c>
      <c r="H159" s="103"/>
      <c r="I159" s="103"/>
      <c r="J159" s="103"/>
      <c r="K159" s="103"/>
      <c r="L159" s="103"/>
      <c r="M159" s="103"/>
      <c r="N159" s="103"/>
      <c r="O159" s="103"/>
      <c r="P159" s="103"/>
    </row>
    <row r="160" spans="2:16">
      <c r="B160" s="48" t="str">
        <f t="shared" si="38"/>
        <v>200G ER4</v>
      </c>
      <c r="C160" s="49" t="str">
        <f t="shared" si="38"/>
        <v>40 km</v>
      </c>
      <c r="D160" s="50" t="str">
        <f t="shared" si="38"/>
        <v>TBD</v>
      </c>
      <c r="E160" s="103"/>
      <c r="F160" s="103"/>
      <c r="G160" s="103" t="str">
        <f t="shared" si="39"/>
        <v/>
      </c>
      <c r="H160" s="103"/>
      <c r="I160" s="103"/>
      <c r="J160" s="103"/>
      <c r="K160" s="103"/>
      <c r="L160" s="103"/>
      <c r="M160" s="103"/>
      <c r="N160" s="103"/>
      <c r="O160" s="103"/>
      <c r="P160" s="103"/>
    </row>
    <row r="161" spans="2:16">
      <c r="B161" s="232" t="str">
        <f t="shared" si="38"/>
        <v>2x200 (400G-SR8)</v>
      </c>
      <c r="C161" s="231" t="str">
        <f t="shared" si="38"/>
        <v>100 m</v>
      </c>
      <c r="D161" s="230" t="str">
        <f t="shared" si="38"/>
        <v>OSFP, QSFP-DD</v>
      </c>
      <c r="E161" s="101"/>
      <c r="F161" s="101"/>
      <c r="G161" s="101">
        <f t="shared" ref="G161" si="40">IF(G65=0,"",G257*10^6/G65)</f>
        <v>644</v>
      </c>
      <c r="H161" s="101"/>
      <c r="I161" s="101"/>
      <c r="J161" s="101"/>
      <c r="K161" s="101"/>
      <c r="L161" s="101"/>
      <c r="M161" s="101"/>
      <c r="N161" s="101"/>
      <c r="O161" s="101"/>
      <c r="P161" s="101"/>
    </row>
    <row r="162" spans="2:16">
      <c r="B162" s="48" t="str">
        <f t="shared" si="38"/>
        <v>400G SR4.2</v>
      </c>
      <c r="C162" s="49" t="str">
        <f t="shared" si="38"/>
        <v>100 m</v>
      </c>
      <c r="D162" s="50" t="str">
        <f t="shared" si="38"/>
        <v>OSFP, QSFP-DD</v>
      </c>
      <c r="E162" s="103"/>
      <c r="F162" s="103"/>
      <c r="G162" s="103" t="str">
        <f t="shared" ref="G162" si="41">IF(G66=0,"",G258*10^6/G66)</f>
        <v/>
      </c>
      <c r="H162" s="103"/>
      <c r="I162" s="103"/>
      <c r="J162" s="103"/>
      <c r="K162" s="103"/>
      <c r="L162" s="103"/>
      <c r="M162" s="103"/>
      <c r="N162" s="103"/>
      <c r="O162" s="103"/>
      <c r="P162" s="103"/>
    </row>
    <row r="163" spans="2:16">
      <c r="B163" s="48" t="str">
        <f t="shared" si="38"/>
        <v>400G DR4</v>
      </c>
      <c r="C163" s="49" t="str">
        <f t="shared" si="38"/>
        <v>500 m</v>
      </c>
      <c r="D163" s="50" t="str">
        <f t="shared" si="38"/>
        <v>OSFP, QSFP-DD, QSFP112</v>
      </c>
      <c r="E163" s="103"/>
      <c r="F163" s="103"/>
      <c r="G163" s="103">
        <f t="shared" ref="G163" si="42">IF(G67=0,"",G259*10^6/G67)</f>
        <v>1100</v>
      </c>
      <c r="H163" s="103"/>
      <c r="I163" s="103"/>
      <c r="J163" s="103"/>
      <c r="K163" s="103"/>
      <c r="L163" s="103"/>
      <c r="M163" s="103"/>
      <c r="N163" s="103"/>
      <c r="O163" s="103"/>
      <c r="P163" s="103"/>
    </row>
    <row r="164" spans="2:16">
      <c r="B164" s="48" t="str">
        <f t="shared" si="38"/>
        <v>2x(200G FR4)</v>
      </c>
      <c r="C164" s="49" t="str">
        <f t="shared" si="38"/>
        <v>2 km</v>
      </c>
      <c r="D164" s="50" t="str">
        <f t="shared" si="38"/>
        <v>OSFP</v>
      </c>
      <c r="E164" s="103"/>
      <c r="F164" s="103"/>
      <c r="G164" s="103">
        <f t="shared" ref="G164" si="43">IF(G68=0,"",G260*10^6/G68)</f>
        <v>1850</v>
      </c>
      <c r="H164" s="103"/>
      <c r="I164" s="103"/>
      <c r="J164" s="103"/>
      <c r="K164" s="103"/>
      <c r="L164" s="103"/>
      <c r="M164" s="103"/>
      <c r="N164" s="103"/>
      <c r="O164" s="103"/>
      <c r="P164" s="103"/>
    </row>
    <row r="165" spans="2:16">
      <c r="B165" s="48" t="str">
        <f t="shared" si="38"/>
        <v>400G FR4</v>
      </c>
      <c r="C165" s="49" t="str">
        <f t="shared" si="38"/>
        <v>2 km</v>
      </c>
      <c r="D165" s="50" t="str">
        <f t="shared" si="38"/>
        <v>OSFP, QSFP-DD, QSFP112</v>
      </c>
      <c r="E165" s="103"/>
      <c r="F165" s="103">
        <f>IF(F69=0,"",F261*10^6/F69)</f>
        <v>11614.285714285714</v>
      </c>
      <c r="G165" s="103">
        <f t="shared" ref="G165" si="44">IF(G69=0,"",G261*10^6/G69)</f>
        <v>2000</v>
      </c>
      <c r="H165" s="103"/>
      <c r="I165" s="103"/>
      <c r="J165" s="103"/>
      <c r="K165" s="103"/>
      <c r="L165" s="103"/>
      <c r="M165" s="103"/>
      <c r="N165" s="103"/>
      <c r="O165" s="103"/>
      <c r="P165" s="103"/>
    </row>
    <row r="166" spans="2:16">
      <c r="B166" s="48" t="str">
        <f t="shared" si="38"/>
        <v>400G LR8, LR4</v>
      </c>
      <c r="C166" s="49" t="str">
        <f t="shared" si="38"/>
        <v>10 km</v>
      </c>
      <c r="D166" s="50" t="str">
        <f t="shared" si="38"/>
        <v>OSFP, QSFP-DD, QSFP112</v>
      </c>
      <c r="E166" s="103"/>
      <c r="F166" s="103">
        <f>IF(F70=0,"",F262*10^6/F70)</f>
        <v>15451.219512195123</v>
      </c>
      <c r="G166" s="103">
        <f t="shared" ref="G166:G167" si="45">IF(G70=0,"",G262*10^6/G70)</f>
        <v>8000</v>
      </c>
      <c r="H166" s="103"/>
      <c r="I166" s="103"/>
      <c r="J166" s="103"/>
      <c r="K166" s="103"/>
      <c r="L166" s="103"/>
      <c r="M166" s="103"/>
      <c r="N166" s="103"/>
      <c r="O166" s="103"/>
      <c r="P166" s="103"/>
    </row>
    <row r="167" spans="2:16">
      <c r="B167" s="51" t="str">
        <f t="shared" si="38"/>
        <v>400G ER4</v>
      </c>
      <c r="C167" s="52" t="str">
        <f t="shared" si="38"/>
        <v>40 km</v>
      </c>
      <c r="D167" s="53" t="str">
        <f t="shared" si="38"/>
        <v>TBD</v>
      </c>
      <c r="E167" s="102"/>
      <c r="F167" s="102" t="str">
        <f>IF(F71=0,"",F263*10^6/F71)</f>
        <v/>
      </c>
      <c r="G167" s="102" t="str">
        <f t="shared" si="45"/>
        <v/>
      </c>
      <c r="H167" s="102"/>
      <c r="I167" s="102"/>
      <c r="J167" s="102"/>
      <c r="K167" s="102"/>
      <c r="L167" s="102"/>
      <c r="M167" s="102"/>
      <c r="N167" s="102"/>
      <c r="O167" s="102"/>
      <c r="P167" s="102"/>
    </row>
    <row r="168" spans="2:16">
      <c r="B168" s="232" t="str">
        <f t="shared" si="38"/>
        <v>800G SR8</v>
      </c>
      <c r="C168" s="231" t="str">
        <f t="shared" si="38"/>
        <v>50 m</v>
      </c>
      <c r="D168" s="230" t="str">
        <f t="shared" si="38"/>
        <v>OSFP, QSFP-DD800</v>
      </c>
      <c r="E168" s="101"/>
      <c r="F168" s="101"/>
      <c r="G168" s="101" t="str">
        <f t="shared" ref="G168" si="46">IF(G72=0,"",G264*10^6/G72)</f>
        <v/>
      </c>
      <c r="H168" s="101"/>
      <c r="I168" s="101"/>
      <c r="J168" s="101"/>
      <c r="K168" s="101"/>
      <c r="L168" s="101"/>
      <c r="M168" s="101"/>
      <c r="N168" s="101"/>
      <c r="O168" s="101"/>
      <c r="P168" s="101"/>
    </row>
    <row r="169" spans="2:16">
      <c r="B169" s="48" t="str">
        <f t="shared" si="38"/>
        <v>800G DR8, DR4</v>
      </c>
      <c r="C169" s="49" t="str">
        <f t="shared" si="38"/>
        <v>500 m</v>
      </c>
      <c r="D169" s="50" t="str">
        <f t="shared" si="38"/>
        <v>OSFP, QSFP-DD800</v>
      </c>
      <c r="E169" s="103"/>
      <c r="F169" s="103"/>
      <c r="G169" s="103" t="str">
        <f t="shared" ref="G169" si="47">IF(G73=0,"",G265*10^6/G73)</f>
        <v/>
      </c>
      <c r="H169" s="103"/>
      <c r="I169" s="103"/>
      <c r="J169" s="103"/>
      <c r="K169" s="103"/>
      <c r="L169" s="103"/>
      <c r="M169" s="103"/>
      <c r="N169" s="103"/>
      <c r="O169" s="103"/>
      <c r="P169" s="103"/>
    </row>
    <row r="170" spans="2:16">
      <c r="B170" s="48" t="str">
        <f t="shared" si="38"/>
        <v>2x(400G FR4), 800G FR4</v>
      </c>
      <c r="C170" s="49" t="str">
        <f t="shared" si="38"/>
        <v>2 km</v>
      </c>
      <c r="D170" s="50" t="str">
        <f t="shared" si="38"/>
        <v>OSFP, QSFP-DD800</v>
      </c>
      <c r="E170" s="103"/>
      <c r="F170" s="103"/>
      <c r="G170" s="103" t="str">
        <f t="shared" ref="G170" si="48">IF(G74=0,"",G266*10^6/G74)</f>
        <v/>
      </c>
      <c r="H170" s="103"/>
      <c r="I170" s="103"/>
      <c r="J170" s="103"/>
      <c r="K170" s="103"/>
      <c r="L170" s="103"/>
      <c r="M170" s="103"/>
      <c r="N170" s="103"/>
      <c r="O170" s="103"/>
      <c r="P170" s="103"/>
    </row>
    <row r="171" spans="2:16">
      <c r="B171" s="48" t="str">
        <f t="shared" ref="B171:D183" si="49">B75</f>
        <v>800G LR8, LR4</v>
      </c>
      <c r="C171" s="49" t="str">
        <f t="shared" si="49"/>
        <v>6, 10 km</v>
      </c>
      <c r="D171" s="50" t="str">
        <f t="shared" si="49"/>
        <v>TBD</v>
      </c>
      <c r="E171" s="103"/>
      <c r="F171" s="103"/>
      <c r="G171" s="103" t="str">
        <f t="shared" ref="G171" si="50">IF(G75=0,"",G267*10^6/G75)</f>
        <v/>
      </c>
      <c r="H171" s="103"/>
      <c r="I171" s="103"/>
      <c r="J171" s="103"/>
      <c r="K171" s="103"/>
      <c r="L171" s="103"/>
      <c r="M171" s="103"/>
      <c r="N171" s="103"/>
      <c r="O171" s="103"/>
      <c r="P171" s="103"/>
    </row>
    <row r="172" spans="2:16">
      <c r="B172" s="48" t="str">
        <f t="shared" si="49"/>
        <v>800G ZRlite</v>
      </c>
      <c r="C172" s="49" t="str">
        <f t="shared" si="49"/>
        <v>10 km, 20 km</v>
      </c>
      <c r="D172" s="50" t="str">
        <f t="shared" si="49"/>
        <v>TBD</v>
      </c>
      <c r="E172" s="103"/>
      <c r="F172" s="103"/>
      <c r="G172" s="103" t="str">
        <f t="shared" ref="G172" si="51">IF(G76=0,"",G268*10^6/G76)</f>
        <v/>
      </c>
      <c r="H172" s="103"/>
      <c r="I172" s="103"/>
      <c r="J172" s="103"/>
      <c r="K172" s="103"/>
      <c r="L172" s="103"/>
      <c r="M172" s="103"/>
      <c r="N172" s="103"/>
      <c r="O172" s="103"/>
      <c r="P172" s="103"/>
    </row>
    <row r="173" spans="2:16">
      <c r="B173" s="51" t="str">
        <f t="shared" si="49"/>
        <v>800G ER4</v>
      </c>
      <c r="C173" s="52" t="str">
        <f t="shared" si="49"/>
        <v>40 km</v>
      </c>
      <c r="D173" s="53" t="str">
        <f t="shared" si="49"/>
        <v>TBD</v>
      </c>
      <c r="E173" s="102"/>
      <c r="F173" s="102"/>
      <c r="G173" s="102" t="str">
        <f t="shared" ref="G173" si="52">IF(G77=0,"",G269*10^6/G77)</f>
        <v/>
      </c>
      <c r="H173" s="102"/>
      <c r="I173" s="102"/>
      <c r="J173" s="102"/>
      <c r="K173" s="102"/>
      <c r="L173" s="102"/>
      <c r="M173" s="102"/>
      <c r="N173" s="102"/>
      <c r="O173" s="102"/>
      <c r="P173" s="102"/>
    </row>
    <row r="174" spans="2:16">
      <c r="B174" s="48" t="str">
        <f t="shared" si="49"/>
        <v>1.6T SR16</v>
      </c>
      <c r="C174" s="49" t="str">
        <f t="shared" si="49"/>
        <v>100 m</v>
      </c>
      <c r="D174" s="50" t="str">
        <f t="shared" si="49"/>
        <v>OSFP-XD and TBD</v>
      </c>
      <c r="E174" s="103"/>
      <c r="F174" s="103"/>
      <c r="G174" s="103" t="str">
        <f t="shared" ref="G174" si="53">IF(G78=0,"",G270*10^6/G78)</f>
        <v/>
      </c>
      <c r="H174" s="103"/>
      <c r="I174" s="103"/>
      <c r="J174" s="103"/>
      <c r="K174" s="103"/>
      <c r="L174" s="103"/>
      <c r="M174" s="103"/>
      <c r="N174" s="103"/>
      <c r="O174" s="103"/>
      <c r="P174" s="103"/>
    </row>
    <row r="175" spans="2:16">
      <c r="B175" s="48" t="str">
        <f t="shared" si="49"/>
        <v>1.6T DR8</v>
      </c>
      <c r="C175" s="49" t="str">
        <f t="shared" si="49"/>
        <v>500 m</v>
      </c>
      <c r="D175" s="50" t="str">
        <f t="shared" si="49"/>
        <v>OSFP-XD and TBD</v>
      </c>
      <c r="E175" s="103"/>
      <c r="F175" s="103"/>
      <c r="G175" s="103" t="str">
        <f t="shared" ref="G175" si="54">IF(G79=0,"",G271*10^6/G79)</f>
        <v/>
      </c>
      <c r="H175" s="103"/>
      <c r="I175" s="103"/>
      <c r="J175" s="103"/>
      <c r="K175" s="103"/>
      <c r="L175" s="103"/>
      <c r="M175" s="103"/>
      <c r="N175" s="103"/>
      <c r="O175" s="103"/>
      <c r="P175" s="103"/>
    </row>
    <row r="176" spans="2:16">
      <c r="B176" s="48" t="str">
        <f t="shared" si="49"/>
        <v>1.6T FR8</v>
      </c>
      <c r="C176" s="49" t="str">
        <f t="shared" si="49"/>
        <v>2 km</v>
      </c>
      <c r="D176" s="50" t="str">
        <f t="shared" si="49"/>
        <v>OSFP-XD and TBD</v>
      </c>
      <c r="E176" s="103"/>
      <c r="F176" s="103"/>
      <c r="G176" s="103" t="str">
        <f t="shared" ref="G176" si="55">IF(G80=0,"",G272*10^6/G80)</f>
        <v/>
      </c>
      <c r="H176" s="103"/>
      <c r="I176" s="103"/>
      <c r="J176" s="103"/>
      <c r="K176" s="103"/>
      <c r="L176" s="103"/>
      <c r="M176" s="103"/>
      <c r="N176" s="103"/>
      <c r="O176" s="103"/>
      <c r="P176" s="103"/>
    </row>
    <row r="177" spans="2:16">
      <c r="B177" s="48" t="str">
        <f t="shared" si="49"/>
        <v>1.6T LR8</v>
      </c>
      <c r="C177" s="49" t="str">
        <f t="shared" si="49"/>
        <v>10 km</v>
      </c>
      <c r="D177" s="50" t="str">
        <f t="shared" si="49"/>
        <v>OSFP-XD and TBD</v>
      </c>
      <c r="E177" s="103"/>
      <c r="F177" s="103"/>
      <c r="G177" s="103" t="str">
        <f t="shared" ref="G177" si="56">IF(G81=0,"",G273*10^6/G81)</f>
        <v/>
      </c>
      <c r="H177" s="103"/>
      <c r="I177" s="103"/>
      <c r="J177" s="103"/>
      <c r="K177" s="103"/>
      <c r="L177" s="103"/>
      <c r="M177" s="103"/>
      <c r="N177" s="103"/>
      <c r="O177" s="103"/>
      <c r="P177" s="103"/>
    </row>
    <row r="178" spans="2:16">
      <c r="B178" s="48" t="str">
        <f t="shared" si="49"/>
        <v>1.6T ER8</v>
      </c>
      <c r="C178" s="49" t="str">
        <f t="shared" si="49"/>
        <v>&gt;10 km</v>
      </c>
      <c r="D178" s="50" t="str">
        <f t="shared" si="49"/>
        <v>OSFP-XD and TBD</v>
      </c>
      <c r="E178" s="103"/>
      <c r="F178" s="103"/>
      <c r="G178" s="103" t="str">
        <f t="shared" ref="G178" si="57">IF(G82=0,"",G274*10^6/G82)</f>
        <v/>
      </c>
      <c r="H178" s="103"/>
      <c r="I178" s="103"/>
      <c r="J178" s="103"/>
      <c r="K178" s="103"/>
      <c r="L178" s="103"/>
      <c r="M178" s="103"/>
      <c r="N178" s="103"/>
      <c r="O178" s="103"/>
      <c r="P178" s="103"/>
    </row>
    <row r="179" spans="2:16">
      <c r="B179" s="48" t="str">
        <f t="shared" si="49"/>
        <v>3.2T SR</v>
      </c>
      <c r="C179" s="49" t="str">
        <f t="shared" si="49"/>
        <v>100 m</v>
      </c>
      <c r="D179" s="50" t="str">
        <f t="shared" si="49"/>
        <v>OSFP-XD and TBD</v>
      </c>
      <c r="E179" s="103"/>
      <c r="F179" s="103"/>
      <c r="G179" s="103" t="str">
        <f t="shared" ref="G179" si="58">IF(G83=0,"",G275*10^6/G83)</f>
        <v/>
      </c>
      <c r="H179" s="103"/>
      <c r="I179" s="103"/>
      <c r="J179" s="103"/>
      <c r="K179" s="103"/>
      <c r="L179" s="103"/>
      <c r="M179" s="103"/>
      <c r="N179" s="103"/>
      <c r="O179" s="103"/>
      <c r="P179" s="103"/>
    </row>
    <row r="180" spans="2:16">
      <c r="B180" s="48" t="str">
        <f t="shared" si="49"/>
        <v>3.2T DR</v>
      </c>
      <c r="C180" s="49" t="str">
        <f t="shared" si="49"/>
        <v>500 m</v>
      </c>
      <c r="D180" s="50" t="str">
        <f t="shared" si="49"/>
        <v>OSFP-XD and TBD</v>
      </c>
      <c r="E180" s="103"/>
      <c r="F180" s="103"/>
      <c r="G180" s="103" t="str">
        <f t="shared" ref="G180" si="59">IF(G84=0,"",G276*10^6/G84)</f>
        <v/>
      </c>
      <c r="H180" s="103"/>
      <c r="I180" s="103"/>
      <c r="J180" s="103"/>
      <c r="K180" s="103"/>
      <c r="L180" s="103"/>
      <c r="M180" s="103"/>
      <c r="N180" s="103"/>
      <c r="O180" s="103"/>
      <c r="P180" s="103"/>
    </row>
    <row r="181" spans="2:16">
      <c r="B181" s="48" t="str">
        <f t="shared" si="49"/>
        <v>3.2T FR</v>
      </c>
      <c r="C181" s="49" t="str">
        <f t="shared" si="49"/>
        <v>2 km</v>
      </c>
      <c r="D181" s="50" t="str">
        <f t="shared" si="49"/>
        <v>OSFP-XD and TBD</v>
      </c>
      <c r="E181" s="103"/>
      <c r="F181" s="103"/>
      <c r="G181" s="103" t="str">
        <f t="shared" ref="G181" si="60">IF(G85=0,"",G277*10^6/G85)</f>
        <v/>
      </c>
      <c r="H181" s="103"/>
      <c r="I181" s="103"/>
      <c r="J181" s="103"/>
      <c r="K181" s="103"/>
      <c r="L181" s="103"/>
      <c r="M181" s="103"/>
      <c r="N181" s="103"/>
      <c r="O181" s="103"/>
      <c r="P181" s="103"/>
    </row>
    <row r="182" spans="2:16">
      <c r="B182" s="48" t="str">
        <f t="shared" si="49"/>
        <v>3.2T LR</v>
      </c>
      <c r="C182" s="49" t="str">
        <f t="shared" si="49"/>
        <v>10 km</v>
      </c>
      <c r="D182" s="50" t="str">
        <f t="shared" si="49"/>
        <v>OSFP-XD and TBD</v>
      </c>
      <c r="E182" s="103"/>
      <c r="F182" s="103"/>
      <c r="G182" s="103" t="str">
        <f t="shared" ref="G182" si="61">IF(G86=0,"",G278*10^6/G86)</f>
        <v/>
      </c>
      <c r="H182" s="103"/>
      <c r="I182" s="103"/>
      <c r="J182" s="103"/>
      <c r="K182" s="103"/>
      <c r="L182" s="103"/>
      <c r="M182" s="103"/>
      <c r="N182" s="103"/>
      <c r="O182" s="103"/>
      <c r="P182" s="103"/>
    </row>
    <row r="183" spans="2:16">
      <c r="B183" s="48" t="str">
        <f t="shared" si="49"/>
        <v>3.2T ER</v>
      </c>
      <c r="C183" s="49" t="str">
        <f t="shared" si="49"/>
        <v>&gt;10 km</v>
      </c>
      <c r="D183" s="50" t="str">
        <f t="shared" si="49"/>
        <v>OSFP-XD and TBD</v>
      </c>
      <c r="E183" s="103"/>
      <c r="F183" s="103"/>
      <c r="G183" s="103" t="str">
        <f t="shared" ref="G183" si="62">IF(G87=0,"",G279*10^6/G87)</f>
        <v/>
      </c>
      <c r="H183" s="103"/>
      <c r="I183" s="103"/>
      <c r="J183" s="103"/>
      <c r="K183" s="103"/>
      <c r="L183" s="103"/>
      <c r="M183" s="103"/>
      <c r="N183" s="103"/>
      <c r="O183" s="103"/>
      <c r="P183" s="103"/>
    </row>
    <row r="184" spans="2:16">
      <c r="B184" s="51"/>
      <c r="C184" s="52"/>
      <c r="D184" s="53"/>
      <c r="E184" s="102"/>
      <c r="F184" s="102"/>
      <c r="G184" s="103" t="str">
        <f t="shared" ref="G184:G195" si="63">IF(G88=0,"",G280*10^6/G88)</f>
        <v/>
      </c>
      <c r="H184" s="102"/>
      <c r="I184" s="102"/>
      <c r="J184" s="102"/>
      <c r="K184" s="102"/>
      <c r="L184" s="102"/>
      <c r="M184" s="102"/>
      <c r="N184" s="102"/>
      <c r="O184" s="102"/>
      <c r="P184" s="102"/>
    </row>
    <row r="185" spans="2:16">
      <c r="B185" s="38" t="s">
        <v>20</v>
      </c>
      <c r="C185" s="39"/>
      <c r="D185" s="40"/>
      <c r="E185" s="106">
        <f t="shared" ref="E185:F190" si="64">IF(E89=0,"",E281*10^6/E89)</f>
        <v>73.767871576990061</v>
      </c>
      <c r="F185" s="106">
        <f t="shared" si="64"/>
        <v>83.41567206501368</v>
      </c>
      <c r="G185" s="106">
        <f t="shared" si="63"/>
        <v>73.556115949883434</v>
      </c>
      <c r="H185" s="106"/>
      <c r="I185" s="106"/>
      <c r="J185" s="106"/>
      <c r="K185" s="106"/>
      <c r="L185" s="106"/>
      <c r="M185" s="106"/>
      <c r="N185" s="106"/>
      <c r="O185" s="106"/>
      <c r="P185" s="106"/>
    </row>
    <row r="186" spans="2:16">
      <c r="B186" s="48" t="str">
        <f t="shared" ref="B186:D191" si="65">B90</f>
        <v>10G total</v>
      </c>
      <c r="C186" s="49" t="str">
        <f t="shared" si="65"/>
        <v>All</v>
      </c>
      <c r="D186" s="50" t="str">
        <f t="shared" si="65"/>
        <v>All</v>
      </c>
      <c r="E186" s="278">
        <f t="shared" si="64"/>
        <v>32.039077608346737</v>
      </c>
      <c r="F186" s="278">
        <f t="shared" si="64"/>
        <v>24.482448081862429</v>
      </c>
      <c r="G186" s="278">
        <f t="shared" si="63"/>
        <v>21.426385743470171</v>
      </c>
      <c r="H186" s="278"/>
      <c r="I186" s="278"/>
      <c r="J186" s="278"/>
      <c r="K186" s="278"/>
      <c r="L186" s="104"/>
      <c r="M186" s="104"/>
      <c r="N186" s="104"/>
      <c r="O186" s="104"/>
      <c r="P186" s="104"/>
    </row>
    <row r="187" spans="2:16">
      <c r="B187" s="48" t="str">
        <f t="shared" si="65"/>
        <v>25G total</v>
      </c>
      <c r="C187" s="49" t="str">
        <f t="shared" si="65"/>
        <v>All</v>
      </c>
      <c r="D187" s="50" t="str">
        <f t="shared" si="65"/>
        <v>All</v>
      </c>
      <c r="E187" s="278">
        <f t="shared" si="64"/>
        <v>291.79972635539593</v>
      </c>
      <c r="F187" s="278">
        <f t="shared" si="64"/>
        <v>169.30718458014624</v>
      </c>
      <c r="G187" s="278">
        <f t="shared" si="63"/>
        <v>103.49761934802112</v>
      </c>
      <c r="H187" s="278"/>
      <c r="I187" s="278"/>
      <c r="J187" s="278"/>
      <c r="K187" s="278"/>
      <c r="L187" s="104"/>
      <c r="M187" s="104"/>
      <c r="N187" s="104"/>
      <c r="O187" s="104"/>
      <c r="P187" s="104"/>
    </row>
    <row r="188" spans="2:16">
      <c r="B188" s="48" t="str">
        <f t="shared" si="65"/>
        <v>40G total</v>
      </c>
      <c r="C188" s="49" t="str">
        <f t="shared" si="65"/>
        <v>All</v>
      </c>
      <c r="D188" s="50" t="str">
        <f t="shared" si="65"/>
        <v>All</v>
      </c>
      <c r="E188" s="278">
        <f t="shared" si="64"/>
        <v>249.89406196509381</v>
      </c>
      <c r="F188" s="278">
        <f t="shared" si="64"/>
        <v>234.01658203651027</v>
      </c>
      <c r="G188" s="278">
        <f t="shared" si="63"/>
        <v>174.13248662608308</v>
      </c>
      <c r="H188" s="278"/>
      <c r="I188" s="278"/>
      <c r="J188" s="278"/>
      <c r="K188" s="278"/>
      <c r="L188" s="104"/>
      <c r="M188" s="104"/>
      <c r="N188" s="104"/>
      <c r="O188" s="104"/>
      <c r="P188" s="104"/>
    </row>
    <row r="189" spans="2:16">
      <c r="B189" s="48" t="str">
        <f t="shared" si="65"/>
        <v>50G total</v>
      </c>
      <c r="C189" s="49" t="str">
        <f t="shared" si="65"/>
        <v>All</v>
      </c>
      <c r="D189" s="50" t="str">
        <f t="shared" si="65"/>
        <v>All</v>
      </c>
      <c r="E189" s="278" t="str">
        <f t="shared" si="64"/>
        <v/>
      </c>
      <c r="F189" s="278" t="str">
        <f t="shared" si="64"/>
        <v/>
      </c>
      <c r="G189" s="278" t="str">
        <f t="shared" si="63"/>
        <v/>
      </c>
      <c r="H189" s="278"/>
      <c r="I189" s="278"/>
      <c r="J189" s="278"/>
      <c r="K189" s="278"/>
      <c r="L189" s="104"/>
      <c r="M189" s="104"/>
      <c r="N189" s="104"/>
      <c r="O189" s="104"/>
      <c r="P189" s="104"/>
    </row>
    <row r="190" spans="2:16">
      <c r="B190" s="48" t="str">
        <f t="shared" si="65"/>
        <v>100G total</v>
      </c>
      <c r="C190" s="49" t="str">
        <f t="shared" si="65"/>
        <v>All</v>
      </c>
      <c r="D190" s="50" t="str">
        <f t="shared" si="65"/>
        <v>All</v>
      </c>
      <c r="E190" s="278">
        <f t="shared" si="64"/>
        <v>1243.4155600788019</v>
      </c>
      <c r="F190" s="278">
        <f t="shared" si="64"/>
        <v>573.99969875798752</v>
      </c>
      <c r="G190" s="278">
        <f t="shared" si="63"/>
        <v>348.40774835874726</v>
      </c>
      <c r="H190" s="278"/>
      <c r="I190" s="278"/>
      <c r="J190" s="278"/>
      <c r="K190" s="278"/>
      <c r="L190" s="278"/>
      <c r="M190" s="278"/>
      <c r="N190" s="278"/>
      <c r="O190" s="278"/>
      <c r="P190" s="278"/>
    </row>
    <row r="191" spans="2:16">
      <c r="B191" s="48" t="str">
        <f t="shared" si="65"/>
        <v>200G total</v>
      </c>
      <c r="C191" s="49" t="str">
        <f t="shared" si="65"/>
        <v>All</v>
      </c>
      <c r="D191" s="50" t="str">
        <f t="shared" si="65"/>
        <v>All</v>
      </c>
      <c r="E191" s="278" t="str">
        <f t="shared" ref="E191:F191" si="66">IF(E95=0,"",E287*10^6/E95)</f>
        <v/>
      </c>
      <c r="F191" s="278" t="str">
        <f t="shared" si="66"/>
        <v/>
      </c>
      <c r="G191" s="278">
        <f t="shared" si="63"/>
        <v>1100</v>
      </c>
      <c r="H191" s="278"/>
      <c r="I191" s="278"/>
      <c r="J191" s="278"/>
      <c r="K191" s="278"/>
      <c r="L191" s="104"/>
      <c r="M191" s="104"/>
      <c r="N191" s="104"/>
      <c r="O191" s="104"/>
      <c r="P191" s="104"/>
    </row>
    <row r="192" spans="2:16">
      <c r="B192" s="48" t="str">
        <f t="shared" ref="B192:D193" si="67">B288</f>
        <v>400G total</v>
      </c>
      <c r="C192" s="49" t="str">
        <f t="shared" si="67"/>
        <v>All</v>
      </c>
      <c r="D192" s="50" t="str">
        <f t="shared" si="67"/>
        <v>All</v>
      </c>
      <c r="E192" s="278" t="str">
        <f t="shared" ref="E192:F195" si="68">IF(E96=0,"",E288*10^6/E96)</f>
        <v/>
      </c>
      <c r="F192" s="278">
        <f t="shared" si="68"/>
        <v>15149.438202247189</v>
      </c>
      <c r="G192" s="278">
        <f t="shared" si="63"/>
        <v>1261.8461538461538</v>
      </c>
      <c r="H192" s="278"/>
      <c r="I192" s="278"/>
      <c r="J192" s="278"/>
      <c r="K192" s="278"/>
      <c r="L192" s="104"/>
      <c r="M192" s="104"/>
      <c r="N192" s="104"/>
      <c r="O192" s="104"/>
      <c r="P192" s="104"/>
    </row>
    <row r="193" spans="2:16">
      <c r="B193" s="48" t="str">
        <f t="shared" si="67"/>
        <v>800G total</v>
      </c>
      <c r="C193" s="49" t="str">
        <f t="shared" si="67"/>
        <v>All</v>
      </c>
      <c r="D193" s="50" t="str">
        <f t="shared" si="67"/>
        <v>All</v>
      </c>
      <c r="E193" s="278" t="str">
        <f t="shared" si="68"/>
        <v/>
      </c>
      <c r="F193" s="278" t="str">
        <f t="shared" si="68"/>
        <v/>
      </c>
      <c r="G193" s="278" t="str">
        <f t="shared" si="63"/>
        <v/>
      </c>
      <c r="H193" s="278"/>
      <c r="I193" s="278"/>
      <c r="J193" s="278"/>
      <c r="K193" s="278"/>
      <c r="L193" s="104"/>
      <c r="M193" s="104"/>
      <c r="N193" s="104"/>
      <c r="O193" s="104"/>
      <c r="P193" s="104"/>
    </row>
    <row r="194" spans="2:16">
      <c r="B194" s="48" t="str">
        <f t="shared" ref="B194:D194" si="69">B290</f>
        <v>1.6T total</v>
      </c>
      <c r="C194" s="49" t="str">
        <f t="shared" si="69"/>
        <v>All</v>
      </c>
      <c r="D194" s="50" t="str">
        <f t="shared" si="69"/>
        <v>All</v>
      </c>
      <c r="E194" s="278" t="str">
        <f t="shared" si="68"/>
        <v/>
      </c>
      <c r="F194" s="278" t="str">
        <f t="shared" si="68"/>
        <v/>
      </c>
      <c r="G194" s="278" t="str">
        <f t="shared" si="63"/>
        <v/>
      </c>
      <c r="H194" s="278"/>
      <c r="I194" s="278"/>
      <c r="J194" s="278"/>
      <c r="K194" s="278"/>
      <c r="L194" s="104"/>
      <c r="M194" s="104"/>
      <c r="N194" s="104"/>
      <c r="O194" s="104"/>
      <c r="P194" s="104"/>
    </row>
    <row r="195" spans="2:16">
      <c r="B195" s="51" t="str">
        <f t="shared" ref="B195:D195" si="70">B291</f>
        <v>3.2T total</v>
      </c>
      <c r="C195" s="52" t="str">
        <f t="shared" si="70"/>
        <v>All</v>
      </c>
      <c r="D195" s="53" t="str">
        <f t="shared" si="70"/>
        <v>All</v>
      </c>
      <c r="E195" s="508" t="str">
        <f t="shared" si="68"/>
        <v/>
      </c>
      <c r="F195" s="508" t="str">
        <f t="shared" si="68"/>
        <v/>
      </c>
      <c r="G195" s="508" t="str">
        <f t="shared" si="63"/>
        <v/>
      </c>
      <c r="H195" s="508"/>
      <c r="I195" s="508"/>
      <c r="J195" s="508"/>
      <c r="K195" s="508"/>
      <c r="L195" s="443"/>
      <c r="M195" s="443"/>
      <c r="N195" s="443"/>
      <c r="O195" s="443"/>
      <c r="P195" s="443"/>
    </row>
    <row r="197" spans="2:16">
      <c r="E197" s="233"/>
      <c r="F197" s="233"/>
      <c r="G197" s="233"/>
      <c r="H197" s="233"/>
      <c r="I197" s="233"/>
      <c r="J197" s="233"/>
      <c r="K197" s="233"/>
      <c r="L197" s="444"/>
      <c r="M197" s="444"/>
      <c r="N197" s="444"/>
      <c r="O197" s="444"/>
      <c r="P197" s="444"/>
    </row>
    <row r="199" spans="2:16" ht="21">
      <c r="B199" s="15" t="s">
        <v>15</v>
      </c>
      <c r="C199" s="14"/>
      <c r="D199" s="14"/>
    </row>
    <row r="200" spans="2:16">
      <c r="B200" s="77" t="str">
        <f>B6</f>
        <v>Data Rate</v>
      </c>
      <c r="C200" s="77" t="str">
        <f>C6</f>
        <v>Reach</v>
      </c>
      <c r="D200" s="77" t="str">
        <f>D6</f>
        <v>Form Factor</v>
      </c>
      <c r="E200" s="78">
        <v>2016</v>
      </c>
      <c r="F200" s="78">
        <v>2017</v>
      </c>
      <c r="G200" s="78">
        <v>2018</v>
      </c>
      <c r="H200" s="78">
        <v>2019</v>
      </c>
      <c r="I200" s="78">
        <v>2020</v>
      </c>
      <c r="J200" s="78">
        <v>2021</v>
      </c>
      <c r="K200" s="78">
        <v>2022</v>
      </c>
      <c r="L200" s="78">
        <v>2023</v>
      </c>
      <c r="M200" s="78">
        <v>2024</v>
      </c>
      <c r="N200" s="78">
        <v>2025</v>
      </c>
      <c r="O200" s="78">
        <v>2026</v>
      </c>
      <c r="P200" s="78">
        <v>2027</v>
      </c>
    </row>
    <row r="201" spans="2:16">
      <c r="B201" s="79" t="str">
        <f t="shared" ref="B201:D230" si="71">B9</f>
        <v>1G</v>
      </c>
      <c r="C201" s="80" t="str">
        <f t="shared" si="71"/>
        <v>500 m</v>
      </c>
      <c r="D201" s="81" t="str">
        <f t="shared" si="71"/>
        <v>SFP</v>
      </c>
      <c r="E201" s="110">
        <v>45.763121065</v>
      </c>
      <c r="F201" s="110">
        <v>38.398107000000003</v>
      </c>
      <c r="G201" s="110">
        <v>40.672937040000001</v>
      </c>
      <c r="H201" s="110"/>
      <c r="I201" s="110"/>
      <c r="J201" s="110"/>
      <c r="K201" s="110"/>
      <c r="L201" s="188"/>
      <c r="M201" s="188"/>
      <c r="N201" s="188"/>
      <c r="O201" s="188"/>
      <c r="P201" s="188"/>
    </row>
    <row r="202" spans="2:16">
      <c r="B202" s="87" t="str">
        <f t="shared" si="71"/>
        <v>1G</v>
      </c>
      <c r="C202" s="88" t="str">
        <f t="shared" si="71"/>
        <v>10 km</v>
      </c>
      <c r="D202" s="89" t="str">
        <f t="shared" si="71"/>
        <v>SFP</v>
      </c>
      <c r="E202" s="110">
        <v>94.956878455999998</v>
      </c>
      <c r="F202" s="110">
        <v>62.377160200233909</v>
      </c>
      <c r="G202" s="110">
        <v>62.753532079999992</v>
      </c>
      <c r="H202" s="110"/>
      <c r="I202" s="110"/>
      <c r="J202" s="110"/>
      <c r="K202" s="110"/>
      <c r="L202" s="188"/>
      <c r="M202" s="188"/>
      <c r="N202" s="188"/>
      <c r="O202" s="188"/>
      <c r="P202" s="188"/>
    </row>
    <row r="203" spans="2:16">
      <c r="B203" s="87" t="str">
        <f t="shared" si="71"/>
        <v>1G</v>
      </c>
      <c r="C203" s="88" t="str">
        <f t="shared" si="71"/>
        <v>40 km</v>
      </c>
      <c r="D203" s="89" t="str">
        <f t="shared" si="71"/>
        <v>SFP</v>
      </c>
      <c r="E203" s="110">
        <v>8.0014830827197496</v>
      </c>
      <c r="F203" s="110">
        <v>5.3816953356267128</v>
      </c>
      <c r="G203" s="110">
        <v>11.539147999999999</v>
      </c>
      <c r="H203" s="110"/>
      <c r="I203" s="110"/>
      <c r="J203" s="110"/>
      <c r="K203" s="110"/>
      <c r="L203" s="188"/>
      <c r="M203" s="188"/>
      <c r="N203" s="188"/>
      <c r="O203" s="188"/>
      <c r="P203" s="188"/>
    </row>
    <row r="204" spans="2:16">
      <c r="B204" s="87" t="str">
        <f t="shared" si="71"/>
        <v>1G</v>
      </c>
      <c r="C204" s="88" t="str">
        <f t="shared" si="71"/>
        <v>80 km</v>
      </c>
      <c r="D204" s="89" t="str">
        <f t="shared" si="71"/>
        <v>SFP</v>
      </c>
      <c r="E204" s="110">
        <v>5.4436485260342007</v>
      </c>
      <c r="F204" s="110">
        <v>4.4704450954117947</v>
      </c>
      <c r="G204" s="110">
        <v>16.948148</v>
      </c>
      <c r="H204" s="110"/>
      <c r="I204" s="110"/>
      <c r="J204" s="110"/>
      <c r="K204" s="110"/>
      <c r="L204" s="188"/>
      <c r="M204" s="188"/>
      <c r="N204" s="188"/>
      <c r="O204" s="188"/>
      <c r="P204" s="188"/>
    </row>
    <row r="205" spans="2:16">
      <c r="B205" s="83" t="str">
        <f t="shared" si="71"/>
        <v>G &amp; Fast Ethernet</v>
      </c>
      <c r="C205" s="84" t="str">
        <f t="shared" si="71"/>
        <v>Various</v>
      </c>
      <c r="D205" s="85" t="str">
        <f t="shared" si="71"/>
        <v>Legacy/discontinued</v>
      </c>
      <c r="E205" s="109">
        <v>3.6</v>
      </c>
      <c r="F205" s="109"/>
      <c r="G205" s="109">
        <v>0</v>
      </c>
      <c r="H205" s="109"/>
      <c r="I205" s="109"/>
      <c r="J205" s="109"/>
      <c r="K205" s="109"/>
      <c r="L205" s="445"/>
      <c r="M205" s="445"/>
      <c r="N205" s="445"/>
      <c r="O205" s="445"/>
      <c r="P205" s="445"/>
    </row>
    <row r="206" spans="2:16">
      <c r="B206" s="87" t="str">
        <f t="shared" si="71"/>
        <v>10G</v>
      </c>
      <c r="C206" s="88" t="str">
        <f t="shared" si="71"/>
        <v>300 m</v>
      </c>
      <c r="D206" s="89" t="str">
        <f t="shared" si="71"/>
        <v>XFP</v>
      </c>
      <c r="E206" s="110">
        <v>7.6676450000000003</v>
      </c>
      <c r="F206" s="110">
        <v>4.9103659999999998</v>
      </c>
      <c r="G206" s="110">
        <v>3.0100636000000005</v>
      </c>
      <c r="H206" s="110"/>
      <c r="I206" s="110"/>
      <c r="J206" s="110"/>
      <c r="K206" s="110"/>
      <c r="L206" s="188"/>
      <c r="M206" s="188"/>
      <c r="N206" s="188"/>
      <c r="O206" s="188"/>
      <c r="P206" s="188"/>
    </row>
    <row r="207" spans="2:16">
      <c r="B207" s="87" t="str">
        <f t="shared" si="71"/>
        <v>10G</v>
      </c>
      <c r="C207" s="88" t="str">
        <f t="shared" si="71"/>
        <v>300 m</v>
      </c>
      <c r="D207" s="89" t="str">
        <f t="shared" si="71"/>
        <v>SFP+</v>
      </c>
      <c r="E207" s="110">
        <v>202.35770202004551</v>
      </c>
      <c r="F207" s="110">
        <v>188.72114215935508</v>
      </c>
      <c r="G207" s="110">
        <v>179.3380922418161</v>
      </c>
      <c r="H207" s="110"/>
      <c r="I207" s="110"/>
      <c r="J207" s="110"/>
      <c r="K207" s="110"/>
      <c r="L207" s="188"/>
      <c r="M207" s="188"/>
      <c r="N207" s="188"/>
      <c r="O207" s="188"/>
      <c r="P207" s="188"/>
    </row>
    <row r="208" spans="2:16">
      <c r="B208" s="87" t="str">
        <f t="shared" si="71"/>
        <v>10G LRM</v>
      </c>
      <c r="C208" s="88" t="str">
        <f t="shared" si="71"/>
        <v>220 m</v>
      </c>
      <c r="D208" s="89" t="str">
        <f t="shared" si="71"/>
        <v>SFP+</v>
      </c>
      <c r="E208" s="110">
        <v>9.5352954367439988</v>
      </c>
      <c r="F208" s="110">
        <v>7.2161380000000008</v>
      </c>
      <c r="G208" s="110">
        <v>6.0782330000000009</v>
      </c>
      <c r="H208" s="110"/>
      <c r="I208" s="110"/>
      <c r="J208" s="110"/>
      <c r="K208" s="110"/>
      <c r="L208" s="188"/>
      <c r="M208" s="188"/>
      <c r="N208" s="188"/>
      <c r="O208" s="188"/>
      <c r="P208" s="188"/>
    </row>
    <row r="209" spans="2:16">
      <c r="B209" s="87" t="str">
        <f t="shared" si="71"/>
        <v>10G</v>
      </c>
      <c r="C209" s="88" t="str">
        <f t="shared" si="71"/>
        <v>10 km</v>
      </c>
      <c r="D209" s="89" t="str">
        <f t="shared" si="71"/>
        <v>XFP</v>
      </c>
      <c r="E209" s="110">
        <v>8.2627039704398832</v>
      </c>
      <c r="F209" s="110">
        <v>3.3792872222713641</v>
      </c>
      <c r="G209" s="110">
        <v>8.7323640982425257</v>
      </c>
      <c r="H209" s="110"/>
      <c r="I209" s="110"/>
      <c r="J209" s="110"/>
      <c r="K209" s="110"/>
      <c r="L209" s="188"/>
      <c r="M209" s="188"/>
      <c r="N209" s="188"/>
      <c r="O209" s="188"/>
      <c r="P209" s="188"/>
    </row>
    <row r="210" spans="2:16">
      <c r="B210" s="87" t="str">
        <f t="shared" si="71"/>
        <v>10G</v>
      </c>
      <c r="C210" s="88" t="str">
        <f t="shared" si="71"/>
        <v>10 km</v>
      </c>
      <c r="D210" s="89" t="str">
        <f t="shared" si="71"/>
        <v>SFP+</v>
      </c>
      <c r="E210" s="110">
        <v>246.18213319313497</v>
      </c>
      <c r="F210" s="110">
        <v>205.875</v>
      </c>
      <c r="G210" s="110">
        <v>166.5347426714647</v>
      </c>
      <c r="H210" s="110"/>
      <c r="I210" s="110"/>
      <c r="J210" s="110"/>
      <c r="K210" s="110"/>
      <c r="L210" s="188"/>
      <c r="M210" s="188"/>
      <c r="N210" s="188"/>
      <c r="O210" s="188"/>
      <c r="P210" s="188"/>
    </row>
    <row r="211" spans="2:16">
      <c r="B211" s="87" t="str">
        <f t="shared" si="71"/>
        <v>10G</v>
      </c>
      <c r="C211" s="88" t="str">
        <f t="shared" si="71"/>
        <v>40 km</v>
      </c>
      <c r="D211" s="89" t="str">
        <f t="shared" si="71"/>
        <v>XFP</v>
      </c>
      <c r="E211" s="110">
        <v>30.978895627515001</v>
      </c>
      <c r="F211" s="110">
        <v>14.956408213872029</v>
      </c>
      <c r="G211" s="110">
        <v>18.700227074197439</v>
      </c>
      <c r="H211" s="110"/>
      <c r="I211" s="110"/>
      <c r="J211" s="110"/>
      <c r="K211" s="110"/>
      <c r="L211" s="188"/>
      <c r="M211" s="188"/>
      <c r="N211" s="188"/>
      <c r="O211" s="188"/>
      <c r="P211" s="188"/>
    </row>
    <row r="212" spans="2:16">
      <c r="B212" s="87" t="str">
        <f t="shared" si="71"/>
        <v>10G</v>
      </c>
      <c r="C212" s="88" t="str">
        <f t="shared" si="71"/>
        <v>40 km</v>
      </c>
      <c r="D212" s="89" t="str">
        <f t="shared" si="71"/>
        <v>SFP+</v>
      </c>
      <c r="E212" s="110">
        <v>49.314255569719556</v>
      </c>
      <c r="F212" s="110">
        <v>40.24149581356366</v>
      </c>
      <c r="G212" s="110">
        <v>54.165498572586479</v>
      </c>
      <c r="H212" s="110"/>
      <c r="I212" s="110"/>
      <c r="J212" s="110"/>
      <c r="K212" s="110"/>
      <c r="L212" s="188"/>
      <c r="M212" s="188"/>
      <c r="N212" s="188"/>
      <c r="O212" s="188"/>
      <c r="P212" s="188"/>
    </row>
    <row r="213" spans="2:16">
      <c r="B213" s="87" t="str">
        <f t="shared" si="71"/>
        <v>10G</v>
      </c>
      <c r="C213" s="88" t="str">
        <f t="shared" si="71"/>
        <v>80 km</v>
      </c>
      <c r="D213" s="89" t="str">
        <f t="shared" si="71"/>
        <v>XFP</v>
      </c>
      <c r="E213" s="110">
        <v>18.705963697892301</v>
      </c>
      <c r="F213" s="110">
        <v>2.6384714875083346</v>
      </c>
      <c r="G213" s="110">
        <v>2.9799696693860023</v>
      </c>
      <c r="H213" s="110"/>
      <c r="I213" s="110"/>
      <c r="J213" s="110"/>
      <c r="K213" s="110"/>
      <c r="L213" s="188"/>
      <c r="M213" s="188"/>
      <c r="N213" s="188"/>
      <c r="O213" s="188"/>
      <c r="P213" s="188"/>
    </row>
    <row r="214" spans="2:16">
      <c r="B214" s="87" t="str">
        <f t="shared" si="71"/>
        <v>10G</v>
      </c>
      <c r="C214" s="88" t="str">
        <f t="shared" si="71"/>
        <v>80 km</v>
      </c>
      <c r="D214" s="89" t="str">
        <f t="shared" si="71"/>
        <v>SFP+</v>
      </c>
      <c r="E214" s="110">
        <v>15.89513332813862</v>
      </c>
      <c r="F214" s="110">
        <v>18.666526637661988</v>
      </c>
      <c r="G214" s="110">
        <v>31.88064561095899</v>
      </c>
      <c r="H214" s="110"/>
      <c r="I214" s="110"/>
      <c r="J214" s="110"/>
      <c r="K214" s="110"/>
      <c r="L214" s="188"/>
      <c r="M214" s="188"/>
      <c r="N214" s="188"/>
      <c r="O214" s="188"/>
      <c r="P214" s="188"/>
    </row>
    <row r="215" spans="2:16">
      <c r="B215" s="83" t="str">
        <f t="shared" si="71"/>
        <v>10G</v>
      </c>
      <c r="C215" s="84" t="str">
        <f t="shared" si="71"/>
        <v>Various</v>
      </c>
      <c r="D215" s="85" t="str">
        <f t="shared" si="71"/>
        <v>Legacy/discontinued</v>
      </c>
      <c r="E215" s="109">
        <v>6.4463090300000001</v>
      </c>
      <c r="F215" s="109">
        <v>2.2937660000000006</v>
      </c>
      <c r="G215" s="109">
        <v>0.4</v>
      </c>
      <c r="H215" s="109"/>
      <c r="I215" s="109"/>
      <c r="J215" s="109"/>
      <c r="K215" s="109"/>
      <c r="L215" s="445"/>
      <c r="M215" s="445"/>
      <c r="N215" s="445"/>
      <c r="O215" s="445"/>
      <c r="P215" s="445"/>
    </row>
    <row r="216" spans="2:16">
      <c r="B216" s="79" t="str">
        <f t="shared" si="71"/>
        <v>25G SR, eSR</v>
      </c>
      <c r="C216" s="80" t="str">
        <f t="shared" si="71"/>
        <v>100 - 300 m</v>
      </c>
      <c r="D216" s="81" t="str">
        <f t="shared" si="71"/>
        <v>SFP28</v>
      </c>
      <c r="E216" s="108">
        <v>1.3373250000000001</v>
      </c>
      <c r="F216" s="108">
        <v>13.527578999999998</v>
      </c>
      <c r="G216" s="108">
        <v>27.845733580000019</v>
      </c>
      <c r="H216" s="108"/>
      <c r="I216" s="108"/>
      <c r="J216" s="108"/>
      <c r="K216" s="108"/>
      <c r="L216" s="446"/>
      <c r="M216" s="446"/>
      <c r="N216" s="446"/>
      <c r="O216" s="446"/>
      <c r="P216" s="446"/>
    </row>
    <row r="217" spans="2:16">
      <c r="B217" s="87" t="str">
        <f t="shared" si="71"/>
        <v>25G LR</v>
      </c>
      <c r="C217" s="88" t="str">
        <f t="shared" si="71"/>
        <v>10 km</v>
      </c>
      <c r="D217" s="89" t="str">
        <f t="shared" si="71"/>
        <v>SFP28</v>
      </c>
      <c r="E217" s="110">
        <v>2.0749810000000002</v>
      </c>
      <c r="F217" s="110">
        <v>5.6594963069142326</v>
      </c>
      <c r="G217" s="110">
        <v>11.036976539999998</v>
      </c>
      <c r="H217" s="110"/>
      <c r="I217" s="110"/>
      <c r="J217" s="110"/>
      <c r="K217" s="110"/>
      <c r="L217" s="188"/>
      <c r="M217" s="188"/>
      <c r="N217" s="188"/>
      <c r="O217" s="188"/>
      <c r="P217" s="188"/>
    </row>
    <row r="218" spans="2:16">
      <c r="B218" s="87" t="str">
        <f t="shared" si="71"/>
        <v>25G ER</v>
      </c>
      <c r="C218" s="88" t="str">
        <f t="shared" si="71"/>
        <v>40 km</v>
      </c>
      <c r="D218" s="89" t="str">
        <f t="shared" si="71"/>
        <v>SFP28</v>
      </c>
      <c r="E218" s="110">
        <v>0</v>
      </c>
      <c r="F218" s="110">
        <v>0</v>
      </c>
      <c r="G218" s="585">
        <v>0</v>
      </c>
      <c r="H218" s="110"/>
      <c r="I218" s="110"/>
      <c r="J218" s="110"/>
      <c r="K218" s="110"/>
      <c r="L218" s="188"/>
      <c r="M218" s="188"/>
      <c r="N218" s="188"/>
      <c r="O218" s="188"/>
      <c r="P218" s="188"/>
    </row>
    <row r="219" spans="2:16">
      <c r="B219" s="79" t="str">
        <f t="shared" si="71"/>
        <v>40G SR4</v>
      </c>
      <c r="C219" s="80" t="str">
        <f t="shared" si="71"/>
        <v>100 m</v>
      </c>
      <c r="D219" s="81" t="str">
        <f t="shared" si="71"/>
        <v>QSFP+</v>
      </c>
      <c r="E219" s="108">
        <v>61.814562208888887</v>
      </c>
      <c r="F219" s="108">
        <v>63.806447873340716</v>
      </c>
      <c r="G219" s="108">
        <v>56.351367198170891</v>
      </c>
      <c r="H219" s="108"/>
      <c r="I219" s="108"/>
      <c r="J219" s="108"/>
      <c r="K219" s="108"/>
      <c r="L219" s="446"/>
      <c r="M219" s="446"/>
      <c r="N219" s="446"/>
      <c r="O219" s="446"/>
      <c r="P219" s="446"/>
    </row>
    <row r="220" spans="2:16">
      <c r="B220" s="87" t="str">
        <f t="shared" si="71"/>
        <v>40G MM duplex</v>
      </c>
      <c r="C220" s="88" t="str">
        <f t="shared" si="71"/>
        <v>100 m</v>
      </c>
      <c r="D220" s="89" t="str">
        <f t="shared" si="71"/>
        <v>QSFP+</v>
      </c>
      <c r="E220" s="110">
        <v>153.5735</v>
      </c>
      <c r="F220" s="110">
        <v>180.12456</v>
      </c>
      <c r="G220" s="110">
        <v>134.912229</v>
      </c>
      <c r="H220" s="110"/>
      <c r="I220" s="110"/>
      <c r="J220" s="110"/>
      <c r="K220" s="110"/>
      <c r="L220" s="188"/>
      <c r="M220" s="188"/>
      <c r="N220" s="188"/>
      <c r="O220" s="188"/>
      <c r="P220" s="188"/>
    </row>
    <row r="221" spans="2:16">
      <c r="B221" s="87" t="str">
        <f t="shared" si="71"/>
        <v>40G eSR4</v>
      </c>
      <c r="C221" s="88" t="str">
        <f t="shared" si="71"/>
        <v>300 m</v>
      </c>
      <c r="D221" s="89" t="str">
        <f t="shared" si="71"/>
        <v>QSFP+</v>
      </c>
      <c r="E221" s="110">
        <v>29.361883310000003</v>
      </c>
      <c r="F221" s="110">
        <v>37.789000000000001</v>
      </c>
      <c r="G221" s="110">
        <v>31.355079991532847</v>
      </c>
      <c r="H221" s="110"/>
      <c r="I221" s="110"/>
      <c r="J221" s="110"/>
      <c r="K221" s="110"/>
      <c r="L221" s="188"/>
      <c r="M221" s="188"/>
      <c r="N221" s="188"/>
      <c r="O221" s="188"/>
      <c r="P221" s="188"/>
    </row>
    <row r="222" spans="2:16">
      <c r="B222" s="87" t="str">
        <f t="shared" si="71"/>
        <v xml:space="preserve">40G PSM4 </v>
      </c>
      <c r="C222" s="88" t="str">
        <f t="shared" si="71"/>
        <v>500 m</v>
      </c>
      <c r="D222" s="89" t="str">
        <f t="shared" si="71"/>
        <v>QSFP+</v>
      </c>
      <c r="E222" s="188">
        <v>206.04404776999999</v>
      </c>
      <c r="F222" s="188">
        <v>161.25879399999999</v>
      </c>
      <c r="G222" s="188">
        <v>126.55715000000001</v>
      </c>
      <c r="H222" s="188"/>
      <c r="I222" s="188"/>
      <c r="J222" s="188"/>
      <c r="K222" s="188"/>
      <c r="L222" s="188"/>
      <c r="M222" s="188"/>
      <c r="N222" s="188"/>
      <c r="O222" s="188"/>
      <c r="P222" s="188"/>
    </row>
    <row r="223" spans="2:16">
      <c r="B223" s="87" t="str">
        <f t="shared" si="71"/>
        <v>40G (FR)</v>
      </c>
      <c r="C223" s="88" t="str">
        <f t="shared" si="71"/>
        <v>2 km</v>
      </c>
      <c r="D223" s="89" t="str">
        <f t="shared" si="71"/>
        <v>CFP</v>
      </c>
      <c r="E223" s="110">
        <v>3.6147868986222087</v>
      </c>
      <c r="F223" s="110">
        <v>2.1111758458730683</v>
      </c>
      <c r="G223" s="110">
        <v>0</v>
      </c>
      <c r="H223" s="110"/>
      <c r="I223" s="110"/>
      <c r="J223" s="110"/>
      <c r="K223" s="110"/>
      <c r="L223" s="188"/>
      <c r="M223" s="188"/>
      <c r="N223" s="188"/>
      <c r="O223" s="188"/>
      <c r="P223" s="188"/>
    </row>
    <row r="224" spans="2:16">
      <c r="B224" s="87" t="str">
        <f t="shared" si="71"/>
        <v>40G (LR4 subspec)</v>
      </c>
      <c r="C224" s="88" t="str">
        <f t="shared" si="71"/>
        <v>2 km</v>
      </c>
      <c r="D224" s="89" t="str">
        <f t="shared" si="71"/>
        <v>QSFP+</v>
      </c>
      <c r="E224" s="110">
        <v>177.55117799999999</v>
      </c>
      <c r="F224" s="110">
        <v>277.09314268000003</v>
      </c>
      <c r="G224" s="110">
        <v>82.548280259999999</v>
      </c>
      <c r="H224" s="110"/>
      <c r="I224" s="110"/>
      <c r="J224" s="110"/>
      <c r="K224" s="110"/>
      <c r="L224" s="188"/>
      <c r="M224" s="188"/>
      <c r="N224" s="188"/>
      <c r="O224" s="188"/>
      <c r="P224" s="188"/>
    </row>
    <row r="225" spans="2:16">
      <c r="B225" s="87" t="str">
        <f t="shared" si="71"/>
        <v>40G</v>
      </c>
      <c r="C225" s="88" t="str">
        <f t="shared" si="71"/>
        <v>10 km</v>
      </c>
      <c r="D225" s="89" t="str">
        <f t="shared" si="71"/>
        <v>CFP</v>
      </c>
      <c r="E225" s="110">
        <v>7.8193956068084791</v>
      </c>
      <c r="F225" s="110">
        <v>3.8446607087985556</v>
      </c>
      <c r="G225" s="110">
        <v>0</v>
      </c>
      <c r="H225" s="110"/>
      <c r="I225" s="110"/>
      <c r="J225" s="110"/>
      <c r="K225" s="110"/>
      <c r="L225" s="188"/>
      <c r="M225" s="188"/>
      <c r="N225" s="188"/>
      <c r="O225" s="188"/>
      <c r="P225" s="188"/>
    </row>
    <row r="226" spans="2:16">
      <c r="B226" s="87" t="str">
        <f t="shared" si="71"/>
        <v>40G</v>
      </c>
      <c r="C226" s="88" t="str">
        <f t="shared" si="71"/>
        <v>10 km</v>
      </c>
      <c r="D226" s="89" t="str">
        <f t="shared" si="71"/>
        <v>QSFP+</v>
      </c>
      <c r="E226" s="110">
        <v>139.9656742823521</v>
      </c>
      <c r="F226" s="110">
        <v>170.32318072539266</v>
      </c>
      <c r="G226" s="110">
        <v>97.438304479999957</v>
      </c>
      <c r="H226" s="110"/>
      <c r="I226" s="110"/>
      <c r="J226" s="110"/>
      <c r="K226" s="110"/>
      <c r="L226" s="188"/>
      <c r="M226" s="188"/>
      <c r="N226" s="188"/>
      <c r="O226" s="188"/>
      <c r="P226" s="188"/>
    </row>
    <row r="227" spans="2:16">
      <c r="B227" s="83" t="str">
        <f t="shared" si="71"/>
        <v>40G</v>
      </c>
      <c r="C227" s="84" t="str">
        <f t="shared" si="71"/>
        <v>40 km</v>
      </c>
      <c r="D227" s="85" t="str">
        <f t="shared" si="71"/>
        <v>QSFP+</v>
      </c>
      <c r="E227" s="109">
        <v>8.1879420954829136</v>
      </c>
      <c r="F227" s="109">
        <v>7.9265538087967364</v>
      </c>
      <c r="G227" s="109">
        <v>10.321537999999995</v>
      </c>
      <c r="H227" s="109"/>
      <c r="I227" s="109"/>
      <c r="J227" s="109"/>
      <c r="K227" s="109"/>
      <c r="L227" s="445"/>
      <c r="M227" s="445"/>
      <c r="N227" s="445"/>
      <c r="O227" s="445"/>
      <c r="P227" s="445"/>
    </row>
    <row r="228" spans="2:16">
      <c r="B228" s="236" t="str">
        <f t="shared" si="71"/>
        <v xml:space="preserve">50G </v>
      </c>
      <c r="C228" s="237" t="str">
        <f t="shared" si="71"/>
        <v>100 m</v>
      </c>
      <c r="D228" s="238" t="str">
        <f t="shared" si="71"/>
        <v>all</v>
      </c>
      <c r="E228" s="108">
        <v>0</v>
      </c>
      <c r="F228" s="108">
        <v>0</v>
      </c>
      <c r="G228" s="108">
        <v>0</v>
      </c>
      <c r="H228" s="108"/>
      <c r="I228" s="108"/>
      <c r="J228" s="108"/>
      <c r="K228" s="108"/>
      <c r="L228" s="446"/>
      <c r="M228" s="446"/>
      <c r="N228" s="446"/>
      <c r="O228" s="446"/>
      <c r="P228" s="446"/>
    </row>
    <row r="229" spans="2:16">
      <c r="B229" s="239" t="str">
        <f t="shared" si="71"/>
        <v xml:space="preserve">50G </v>
      </c>
      <c r="C229" s="240" t="str">
        <f t="shared" si="71"/>
        <v>2 km</v>
      </c>
      <c r="D229" s="241" t="str">
        <f t="shared" si="71"/>
        <v>all</v>
      </c>
      <c r="E229" s="110">
        <v>0</v>
      </c>
      <c r="F229" s="110">
        <v>0</v>
      </c>
      <c r="G229" s="110">
        <v>0</v>
      </c>
      <c r="H229" s="110"/>
      <c r="I229" s="110"/>
      <c r="J229" s="110"/>
      <c r="K229" s="110"/>
      <c r="L229" s="188"/>
      <c r="M229" s="188"/>
      <c r="N229" s="188"/>
      <c r="O229" s="188"/>
      <c r="P229" s="188"/>
    </row>
    <row r="230" spans="2:16">
      <c r="B230" s="239" t="str">
        <f t="shared" si="71"/>
        <v xml:space="preserve">50G </v>
      </c>
      <c r="C230" s="240" t="str">
        <f t="shared" si="71"/>
        <v>10 km</v>
      </c>
      <c r="D230" s="241" t="str">
        <f t="shared" si="71"/>
        <v>all</v>
      </c>
      <c r="E230" s="110">
        <v>0</v>
      </c>
      <c r="F230" s="110">
        <v>0</v>
      </c>
      <c r="G230" s="110">
        <v>0</v>
      </c>
      <c r="H230" s="110"/>
      <c r="I230" s="110"/>
      <c r="J230" s="110"/>
      <c r="K230" s="110"/>
      <c r="L230" s="188"/>
      <c r="M230" s="188"/>
      <c r="N230" s="188"/>
      <c r="O230" s="188"/>
      <c r="P230" s="188"/>
    </row>
    <row r="231" spans="2:16">
      <c r="B231" s="239" t="str">
        <f t="shared" ref="B231:D231" si="72">B39</f>
        <v xml:space="preserve">50G </v>
      </c>
      <c r="C231" s="240" t="str">
        <f t="shared" si="72"/>
        <v>40 km</v>
      </c>
      <c r="D231" s="241" t="str">
        <f t="shared" si="72"/>
        <v>all</v>
      </c>
      <c r="E231" s="188"/>
      <c r="F231" s="188"/>
      <c r="G231" s="188"/>
      <c r="H231" s="104"/>
      <c r="I231" s="104"/>
      <c r="J231" s="104"/>
      <c r="K231" s="104"/>
      <c r="L231" s="104"/>
      <c r="M231" s="104"/>
      <c r="N231" s="104"/>
      <c r="O231" s="104"/>
      <c r="P231" s="104"/>
    </row>
    <row r="232" spans="2:16">
      <c r="B232" s="239" t="str">
        <f t="shared" ref="B232:D232" si="73">B40</f>
        <v xml:space="preserve">50G </v>
      </c>
      <c r="C232" s="240" t="str">
        <f t="shared" si="73"/>
        <v>80 km</v>
      </c>
      <c r="D232" s="241" t="str">
        <f t="shared" si="73"/>
        <v>all</v>
      </c>
      <c r="E232" s="188"/>
      <c r="F232" s="188"/>
      <c r="G232" s="188"/>
      <c r="H232" s="104"/>
      <c r="I232" s="104"/>
      <c r="J232" s="104"/>
      <c r="K232" s="104"/>
      <c r="L232" s="104"/>
      <c r="M232" s="104"/>
      <c r="N232" s="104"/>
      <c r="O232" s="104"/>
      <c r="P232" s="104"/>
    </row>
    <row r="233" spans="2:16">
      <c r="B233" s="79" t="str">
        <f t="shared" ref="B233:D252" si="74">B41</f>
        <v>100G SR4</v>
      </c>
      <c r="C233" s="80" t="str">
        <f t="shared" si="74"/>
        <v>100 m</v>
      </c>
      <c r="D233" s="81" t="str">
        <f t="shared" si="74"/>
        <v>CFP</v>
      </c>
      <c r="E233" s="108">
        <v>21.078782</v>
      </c>
      <c r="F233" s="108">
        <v>8.8030050000000024</v>
      </c>
      <c r="G233" s="108">
        <v>5.1903120000000031</v>
      </c>
      <c r="H233" s="108"/>
      <c r="I233" s="108"/>
      <c r="J233" s="108"/>
      <c r="K233" s="108"/>
      <c r="L233" s="446"/>
      <c r="M233" s="446"/>
      <c r="N233" s="446"/>
      <c r="O233" s="446"/>
      <c r="P233" s="446"/>
    </row>
    <row r="234" spans="2:16">
      <c r="B234" s="87" t="str">
        <f t="shared" si="74"/>
        <v>100G SR4</v>
      </c>
      <c r="C234" s="88" t="str">
        <f t="shared" si="74"/>
        <v>100 m</v>
      </c>
      <c r="D234" s="89" t="str">
        <f t="shared" si="74"/>
        <v>CFP2/4</v>
      </c>
      <c r="E234" s="110">
        <v>5.2611999999999997</v>
      </c>
      <c r="F234" s="110">
        <v>2.4791280000000007</v>
      </c>
      <c r="G234" s="110">
        <v>2.0080936800000004</v>
      </c>
      <c r="H234" s="110"/>
      <c r="I234" s="110"/>
      <c r="J234" s="110"/>
      <c r="K234" s="110"/>
      <c r="L234" s="110"/>
      <c r="M234" s="110"/>
      <c r="N234" s="110"/>
      <c r="O234" s="110"/>
      <c r="P234" s="110"/>
    </row>
    <row r="235" spans="2:16">
      <c r="B235" s="87" t="str">
        <f t="shared" si="74"/>
        <v>100G SR4</v>
      </c>
      <c r="C235" s="88" t="str">
        <f t="shared" si="74"/>
        <v>100 m</v>
      </c>
      <c r="D235" s="89" t="str">
        <f t="shared" si="74"/>
        <v>QSFP28</v>
      </c>
      <c r="E235" s="110">
        <v>72.281363999999996</v>
      </c>
      <c r="F235" s="110">
        <v>113.36232738072</v>
      </c>
      <c r="G235" s="110">
        <v>217.53494686689399</v>
      </c>
      <c r="H235" s="110"/>
      <c r="I235" s="110"/>
      <c r="J235" s="110"/>
      <c r="K235" s="110"/>
      <c r="L235" s="188"/>
      <c r="M235" s="188"/>
      <c r="N235" s="188"/>
      <c r="O235" s="188"/>
      <c r="P235" s="188"/>
    </row>
    <row r="236" spans="2:16">
      <c r="B236" s="87" t="str">
        <f t="shared" si="74"/>
        <v>100G SR2</v>
      </c>
      <c r="C236" s="88" t="str">
        <f t="shared" si="74"/>
        <v>100 m</v>
      </c>
      <c r="D236" s="89" t="str">
        <f t="shared" si="74"/>
        <v>All</v>
      </c>
      <c r="E236" s="110">
        <v>0</v>
      </c>
      <c r="F236" s="110">
        <v>0</v>
      </c>
      <c r="G236" s="110">
        <v>0</v>
      </c>
      <c r="H236" s="110"/>
      <c r="I236" s="110"/>
      <c r="J236" s="110"/>
      <c r="K236" s="110"/>
      <c r="L236" s="188"/>
      <c r="M236" s="188"/>
      <c r="N236" s="188"/>
      <c r="O236" s="188"/>
      <c r="P236" s="188"/>
    </row>
    <row r="237" spans="2:16">
      <c r="B237" s="87" t="str">
        <f t="shared" si="74"/>
        <v>100G MM Duplex</v>
      </c>
      <c r="C237" s="88" t="str">
        <f t="shared" si="74"/>
        <v>100 - 300 m</v>
      </c>
      <c r="D237" s="89" t="str">
        <f t="shared" si="74"/>
        <v>QSFP28</v>
      </c>
      <c r="E237" s="110">
        <v>0</v>
      </c>
      <c r="F237" s="110">
        <v>0</v>
      </c>
      <c r="G237" s="110">
        <v>25.5</v>
      </c>
      <c r="H237" s="110"/>
      <c r="I237" s="110"/>
      <c r="J237" s="110"/>
      <c r="K237" s="110"/>
      <c r="L237" s="188"/>
      <c r="M237" s="188"/>
      <c r="N237" s="188"/>
      <c r="O237" s="188"/>
      <c r="P237" s="188"/>
    </row>
    <row r="238" spans="2:16">
      <c r="B238" s="87" t="str">
        <f t="shared" si="74"/>
        <v>100G eSR4</v>
      </c>
      <c r="C238" s="88" t="str">
        <f t="shared" si="74"/>
        <v>300 m</v>
      </c>
      <c r="D238" s="89" t="str">
        <f t="shared" si="74"/>
        <v>QSFP28</v>
      </c>
      <c r="E238" s="110">
        <v>0</v>
      </c>
      <c r="F238" s="110">
        <v>0</v>
      </c>
      <c r="G238" s="110">
        <v>1.7</v>
      </c>
      <c r="H238" s="110"/>
      <c r="I238" s="110"/>
      <c r="J238" s="110"/>
      <c r="K238" s="110"/>
      <c r="L238" s="188"/>
      <c r="M238" s="188"/>
      <c r="N238" s="188"/>
      <c r="O238" s="188"/>
      <c r="P238" s="188"/>
    </row>
    <row r="239" spans="2:16">
      <c r="B239" s="87" t="str">
        <f t="shared" si="74"/>
        <v>100G PSM4</v>
      </c>
      <c r="C239" s="88" t="str">
        <f t="shared" si="74"/>
        <v>500 m</v>
      </c>
      <c r="D239" s="89" t="str">
        <f t="shared" si="74"/>
        <v>QSFP28</v>
      </c>
      <c r="E239" s="110">
        <v>67.773890240000014</v>
      </c>
      <c r="F239" s="110">
        <v>158.09400299999999</v>
      </c>
      <c r="G239" s="110">
        <v>96.70092799999999</v>
      </c>
      <c r="H239" s="110"/>
      <c r="I239" s="110"/>
      <c r="J239" s="110"/>
      <c r="K239" s="110"/>
      <c r="L239" s="188"/>
      <c r="M239" s="188"/>
      <c r="N239" s="188"/>
      <c r="O239" s="188"/>
      <c r="P239" s="188"/>
    </row>
    <row r="240" spans="2:16">
      <c r="B240" s="87" t="str">
        <f t="shared" si="74"/>
        <v>100G DR</v>
      </c>
      <c r="C240" s="88" t="str">
        <f t="shared" si="74"/>
        <v>500m</v>
      </c>
      <c r="D240" s="89" t="str">
        <f t="shared" si="74"/>
        <v>QSFP28</v>
      </c>
      <c r="E240" s="110">
        <v>0</v>
      </c>
      <c r="F240" s="110">
        <v>0</v>
      </c>
      <c r="G240" s="188">
        <v>0</v>
      </c>
      <c r="H240" s="110"/>
      <c r="I240" s="110"/>
      <c r="J240" s="110"/>
      <c r="K240" s="110"/>
      <c r="L240" s="188"/>
      <c r="M240" s="188"/>
      <c r="N240" s="188"/>
      <c r="O240" s="188"/>
      <c r="P240" s="188"/>
    </row>
    <row r="241" spans="2:16">
      <c r="B241" s="87" t="str">
        <f t="shared" si="74"/>
        <v>100G CWDM4-subspec</v>
      </c>
      <c r="C241" s="88" t="str">
        <f t="shared" si="74"/>
        <v>500 m</v>
      </c>
      <c r="D241" s="89" t="str">
        <f t="shared" si="74"/>
        <v>QSFP28</v>
      </c>
      <c r="E241" s="110">
        <v>55.125374999999998</v>
      </c>
      <c r="F241" s="110">
        <v>307.53544499999998</v>
      </c>
      <c r="G241" s="188">
        <v>308</v>
      </c>
      <c r="H241" s="110"/>
      <c r="I241" s="110"/>
      <c r="J241" s="110"/>
      <c r="K241" s="110"/>
      <c r="L241" s="188"/>
      <c r="M241" s="188"/>
      <c r="N241" s="188"/>
      <c r="O241" s="188"/>
      <c r="P241" s="188"/>
    </row>
    <row r="242" spans="2:16">
      <c r="B242" s="87" t="str">
        <f t="shared" si="74"/>
        <v>100G CWDM4</v>
      </c>
      <c r="C242" s="88" t="str">
        <f t="shared" si="74"/>
        <v>2 km</v>
      </c>
      <c r="D242" s="89" t="str">
        <f t="shared" si="74"/>
        <v>QSFP28</v>
      </c>
      <c r="E242" s="110">
        <v>25.566254999999995</v>
      </c>
      <c r="F242" s="110">
        <v>190.37908500000003</v>
      </c>
      <c r="G242" s="188">
        <v>914.48338333333322</v>
      </c>
      <c r="H242" s="110"/>
      <c r="I242" s="110"/>
      <c r="J242" s="110"/>
      <c r="K242" s="110"/>
      <c r="L242" s="188"/>
      <c r="M242" s="188"/>
      <c r="N242" s="188"/>
      <c r="O242" s="188"/>
      <c r="P242" s="188"/>
    </row>
    <row r="243" spans="2:16">
      <c r="B243" s="87" t="str">
        <f t="shared" si="74"/>
        <v>100G FR, DR+</v>
      </c>
      <c r="C243" s="88" t="str">
        <f t="shared" si="74"/>
        <v>2 km</v>
      </c>
      <c r="D243" s="89" t="str">
        <f t="shared" si="74"/>
        <v>QSFP28</v>
      </c>
      <c r="E243" s="110">
        <v>0</v>
      </c>
      <c r="F243" s="110">
        <v>0</v>
      </c>
      <c r="G243" s="110">
        <v>1.2</v>
      </c>
      <c r="H243" s="110"/>
      <c r="I243" s="110"/>
      <c r="J243" s="110"/>
      <c r="K243" s="110"/>
      <c r="L243" s="188"/>
      <c r="M243" s="188"/>
      <c r="N243" s="188"/>
      <c r="O243" s="188"/>
      <c r="P243" s="188"/>
    </row>
    <row r="244" spans="2:16">
      <c r="B244" s="87" t="str">
        <f t="shared" si="74"/>
        <v>100G LR4</v>
      </c>
      <c r="C244" s="88" t="str">
        <f t="shared" si="74"/>
        <v>10 km</v>
      </c>
      <c r="D244" s="89" t="str">
        <f t="shared" si="74"/>
        <v>CFP</v>
      </c>
      <c r="E244" s="110">
        <v>387.84002208207454</v>
      </c>
      <c r="F244" s="110">
        <v>186.42675405916248</v>
      </c>
      <c r="G244" s="110">
        <v>81.455872165940619</v>
      </c>
      <c r="H244" s="110"/>
      <c r="I244" s="110"/>
      <c r="J244" s="110"/>
      <c r="K244" s="110"/>
      <c r="L244" s="188"/>
      <c r="M244" s="188"/>
      <c r="N244" s="188"/>
      <c r="O244" s="188"/>
      <c r="P244" s="188"/>
    </row>
    <row r="245" spans="2:16">
      <c r="B245" s="87" t="str">
        <f t="shared" si="74"/>
        <v>100G LR4</v>
      </c>
      <c r="C245" s="88" t="str">
        <f t="shared" si="74"/>
        <v>10 km</v>
      </c>
      <c r="D245" s="89" t="str">
        <f t="shared" si="74"/>
        <v>CFP2/4</v>
      </c>
      <c r="E245" s="110">
        <v>265.89292589706986</v>
      </c>
      <c r="F245" s="110">
        <v>167.37814313065076</v>
      </c>
      <c r="G245" s="110">
        <v>101.21498299999995</v>
      </c>
      <c r="H245" s="110"/>
      <c r="I245" s="110"/>
      <c r="J245" s="110"/>
      <c r="K245" s="110"/>
      <c r="L245" s="188"/>
      <c r="M245" s="188"/>
      <c r="N245" s="188"/>
      <c r="O245" s="188"/>
      <c r="P245" s="188"/>
    </row>
    <row r="246" spans="2:16">
      <c r="B246" s="87" t="str">
        <f t="shared" si="74"/>
        <v>100G LR4 and LR1</v>
      </c>
      <c r="C246" s="88" t="str">
        <f t="shared" si="74"/>
        <v>10 km</v>
      </c>
      <c r="D246" s="89" t="str">
        <f t="shared" si="74"/>
        <v>QSFP28</v>
      </c>
      <c r="E246" s="110">
        <v>175.29210971636297</v>
      </c>
      <c r="F246" s="110">
        <v>434.82240000000002</v>
      </c>
      <c r="G246" s="110">
        <v>331.77466984830187</v>
      </c>
      <c r="H246" s="110"/>
      <c r="I246" s="110"/>
      <c r="J246" s="110"/>
      <c r="K246" s="110"/>
      <c r="L246" s="188"/>
      <c r="M246" s="188"/>
      <c r="N246" s="188"/>
      <c r="O246" s="188"/>
      <c r="P246" s="188"/>
    </row>
    <row r="247" spans="2:16">
      <c r="B247" s="87" t="str">
        <f t="shared" si="74"/>
        <v>100G 4WDM10</v>
      </c>
      <c r="C247" s="88" t="str">
        <f t="shared" si="74"/>
        <v>10 km</v>
      </c>
      <c r="D247" s="89" t="str">
        <f t="shared" si="74"/>
        <v>QSFP28</v>
      </c>
      <c r="E247" s="110">
        <v>0</v>
      </c>
      <c r="F247" s="110">
        <v>22.5</v>
      </c>
      <c r="G247" s="110">
        <v>30</v>
      </c>
      <c r="H247" s="110"/>
      <c r="I247" s="110"/>
      <c r="J247" s="110"/>
      <c r="K247" s="110"/>
      <c r="L247" s="188"/>
      <c r="M247" s="188"/>
      <c r="N247" s="188"/>
      <c r="O247" s="188"/>
      <c r="P247" s="188"/>
    </row>
    <row r="248" spans="2:16">
      <c r="B248" s="87" t="str">
        <f t="shared" si="74"/>
        <v>100G 4WDM20</v>
      </c>
      <c r="C248" s="88" t="str">
        <f t="shared" si="74"/>
        <v>20 km</v>
      </c>
      <c r="D248" s="89" t="str">
        <f t="shared" si="74"/>
        <v>QSFP28</v>
      </c>
      <c r="E248" s="110">
        <v>0</v>
      </c>
      <c r="F248" s="110">
        <v>0</v>
      </c>
      <c r="G248" s="110">
        <v>0</v>
      </c>
      <c r="H248" s="110"/>
      <c r="I248" s="110"/>
      <c r="J248" s="110"/>
      <c r="K248" s="110"/>
      <c r="L248" s="188"/>
      <c r="M248" s="188"/>
      <c r="N248" s="188"/>
      <c r="O248" s="188"/>
      <c r="P248" s="188"/>
    </row>
    <row r="249" spans="2:16">
      <c r="B249" s="87" t="str">
        <f t="shared" si="74"/>
        <v>100G ER4-Lite</v>
      </c>
      <c r="C249" s="88" t="str">
        <f t="shared" si="74"/>
        <v>30 km</v>
      </c>
      <c r="D249" s="89" t="str">
        <f t="shared" si="74"/>
        <v>QSFP28</v>
      </c>
      <c r="E249" s="110" t="s">
        <v>94</v>
      </c>
      <c r="F249" s="110">
        <v>6.9744847890088328</v>
      </c>
      <c r="G249" s="110">
        <v>18.835366407407406</v>
      </c>
      <c r="H249" s="110"/>
      <c r="I249" s="110"/>
      <c r="J249" s="110"/>
      <c r="K249" s="110"/>
      <c r="L249" s="188"/>
      <c r="M249" s="188"/>
      <c r="N249" s="188"/>
      <c r="O249" s="188"/>
      <c r="P249" s="188"/>
    </row>
    <row r="250" spans="2:16">
      <c r="B250" s="87" t="str">
        <f t="shared" si="74"/>
        <v>100G ER4</v>
      </c>
      <c r="C250" s="88" t="str">
        <f t="shared" si="74"/>
        <v>40 km</v>
      </c>
      <c r="D250" s="89" t="str">
        <f t="shared" si="74"/>
        <v>QSFP28</v>
      </c>
      <c r="E250" s="110">
        <v>67.047039534140794</v>
      </c>
      <c r="F250" s="110">
        <v>55.219616614611596</v>
      </c>
      <c r="G250" s="110">
        <v>20.006711803296465</v>
      </c>
      <c r="H250" s="110"/>
      <c r="I250" s="110"/>
      <c r="J250" s="110"/>
      <c r="K250" s="110"/>
      <c r="L250" s="188"/>
      <c r="M250" s="188"/>
      <c r="N250" s="188"/>
      <c r="O250" s="188"/>
      <c r="P250" s="188"/>
    </row>
    <row r="251" spans="2:16">
      <c r="B251" s="87" t="str">
        <f t="shared" si="74"/>
        <v>100G ZR4</v>
      </c>
      <c r="C251" s="88" t="str">
        <f t="shared" si="74"/>
        <v>80 km</v>
      </c>
      <c r="D251" s="89" t="str">
        <f t="shared" si="74"/>
        <v>QSFP28</v>
      </c>
      <c r="E251" s="110" t="s">
        <v>94</v>
      </c>
      <c r="F251" s="110" t="s">
        <v>94</v>
      </c>
      <c r="G251" s="110" t="s">
        <v>94</v>
      </c>
      <c r="H251" s="110"/>
      <c r="I251" s="110"/>
      <c r="J251" s="110"/>
      <c r="K251" s="110"/>
      <c r="L251" s="188"/>
      <c r="M251" s="188"/>
      <c r="N251" s="188"/>
      <c r="O251" s="188"/>
      <c r="P251" s="188"/>
    </row>
    <row r="252" spans="2:16">
      <c r="B252" s="232" t="str">
        <f t="shared" si="74"/>
        <v>200G SR4</v>
      </c>
      <c r="C252" s="231" t="str">
        <f t="shared" si="74"/>
        <v>100 m</v>
      </c>
      <c r="D252" s="230" t="str">
        <f t="shared" si="74"/>
        <v>QSFP56</v>
      </c>
      <c r="E252" s="108">
        <v>0</v>
      </c>
      <c r="F252" s="108">
        <v>0</v>
      </c>
      <c r="G252" s="108">
        <v>0.35</v>
      </c>
      <c r="H252" s="108"/>
      <c r="I252" s="108"/>
      <c r="J252" s="108"/>
      <c r="K252" s="108"/>
      <c r="L252" s="446"/>
      <c r="M252" s="446"/>
      <c r="N252" s="446"/>
      <c r="O252" s="446"/>
      <c r="P252" s="446"/>
    </row>
    <row r="253" spans="2:16">
      <c r="B253" s="48" t="str">
        <f t="shared" ref="B253:D261" si="75">B61</f>
        <v>200G DR</v>
      </c>
      <c r="C253" s="49" t="str">
        <f t="shared" si="75"/>
        <v>500 m</v>
      </c>
      <c r="D253" s="50" t="str">
        <f t="shared" si="75"/>
        <v>TBD</v>
      </c>
      <c r="E253" s="110">
        <v>0</v>
      </c>
      <c r="F253" s="110">
        <v>0</v>
      </c>
      <c r="G253" s="110">
        <v>0</v>
      </c>
      <c r="H253" s="110"/>
      <c r="I253" s="110"/>
      <c r="J253" s="110"/>
      <c r="K253" s="110"/>
      <c r="L253" s="188"/>
      <c r="M253" s="188"/>
      <c r="N253" s="188"/>
      <c r="O253" s="188"/>
      <c r="P253" s="188"/>
    </row>
    <row r="254" spans="2:16">
      <c r="B254" s="48" t="str">
        <f t="shared" si="75"/>
        <v>200G FR4</v>
      </c>
      <c r="C254" s="49" t="str">
        <f t="shared" si="75"/>
        <v>3 km</v>
      </c>
      <c r="D254" s="50" t="str">
        <f t="shared" si="75"/>
        <v>QSFP56</v>
      </c>
      <c r="E254" s="110">
        <v>0</v>
      </c>
      <c r="F254" s="110">
        <v>0</v>
      </c>
      <c r="G254" s="110">
        <v>0.75</v>
      </c>
      <c r="H254" s="110"/>
      <c r="I254" s="110"/>
      <c r="J254" s="110"/>
      <c r="K254" s="110"/>
      <c r="L254" s="188"/>
      <c r="M254" s="188"/>
      <c r="N254" s="188"/>
      <c r="O254" s="188"/>
      <c r="P254" s="188"/>
    </row>
    <row r="255" spans="2:16">
      <c r="B255" s="48" t="str">
        <f t="shared" si="75"/>
        <v>200G LR</v>
      </c>
      <c r="C255" s="49" t="str">
        <f t="shared" si="75"/>
        <v>10 km</v>
      </c>
      <c r="D255" s="50" t="str">
        <f t="shared" si="75"/>
        <v>TBD</v>
      </c>
      <c r="E255" s="110">
        <v>0</v>
      </c>
      <c r="F255" s="110">
        <v>0</v>
      </c>
      <c r="G255" s="110">
        <v>0</v>
      </c>
      <c r="H255" s="110"/>
      <c r="I255" s="110"/>
      <c r="J255" s="110"/>
      <c r="K255" s="110"/>
      <c r="L255" s="188"/>
      <c r="M255" s="188"/>
      <c r="N255" s="188"/>
      <c r="O255" s="188"/>
      <c r="P255" s="188"/>
    </row>
    <row r="256" spans="2:16">
      <c r="B256" s="48" t="str">
        <f t="shared" si="75"/>
        <v>200G ER4</v>
      </c>
      <c r="C256" s="49" t="str">
        <f t="shared" si="75"/>
        <v>40 km</v>
      </c>
      <c r="D256" s="50" t="str">
        <f t="shared" si="75"/>
        <v>TBD</v>
      </c>
      <c r="E256" s="110">
        <v>0</v>
      </c>
      <c r="F256" s="110">
        <v>0</v>
      </c>
      <c r="G256" s="110">
        <v>0</v>
      </c>
      <c r="H256" s="110"/>
      <c r="I256" s="110"/>
      <c r="J256" s="110"/>
      <c r="K256" s="110"/>
      <c r="L256" s="188"/>
      <c r="M256" s="188"/>
      <c r="N256" s="188"/>
      <c r="O256" s="188"/>
      <c r="P256" s="188"/>
    </row>
    <row r="257" spans="2:16">
      <c r="B257" s="232" t="str">
        <f t="shared" si="75"/>
        <v>2x200 (400G-SR8)</v>
      </c>
      <c r="C257" s="231" t="str">
        <f t="shared" si="75"/>
        <v>100 m</v>
      </c>
      <c r="D257" s="230" t="str">
        <f t="shared" si="75"/>
        <v>OSFP, QSFP-DD</v>
      </c>
      <c r="E257" s="108">
        <v>0</v>
      </c>
      <c r="F257" s="108">
        <v>0</v>
      </c>
      <c r="G257" s="108">
        <v>14.811999999999999</v>
      </c>
      <c r="H257" s="108"/>
      <c r="I257" s="108"/>
      <c r="J257" s="108"/>
      <c r="K257" s="108"/>
      <c r="L257" s="446"/>
      <c r="M257" s="446"/>
      <c r="N257" s="446"/>
      <c r="O257" s="446"/>
      <c r="P257" s="446"/>
    </row>
    <row r="258" spans="2:16">
      <c r="B258" s="48" t="str">
        <f t="shared" si="75"/>
        <v>400G SR4.2</v>
      </c>
      <c r="C258" s="49" t="str">
        <f t="shared" si="75"/>
        <v>100 m</v>
      </c>
      <c r="D258" s="50" t="str">
        <f t="shared" si="75"/>
        <v>OSFP, QSFP-DD</v>
      </c>
      <c r="E258" s="110">
        <v>0</v>
      </c>
      <c r="F258" s="110">
        <v>0</v>
      </c>
      <c r="G258" s="110">
        <v>0</v>
      </c>
      <c r="H258" s="110"/>
      <c r="I258" s="110"/>
      <c r="J258" s="110"/>
      <c r="K258" s="110"/>
      <c r="L258" s="188"/>
      <c r="M258" s="188"/>
      <c r="N258" s="188"/>
      <c r="O258" s="188"/>
      <c r="P258" s="188"/>
    </row>
    <row r="259" spans="2:16">
      <c r="B259" s="48" t="str">
        <f t="shared" si="75"/>
        <v>400G DR4</v>
      </c>
      <c r="C259" s="49" t="str">
        <f t="shared" si="75"/>
        <v>500 m</v>
      </c>
      <c r="D259" s="50" t="str">
        <f t="shared" si="75"/>
        <v>OSFP, QSFP-DD, QSFP112</v>
      </c>
      <c r="E259" s="110">
        <v>0</v>
      </c>
      <c r="F259" s="110">
        <v>0</v>
      </c>
      <c r="G259" s="110">
        <v>2.2000000000000002</v>
      </c>
      <c r="H259" s="110"/>
      <c r="I259" s="110"/>
      <c r="J259" s="110"/>
      <c r="K259" s="110"/>
      <c r="L259" s="188"/>
      <c r="M259" s="188"/>
      <c r="N259" s="188"/>
      <c r="O259" s="188"/>
      <c r="P259" s="188"/>
    </row>
    <row r="260" spans="2:16">
      <c r="B260" s="48" t="str">
        <f t="shared" si="75"/>
        <v>2x(200G FR4)</v>
      </c>
      <c r="C260" s="49" t="str">
        <f t="shared" si="75"/>
        <v>2 km</v>
      </c>
      <c r="D260" s="50" t="str">
        <f t="shared" si="75"/>
        <v>OSFP</v>
      </c>
      <c r="E260" s="110">
        <v>0</v>
      </c>
      <c r="F260" s="110">
        <v>0</v>
      </c>
      <c r="G260" s="110">
        <v>22.2</v>
      </c>
      <c r="H260" s="110"/>
      <c r="I260" s="110"/>
      <c r="J260" s="110"/>
      <c r="K260" s="110"/>
      <c r="L260" s="188"/>
      <c r="M260" s="188"/>
      <c r="N260" s="188"/>
      <c r="O260" s="188"/>
      <c r="P260" s="188"/>
    </row>
    <row r="261" spans="2:16">
      <c r="B261" s="48" t="str">
        <f t="shared" si="75"/>
        <v>400G FR4</v>
      </c>
      <c r="C261" s="49" t="str">
        <f t="shared" si="75"/>
        <v>2 km</v>
      </c>
      <c r="D261" s="50" t="str">
        <f t="shared" si="75"/>
        <v>OSFP, QSFP-DD, QSFP112</v>
      </c>
      <c r="E261" s="110">
        <v>0</v>
      </c>
      <c r="F261" s="110">
        <v>8.1299999999999997E-2</v>
      </c>
      <c r="G261" s="110">
        <v>2</v>
      </c>
      <c r="H261" s="110"/>
      <c r="I261" s="110"/>
      <c r="J261" s="110"/>
      <c r="K261" s="110"/>
      <c r="L261" s="188"/>
      <c r="M261" s="188"/>
      <c r="N261" s="188"/>
      <c r="O261" s="188"/>
      <c r="P261" s="188"/>
    </row>
    <row r="262" spans="2:16">
      <c r="B262" s="48" t="str">
        <f t="shared" ref="B262:D262" si="76">B70</f>
        <v>400G LR8, LR4</v>
      </c>
      <c r="C262" s="49" t="str">
        <f t="shared" si="76"/>
        <v>10 km</v>
      </c>
      <c r="D262" s="50" t="str">
        <f t="shared" si="76"/>
        <v>OSFP, QSFP-DD, QSFP112</v>
      </c>
      <c r="E262" s="110">
        <v>0</v>
      </c>
      <c r="F262" s="110">
        <v>1.2669999999999999</v>
      </c>
      <c r="G262" s="110">
        <v>8</v>
      </c>
      <c r="H262" s="110"/>
      <c r="I262" s="110"/>
      <c r="J262" s="110"/>
      <c r="K262" s="110"/>
      <c r="L262" s="188"/>
      <c r="M262" s="188"/>
      <c r="N262" s="188"/>
      <c r="O262" s="188"/>
      <c r="P262" s="188"/>
    </row>
    <row r="263" spans="2:16">
      <c r="B263" s="48" t="str">
        <f t="shared" ref="B263:D263" si="77">B71</f>
        <v>400G ER4</v>
      </c>
      <c r="C263" s="49" t="str">
        <f t="shared" si="77"/>
        <v>40 km</v>
      </c>
      <c r="D263" s="50" t="str">
        <f t="shared" si="77"/>
        <v>TBD</v>
      </c>
      <c r="E263" s="110">
        <v>0</v>
      </c>
      <c r="F263" s="110">
        <v>0</v>
      </c>
      <c r="G263" s="110">
        <v>0</v>
      </c>
      <c r="H263" s="110"/>
      <c r="I263" s="110"/>
      <c r="J263" s="110"/>
      <c r="K263" s="110"/>
      <c r="L263" s="188"/>
      <c r="M263" s="188"/>
      <c r="N263" s="188"/>
      <c r="O263" s="188"/>
      <c r="P263" s="188"/>
    </row>
    <row r="264" spans="2:16">
      <c r="B264" s="232" t="str">
        <f t="shared" ref="B264:D279" si="78">B72</f>
        <v>800G SR8</v>
      </c>
      <c r="C264" s="231" t="str">
        <f t="shared" si="78"/>
        <v>50 m</v>
      </c>
      <c r="D264" s="230" t="str">
        <f t="shared" si="78"/>
        <v>OSFP, QSFP-DD800</v>
      </c>
      <c r="E264" s="108"/>
      <c r="F264" s="108"/>
      <c r="G264" s="108"/>
      <c r="H264" s="108"/>
      <c r="I264" s="108"/>
      <c r="J264" s="108"/>
      <c r="K264" s="108"/>
      <c r="L264" s="446"/>
      <c r="M264" s="446"/>
      <c r="N264" s="446"/>
      <c r="O264" s="446"/>
      <c r="P264" s="446"/>
    </row>
    <row r="265" spans="2:16">
      <c r="B265" s="48" t="str">
        <f t="shared" si="78"/>
        <v>800G DR8, DR4</v>
      </c>
      <c r="C265" s="49" t="str">
        <f t="shared" si="78"/>
        <v>500 m</v>
      </c>
      <c r="D265" s="50" t="str">
        <f t="shared" si="78"/>
        <v>OSFP, QSFP-DD800</v>
      </c>
      <c r="E265" s="110"/>
      <c r="F265" s="110"/>
      <c r="G265" s="110"/>
      <c r="H265" s="110"/>
      <c r="I265" s="110"/>
      <c r="J265" s="110"/>
      <c r="K265" s="110"/>
      <c r="L265" s="188"/>
      <c r="M265" s="188"/>
      <c r="N265" s="188"/>
      <c r="O265" s="188"/>
      <c r="P265" s="188"/>
    </row>
    <row r="266" spans="2:16">
      <c r="B266" s="48" t="str">
        <f t="shared" si="78"/>
        <v>2x(400G FR4), 800G FR4</v>
      </c>
      <c r="C266" s="49" t="str">
        <f t="shared" si="78"/>
        <v>2 km</v>
      </c>
      <c r="D266" s="50" t="str">
        <f t="shared" si="78"/>
        <v>OSFP, QSFP-DD800</v>
      </c>
      <c r="E266" s="110"/>
      <c r="F266" s="110"/>
      <c r="G266" s="110"/>
      <c r="H266" s="110"/>
      <c r="I266" s="110"/>
      <c r="J266" s="110"/>
      <c r="K266" s="110"/>
      <c r="L266" s="188"/>
      <c r="M266" s="188"/>
      <c r="N266" s="188"/>
      <c r="O266" s="188"/>
      <c r="P266" s="188"/>
    </row>
    <row r="267" spans="2:16">
      <c r="B267" s="48" t="str">
        <f t="shared" si="78"/>
        <v>800G LR8, LR4</v>
      </c>
      <c r="C267" s="49" t="str">
        <f t="shared" si="78"/>
        <v>6, 10 km</v>
      </c>
      <c r="D267" s="50" t="str">
        <f t="shared" si="78"/>
        <v>TBD</v>
      </c>
      <c r="E267" s="110"/>
      <c r="F267" s="110"/>
      <c r="G267" s="110"/>
      <c r="H267" s="110"/>
      <c r="I267" s="110"/>
      <c r="J267" s="110"/>
      <c r="K267" s="110"/>
      <c r="L267" s="188"/>
      <c r="M267" s="188"/>
      <c r="N267" s="188"/>
      <c r="O267" s="188"/>
      <c r="P267" s="188"/>
    </row>
    <row r="268" spans="2:16">
      <c r="B268" s="48" t="str">
        <f t="shared" si="78"/>
        <v>800G ZRlite</v>
      </c>
      <c r="C268" s="49" t="str">
        <f t="shared" si="78"/>
        <v>10 km, 20 km</v>
      </c>
      <c r="D268" s="50" t="str">
        <f t="shared" si="78"/>
        <v>TBD</v>
      </c>
      <c r="E268" s="110"/>
      <c r="F268" s="110"/>
      <c r="G268" s="110"/>
      <c r="H268" s="110"/>
      <c r="I268" s="110"/>
      <c r="J268" s="110"/>
      <c r="K268" s="110"/>
      <c r="L268" s="188"/>
      <c r="M268" s="188"/>
      <c r="N268" s="188"/>
      <c r="O268" s="188"/>
      <c r="P268" s="188"/>
    </row>
    <row r="269" spans="2:16">
      <c r="B269" s="51" t="str">
        <f t="shared" si="78"/>
        <v>800G ER4</v>
      </c>
      <c r="C269" s="52" t="str">
        <f t="shared" si="78"/>
        <v>40 km</v>
      </c>
      <c r="D269" s="53" t="str">
        <f t="shared" si="78"/>
        <v>TBD</v>
      </c>
      <c r="E269" s="109"/>
      <c r="F269" s="109"/>
      <c r="G269" s="109"/>
      <c r="H269" s="109"/>
      <c r="I269" s="109"/>
      <c r="J269" s="109"/>
      <c r="K269" s="109"/>
      <c r="L269" s="445"/>
      <c r="M269" s="445"/>
      <c r="N269" s="445"/>
      <c r="O269" s="445"/>
      <c r="P269" s="445"/>
    </row>
    <row r="270" spans="2:16">
      <c r="B270" s="48" t="str">
        <f t="shared" si="78"/>
        <v>1.6T SR16</v>
      </c>
      <c r="C270" s="49" t="str">
        <f t="shared" si="78"/>
        <v>100 m</v>
      </c>
      <c r="D270" s="50" t="str">
        <f t="shared" si="78"/>
        <v>OSFP-XD and TBD</v>
      </c>
      <c r="E270" s="110"/>
      <c r="F270" s="110"/>
      <c r="G270" s="110"/>
      <c r="H270" s="110"/>
      <c r="I270" s="110"/>
      <c r="J270" s="110"/>
      <c r="K270" s="110"/>
      <c r="L270" s="188"/>
      <c r="M270" s="188"/>
      <c r="N270" s="188"/>
      <c r="O270" s="188"/>
      <c r="P270" s="188"/>
    </row>
    <row r="271" spans="2:16">
      <c r="B271" s="48" t="str">
        <f t="shared" si="78"/>
        <v>1.6T DR8</v>
      </c>
      <c r="C271" s="49" t="str">
        <f t="shared" si="78"/>
        <v>500 m</v>
      </c>
      <c r="D271" s="50" t="str">
        <f t="shared" si="78"/>
        <v>OSFP-XD and TBD</v>
      </c>
      <c r="E271" s="110"/>
      <c r="F271" s="110"/>
      <c r="G271" s="110"/>
      <c r="H271" s="110"/>
      <c r="I271" s="110"/>
      <c r="J271" s="110"/>
      <c r="K271" s="110"/>
      <c r="L271" s="188"/>
      <c r="M271" s="188"/>
      <c r="N271" s="188"/>
      <c r="O271" s="188"/>
      <c r="P271" s="188"/>
    </row>
    <row r="272" spans="2:16">
      <c r="B272" s="48" t="str">
        <f t="shared" si="78"/>
        <v>1.6T FR8</v>
      </c>
      <c r="C272" s="49" t="str">
        <f t="shared" si="78"/>
        <v>2 km</v>
      </c>
      <c r="D272" s="50" t="str">
        <f t="shared" si="78"/>
        <v>OSFP-XD and TBD</v>
      </c>
      <c r="E272" s="110"/>
      <c r="F272" s="110"/>
      <c r="G272" s="110"/>
      <c r="H272" s="110"/>
      <c r="I272" s="110"/>
      <c r="J272" s="110"/>
      <c r="K272" s="110"/>
      <c r="L272" s="188"/>
      <c r="M272" s="188"/>
      <c r="N272" s="188"/>
      <c r="O272" s="188"/>
      <c r="P272" s="188"/>
    </row>
    <row r="273" spans="2:16">
      <c r="B273" s="48" t="str">
        <f t="shared" si="78"/>
        <v>1.6T LR8</v>
      </c>
      <c r="C273" s="49" t="str">
        <f t="shared" si="78"/>
        <v>10 km</v>
      </c>
      <c r="D273" s="50" t="str">
        <f t="shared" si="78"/>
        <v>OSFP-XD and TBD</v>
      </c>
      <c r="E273" s="110"/>
      <c r="F273" s="110"/>
      <c r="G273" s="110"/>
      <c r="H273" s="110"/>
      <c r="I273" s="110"/>
      <c r="J273" s="110"/>
      <c r="K273" s="110"/>
      <c r="L273" s="188"/>
      <c r="M273" s="188"/>
      <c r="N273" s="188"/>
      <c r="O273" s="188"/>
      <c r="P273" s="188"/>
    </row>
    <row r="274" spans="2:16">
      <c r="B274" s="51" t="str">
        <f t="shared" si="78"/>
        <v>1.6T ER8</v>
      </c>
      <c r="C274" s="52" t="str">
        <f t="shared" si="78"/>
        <v>&gt;10 km</v>
      </c>
      <c r="D274" s="53" t="str">
        <f t="shared" si="78"/>
        <v>OSFP-XD and TBD</v>
      </c>
      <c r="E274" s="109"/>
      <c r="F274" s="109"/>
      <c r="G274" s="109"/>
      <c r="H274" s="109"/>
      <c r="I274" s="109"/>
      <c r="J274" s="109"/>
      <c r="K274" s="109"/>
      <c r="L274" s="445"/>
      <c r="M274" s="445"/>
      <c r="N274" s="445"/>
      <c r="O274" s="445"/>
      <c r="P274" s="445"/>
    </row>
    <row r="275" spans="2:16">
      <c r="B275" s="48" t="str">
        <f t="shared" si="78"/>
        <v>3.2T SR</v>
      </c>
      <c r="C275" s="49" t="str">
        <f t="shared" si="78"/>
        <v>100 m</v>
      </c>
      <c r="D275" s="50" t="str">
        <f t="shared" si="78"/>
        <v>OSFP-XD and TBD</v>
      </c>
      <c r="E275" s="110"/>
      <c r="F275" s="110"/>
      <c r="G275" s="110"/>
      <c r="H275" s="110"/>
      <c r="I275" s="110"/>
      <c r="J275" s="110"/>
      <c r="K275" s="110"/>
      <c r="L275" s="188"/>
      <c r="M275" s="188"/>
      <c r="N275" s="188"/>
      <c r="O275" s="188"/>
      <c r="P275" s="188"/>
    </row>
    <row r="276" spans="2:16">
      <c r="B276" s="48" t="str">
        <f t="shared" si="78"/>
        <v>3.2T DR</v>
      </c>
      <c r="C276" s="49" t="str">
        <f t="shared" si="78"/>
        <v>500 m</v>
      </c>
      <c r="D276" s="50" t="str">
        <f t="shared" si="78"/>
        <v>OSFP-XD and TBD</v>
      </c>
      <c r="E276" s="110"/>
      <c r="F276" s="110"/>
      <c r="G276" s="110"/>
      <c r="H276" s="110"/>
      <c r="I276" s="110"/>
      <c r="J276" s="110"/>
      <c r="K276" s="110"/>
      <c r="L276" s="188"/>
      <c r="M276" s="188"/>
      <c r="N276" s="188"/>
      <c r="O276" s="188"/>
      <c r="P276" s="188"/>
    </row>
    <row r="277" spans="2:16">
      <c r="B277" s="48" t="str">
        <f t="shared" si="78"/>
        <v>3.2T FR</v>
      </c>
      <c r="C277" s="49" t="str">
        <f t="shared" si="78"/>
        <v>2 km</v>
      </c>
      <c r="D277" s="50" t="str">
        <f t="shared" si="78"/>
        <v>OSFP-XD and TBD</v>
      </c>
      <c r="E277" s="110"/>
      <c r="F277" s="110"/>
      <c r="G277" s="110"/>
      <c r="H277" s="110"/>
      <c r="I277" s="110"/>
      <c r="J277" s="110"/>
      <c r="K277" s="110"/>
      <c r="L277" s="188"/>
      <c r="M277" s="188"/>
      <c r="N277" s="188"/>
      <c r="O277" s="188"/>
      <c r="P277" s="188"/>
    </row>
    <row r="278" spans="2:16">
      <c r="B278" s="48" t="str">
        <f t="shared" si="78"/>
        <v>3.2T LR</v>
      </c>
      <c r="C278" s="49" t="str">
        <f t="shared" si="78"/>
        <v>10 km</v>
      </c>
      <c r="D278" s="50" t="str">
        <f t="shared" si="78"/>
        <v>OSFP-XD and TBD</v>
      </c>
      <c r="E278" s="110"/>
      <c r="F278" s="110"/>
      <c r="G278" s="110"/>
      <c r="H278" s="110"/>
      <c r="I278" s="110"/>
      <c r="J278" s="110"/>
      <c r="K278" s="110"/>
      <c r="L278" s="188"/>
      <c r="M278" s="188"/>
      <c r="N278" s="188"/>
      <c r="O278" s="188"/>
      <c r="P278" s="188"/>
    </row>
    <row r="279" spans="2:16">
      <c r="B279" s="51" t="str">
        <f t="shared" si="78"/>
        <v>3.2T ER</v>
      </c>
      <c r="C279" s="52" t="str">
        <f t="shared" si="78"/>
        <v>&gt;10 km</v>
      </c>
      <c r="D279" s="53" t="str">
        <f t="shared" si="78"/>
        <v>OSFP-XD and TBD</v>
      </c>
      <c r="E279" s="109"/>
      <c r="F279" s="109"/>
      <c r="G279" s="109"/>
      <c r="H279" s="109"/>
      <c r="I279" s="109"/>
      <c r="J279" s="109"/>
      <c r="K279" s="109"/>
      <c r="L279" s="445"/>
      <c r="M279" s="445"/>
      <c r="N279" s="445"/>
      <c r="O279" s="445"/>
      <c r="P279" s="445"/>
    </row>
    <row r="280" spans="2:16">
      <c r="B280" s="51"/>
      <c r="C280" s="52"/>
      <c r="D280" s="53"/>
      <c r="E280" s="109"/>
      <c r="F280" s="109"/>
      <c r="G280" s="109"/>
      <c r="H280" s="109"/>
      <c r="I280" s="109"/>
      <c r="J280" s="109"/>
      <c r="K280" s="109"/>
      <c r="L280" s="445"/>
      <c r="M280" s="445"/>
      <c r="N280" s="445"/>
      <c r="O280" s="445"/>
      <c r="P280" s="445"/>
    </row>
    <row r="281" spans="2:16">
      <c r="B281" s="45" t="s">
        <v>20</v>
      </c>
      <c r="C281" s="46"/>
      <c r="D281" s="47"/>
      <c r="E281" s="102">
        <f t="shared" ref="E281:G281" si="79">SUM(E201:E280)</f>
        <v>2687.6154076451867</v>
      </c>
      <c r="F281" s="102">
        <f t="shared" si="79"/>
        <v>3178.3132920887738</v>
      </c>
      <c r="G281" s="102">
        <f t="shared" si="79"/>
        <v>3388.0175278135284</v>
      </c>
      <c r="H281" s="102"/>
      <c r="I281" s="102"/>
      <c r="J281" s="102"/>
      <c r="K281" s="102"/>
      <c r="L281" s="443"/>
      <c r="M281" s="443"/>
      <c r="N281" s="443"/>
      <c r="O281" s="443"/>
      <c r="P281" s="443"/>
    </row>
    <row r="282" spans="2:16">
      <c r="B282" s="232" t="s">
        <v>340</v>
      </c>
      <c r="C282" s="511" t="s">
        <v>49</v>
      </c>
      <c r="D282" s="544" t="s">
        <v>49</v>
      </c>
      <c r="E282" s="507">
        <f t="shared" ref="E282:G282" si="80">SUM(E206:E215)</f>
        <v>595.34603687362983</v>
      </c>
      <c r="F282" s="507">
        <f t="shared" si="80"/>
        <v>488.89860153423245</v>
      </c>
      <c r="G282" s="507">
        <f t="shared" si="80"/>
        <v>471.81983653865217</v>
      </c>
      <c r="H282" s="507"/>
      <c r="I282" s="507"/>
      <c r="J282" s="507"/>
      <c r="K282" s="507"/>
      <c r="L282" s="507"/>
      <c r="M282" s="507"/>
      <c r="N282" s="507"/>
      <c r="O282" s="507"/>
      <c r="P282" s="507"/>
    </row>
    <row r="283" spans="2:16">
      <c r="B283" s="48" t="str">
        <f t="shared" ref="B283:D289" si="81">B91</f>
        <v>25G total</v>
      </c>
      <c r="C283" s="267" t="str">
        <f t="shared" si="81"/>
        <v>All</v>
      </c>
      <c r="D283" s="509" t="str">
        <f t="shared" si="81"/>
        <v>All</v>
      </c>
      <c r="E283" s="278">
        <f t="shared" ref="E283:G283" si="82">SUM(E216:E218)</f>
        <v>3.4123060000000001</v>
      </c>
      <c r="F283" s="278">
        <f t="shared" si="82"/>
        <v>19.187075306914231</v>
      </c>
      <c r="G283" s="278">
        <f t="shared" si="82"/>
        <v>38.882710120000013</v>
      </c>
      <c r="H283" s="280"/>
      <c r="I283" s="280"/>
      <c r="J283" s="280"/>
      <c r="K283" s="280"/>
      <c r="L283" s="104"/>
      <c r="M283" s="104"/>
      <c r="N283" s="104"/>
      <c r="O283" s="104"/>
      <c r="P283" s="104"/>
    </row>
    <row r="284" spans="2:16">
      <c r="B284" s="48" t="str">
        <f t="shared" si="81"/>
        <v>40G total</v>
      </c>
      <c r="C284" s="267" t="str">
        <f t="shared" si="81"/>
        <v>All</v>
      </c>
      <c r="D284" s="509" t="str">
        <f t="shared" si="81"/>
        <v>All</v>
      </c>
      <c r="E284" s="170">
        <f t="shared" ref="E284:G284" si="83">SUM(E219:E227)</f>
        <v>787.93297017215446</v>
      </c>
      <c r="F284" s="170">
        <f t="shared" si="83"/>
        <v>904.27751564220159</v>
      </c>
      <c r="G284" s="170">
        <f t="shared" si="83"/>
        <v>539.48394892970373</v>
      </c>
      <c r="H284" s="170"/>
      <c r="I284" s="170"/>
      <c r="J284" s="170"/>
      <c r="K284" s="170"/>
      <c r="L284" s="104"/>
      <c r="M284" s="104"/>
      <c r="N284" s="104"/>
      <c r="O284" s="104"/>
      <c r="P284" s="104"/>
    </row>
    <row r="285" spans="2:16">
      <c r="B285" s="48" t="str">
        <f t="shared" si="81"/>
        <v>50G total</v>
      </c>
      <c r="C285" s="267" t="str">
        <f t="shared" si="81"/>
        <v>All</v>
      </c>
      <c r="D285" s="509" t="str">
        <f t="shared" si="81"/>
        <v>All</v>
      </c>
      <c r="E285" s="104">
        <f t="shared" ref="E285:G285" si="84">SUM(E228:E232)</f>
        <v>0</v>
      </c>
      <c r="F285" s="104">
        <f t="shared" si="84"/>
        <v>0</v>
      </c>
      <c r="G285" s="104">
        <f t="shared" si="84"/>
        <v>0</v>
      </c>
      <c r="H285" s="104"/>
      <c r="I285" s="104"/>
      <c r="J285" s="104"/>
      <c r="K285" s="104"/>
      <c r="L285" s="104"/>
      <c r="M285" s="104"/>
      <c r="N285" s="104"/>
      <c r="O285" s="104"/>
      <c r="P285" s="104"/>
    </row>
    <row r="286" spans="2:16">
      <c r="B286" s="48" t="str">
        <f t="shared" si="81"/>
        <v>100G total</v>
      </c>
      <c r="C286" s="267" t="str">
        <f t="shared" si="81"/>
        <v>All</v>
      </c>
      <c r="D286" s="509" t="str">
        <f t="shared" si="81"/>
        <v>All</v>
      </c>
      <c r="E286" s="170">
        <f>SUM(E233:E251)</f>
        <v>1143.1589634696481</v>
      </c>
      <c r="F286" s="170">
        <f t="shared" ref="F286:G286" si="85">SUM(F233:F251)</f>
        <v>1653.9743919741536</v>
      </c>
      <c r="G286" s="170">
        <f t="shared" si="85"/>
        <v>2155.6052671051739</v>
      </c>
      <c r="H286" s="170"/>
      <c r="I286" s="170"/>
      <c r="J286" s="170"/>
      <c r="K286" s="170"/>
      <c r="L286" s="170"/>
      <c r="M286" s="170"/>
      <c r="N286" s="170"/>
      <c r="O286" s="170"/>
      <c r="P286" s="170"/>
    </row>
    <row r="287" spans="2:16">
      <c r="B287" s="48" t="str">
        <f t="shared" si="81"/>
        <v>200G total</v>
      </c>
      <c r="C287" s="267" t="str">
        <f t="shared" si="81"/>
        <v>All</v>
      </c>
      <c r="D287" s="509" t="str">
        <f t="shared" si="81"/>
        <v>All</v>
      </c>
      <c r="E287" s="635">
        <f>SUM(E252:E256)</f>
        <v>0</v>
      </c>
      <c r="F287" s="635">
        <f t="shared" ref="F287:G287" si="86">SUM(F252:F256)</f>
        <v>0</v>
      </c>
      <c r="G287" s="635">
        <f t="shared" si="86"/>
        <v>1.1000000000000001</v>
      </c>
      <c r="H287" s="635"/>
      <c r="I287" s="635"/>
      <c r="J287" s="635"/>
      <c r="K287" s="635"/>
      <c r="L287" s="635"/>
      <c r="M287" s="635"/>
      <c r="N287" s="635"/>
      <c r="O287" s="635"/>
      <c r="P287" s="635"/>
    </row>
    <row r="288" spans="2:16">
      <c r="B288" s="48" t="str">
        <f t="shared" si="81"/>
        <v>400G total</v>
      </c>
      <c r="C288" s="267" t="str">
        <f t="shared" si="81"/>
        <v>All</v>
      </c>
      <c r="D288" s="509" t="str">
        <f t="shared" si="81"/>
        <v>All</v>
      </c>
      <c r="E288" s="635">
        <f>SUM(E257:E263)</f>
        <v>0</v>
      </c>
      <c r="F288" s="635">
        <f t="shared" ref="F288:G288" si="87">SUM(F257:F263)</f>
        <v>1.3482999999999998</v>
      </c>
      <c r="G288" s="635">
        <f t="shared" si="87"/>
        <v>49.212000000000003</v>
      </c>
      <c r="H288" s="635"/>
      <c r="I288" s="635"/>
      <c r="J288" s="635"/>
      <c r="K288" s="635"/>
      <c r="L288" s="635"/>
      <c r="M288" s="635"/>
      <c r="N288" s="635"/>
      <c r="O288" s="635"/>
      <c r="P288" s="635"/>
    </row>
    <row r="289" spans="2:16">
      <c r="B289" s="48" t="str">
        <f t="shared" si="81"/>
        <v>800G total</v>
      </c>
      <c r="C289" s="267" t="str">
        <f t="shared" si="81"/>
        <v>All</v>
      </c>
      <c r="D289" s="509" t="str">
        <f t="shared" si="81"/>
        <v>All</v>
      </c>
      <c r="E289" s="268"/>
      <c r="F289" s="268"/>
      <c r="G289" s="268"/>
      <c r="H289" s="268"/>
      <c r="I289" s="268"/>
      <c r="J289" s="268"/>
      <c r="K289" s="268"/>
      <c r="L289" s="268"/>
      <c r="M289" s="268"/>
      <c r="N289" s="268"/>
      <c r="O289" s="268"/>
      <c r="P289" s="268"/>
    </row>
    <row r="290" spans="2:16">
      <c r="B290" s="48" t="s">
        <v>462</v>
      </c>
      <c r="C290" s="267" t="s">
        <v>49</v>
      </c>
      <c r="D290" s="509" t="s">
        <v>49</v>
      </c>
      <c r="E290" s="21"/>
      <c r="F290" s="21"/>
      <c r="G290" s="21"/>
      <c r="H290" s="21"/>
      <c r="I290" s="21"/>
      <c r="J290" s="438"/>
      <c r="K290" s="438"/>
      <c r="L290" s="21"/>
      <c r="M290" s="21"/>
      <c r="N290" s="21"/>
      <c r="O290" s="21"/>
      <c r="P290" s="21"/>
    </row>
    <row r="291" spans="2:16">
      <c r="B291" s="93" t="s">
        <v>463</v>
      </c>
      <c r="C291" s="94" t="s">
        <v>49</v>
      </c>
      <c r="D291" s="95" t="s">
        <v>49</v>
      </c>
      <c r="E291" s="55"/>
      <c r="F291" s="55"/>
      <c r="G291" s="55"/>
      <c r="H291" s="55"/>
      <c r="I291" s="55"/>
      <c r="J291" s="55"/>
      <c r="K291" s="55"/>
      <c r="L291" s="55"/>
      <c r="M291" s="55"/>
      <c r="N291" s="55"/>
      <c r="O291" s="55"/>
      <c r="P291" s="55"/>
    </row>
    <row r="292" spans="2:16">
      <c r="L292" s="74"/>
      <c r="M292" s="74"/>
      <c r="N292" s="74"/>
      <c r="O292" s="74"/>
      <c r="P292" s="74"/>
    </row>
    <row r="293" spans="2:16">
      <c r="L293" s="74"/>
      <c r="M293" s="74"/>
      <c r="N293" s="74"/>
      <c r="O293" s="74"/>
      <c r="P293" s="74"/>
    </row>
    <row r="294" spans="2:16">
      <c r="L294" s="74"/>
      <c r="M294" s="74"/>
      <c r="N294" s="74"/>
      <c r="O294" s="74"/>
      <c r="P294" s="74"/>
    </row>
    <row r="295" spans="2:16">
      <c r="L295" s="74"/>
      <c r="M295" s="74"/>
      <c r="N295" s="74"/>
      <c r="O295" s="74"/>
      <c r="P295" s="74"/>
    </row>
    <row r="300" spans="2:16">
      <c r="D300" s="290" t="s">
        <v>441</v>
      </c>
      <c r="E300" s="290" t="s">
        <v>339</v>
      </c>
      <c r="F300" s="290" t="s">
        <v>434</v>
      </c>
      <c r="G300" s="290" t="s">
        <v>127</v>
      </c>
      <c r="H300" s="290" t="s">
        <v>370</v>
      </c>
    </row>
    <row r="301" spans="2:16">
      <c r="D301" s="290" t="s">
        <v>435</v>
      </c>
      <c r="E301" s="290" t="s">
        <v>436</v>
      </c>
      <c r="F301" s="290" t="s">
        <v>436</v>
      </c>
      <c r="G301" s="290" t="s">
        <v>437</v>
      </c>
      <c r="H301" s="290" t="s">
        <v>438</v>
      </c>
    </row>
    <row r="302" spans="2:16">
      <c r="D302" s="290" t="s">
        <v>440</v>
      </c>
      <c r="E302" s="290">
        <v>2016</v>
      </c>
      <c r="F302" s="290">
        <v>2020</v>
      </c>
      <c r="G302" s="290">
        <v>2023</v>
      </c>
      <c r="H302" s="290">
        <v>2025</v>
      </c>
    </row>
    <row r="303" spans="2:16">
      <c r="D303" s="290" t="s">
        <v>439</v>
      </c>
      <c r="E303" s="612">
        <f>E30/SUM(E27:E35)</f>
        <v>0.25809465574481744</v>
      </c>
      <c r="F303" s="612" t="e">
        <f>I47/SUM(I43:I59)</f>
        <v>#DIV/0!</v>
      </c>
      <c r="G303" s="612" t="e">
        <f>L67/(SUM(L66:L70)+L65+L68)</f>
        <v>#DIV/0!</v>
      </c>
      <c r="H303" s="612" t="e">
        <f>N73/SUM(N72:N74)</f>
        <v>#DIV/0!</v>
      </c>
    </row>
  </sheetData>
  <conditionalFormatting sqref="E100:P100">
    <cfRule type="cellIs" dxfId="7" priority="16" operator="lessThan">
      <formula>0</formula>
    </cfRule>
    <cfRule type="cellIs" dxfId="6" priority="17" operator="greaterThan">
      <formula>0</formula>
    </cfRule>
  </conditionalFormatting>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2:AE56"/>
  <sheetViews>
    <sheetView showGridLines="0" zoomScale="70" zoomScaleNormal="70" workbookViewId="0"/>
  </sheetViews>
  <sheetFormatPr defaultColWidth="8.6640625" defaultRowHeight="13.8"/>
  <cols>
    <col min="1" max="1" width="3" style="269" customWidth="1"/>
    <col min="2" max="2" width="14.44140625" style="269" customWidth="1"/>
    <col min="3" max="3" width="7.77734375" style="269" customWidth="1"/>
    <col min="4" max="4" width="9.21875" style="269" customWidth="1"/>
    <col min="5" max="5" width="9.77734375" style="269" customWidth="1"/>
    <col min="6" max="14" width="10.6640625" style="269" customWidth="1"/>
    <col min="15" max="15" width="4.33203125" style="269" customWidth="1"/>
    <col min="16" max="16" width="21.33203125" style="269" customWidth="1"/>
    <col min="17" max="18" width="9.33203125" style="269" customWidth="1"/>
    <col min="19" max="21" width="10.21875" style="269" customWidth="1"/>
    <col min="22" max="28" width="10.6640625" style="269" customWidth="1"/>
    <col min="29" max="29" width="5.21875" style="269" customWidth="1"/>
    <col min="31" max="31" width="10.6640625" style="269" bestFit="1" customWidth="1"/>
    <col min="32" max="16384" width="8.6640625" style="269"/>
  </cols>
  <sheetData>
    <row r="2" spans="2:30" ht="17.399999999999999">
      <c r="B2" s="6" t="str">
        <f>Introduction!$B$2</f>
        <v>LightCounting Ethernet Transceivers Forecast</v>
      </c>
    </row>
    <row r="3" spans="2:30" ht="15.6">
      <c r="B3" s="37" t="str">
        <f>Introduction!B3</f>
        <v>March 2022 - sample spreadsheet</v>
      </c>
      <c r="AD3" s="4"/>
    </row>
    <row r="4" spans="2:30" ht="17.399999999999999">
      <c r="B4" s="6" t="s">
        <v>414</v>
      </c>
      <c r="AD4" s="4"/>
    </row>
    <row r="5" spans="2:30">
      <c r="AD5" s="4"/>
    </row>
    <row r="6" spans="2:30" ht="18">
      <c r="B6" s="150" t="s">
        <v>413</v>
      </c>
      <c r="P6" s="150" t="s">
        <v>412</v>
      </c>
      <c r="AD6" s="4"/>
    </row>
    <row r="7" spans="2:30" ht="14.4">
      <c r="B7" s="616" t="s">
        <v>449</v>
      </c>
      <c r="P7" s="616" t="s">
        <v>448</v>
      </c>
      <c r="AD7" s="4"/>
    </row>
    <row r="8" spans="2:30">
      <c r="B8" s="276"/>
      <c r="C8" s="501"/>
      <c r="D8" s="501"/>
      <c r="E8" s="501"/>
      <c r="F8" s="501"/>
      <c r="G8" s="501"/>
      <c r="H8" s="501"/>
      <c r="I8" s="501"/>
      <c r="J8" s="501"/>
      <c r="K8" s="501"/>
      <c r="L8" s="501"/>
      <c r="M8" s="501"/>
      <c r="N8" s="501"/>
      <c r="P8" s="276"/>
      <c r="Q8" s="501"/>
      <c r="R8" s="501"/>
      <c r="S8" s="501"/>
      <c r="T8" s="501"/>
      <c r="U8" s="501"/>
      <c r="V8" s="501"/>
      <c r="W8" s="501"/>
      <c r="X8" s="501"/>
      <c r="Y8" s="501"/>
      <c r="Z8" s="501"/>
      <c r="AA8" s="501"/>
      <c r="AB8" s="501"/>
      <c r="AD8" s="4"/>
    </row>
    <row r="9" spans="2:30">
      <c r="AD9" s="4"/>
    </row>
    <row r="10" spans="2:30">
      <c r="AD10" s="4"/>
    </row>
    <row r="11" spans="2:30">
      <c r="AD11" s="4"/>
    </row>
    <row r="12" spans="2:30">
      <c r="AD12" s="4"/>
    </row>
    <row r="13" spans="2:30">
      <c r="AD13" s="4"/>
    </row>
    <row r="14" spans="2:30">
      <c r="AD14" s="4"/>
    </row>
    <row r="15" spans="2:30">
      <c r="AD15" s="4"/>
    </row>
    <row r="16" spans="2:30">
      <c r="AD16" s="4"/>
    </row>
    <row r="29" spans="2:31">
      <c r="C29" s="589">
        <v>2016</v>
      </c>
      <c r="D29" s="589">
        <v>2017</v>
      </c>
      <c r="E29" s="589">
        <v>2018</v>
      </c>
      <c r="F29" s="589">
        <v>2019</v>
      </c>
      <c r="G29" s="589">
        <v>2020</v>
      </c>
      <c r="H29" s="589">
        <v>2021</v>
      </c>
      <c r="I29" s="589">
        <v>2022</v>
      </c>
      <c r="J29" s="589">
        <v>2023</v>
      </c>
      <c r="K29" s="589">
        <v>2024</v>
      </c>
      <c r="L29" s="589">
        <v>2025</v>
      </c>
      <c r="M29" s="589">
        <v>2026</v>
      </c>
      <c r="N29" s="589">
        <v>2027</v>
      </c>
      <c r="Q29" s="589">
        <v>2016</v>
      </c>
      <c r="R29" s="589">
        <v>2017</v>
      </c>
      <c r="S29" s="589">
        <v>2018</v>
      </c>
      <c r="T29" s="589">
        <v>2019</v>
      </c>
      <c r="U29" s="589">
        <v>2020</v>
      </c>
      <c r="V29" s="589">
        <v>2021</v>
      </c>
      <c r="W29" s="589">
        <v>2022</v>
      </c>
      <c r="X29" s="589">
        <v>2023</v>
      </c>
      <c r="Y29" s="589">
        <v>2024</v>
      </c>
      <c r="Z29" s="589">
        <v>2025</v>
      </c>
      <c r="AA29" s="589">
        <v>2026</v>
      </c>
      <c r="AB29" s="589">
        <v>2027</v>
      </c>
      <c r="AD29" s="44"/>
      <c r="AE29" s="44"/>
    </row>
    <row r="30" spans="2:31">
      <c r="B30" s="295" t="s">
        <v>404</v>
      </c>
      <c r="C30" s="502">
        <f t="shared" ref="C30:L30" si="0">C36+C42+C48+C54</f>
        <v>370501</v>
      </c>
      <c r="D30" s="502">
        <f t="shared" si="0"/>
        <v>985144</v>
      </c>
      <c r="E30" s="502">
        <f t="shared" si="0"/>
        <v>2316708.1176470588</v>
      </c>
      <c r="F30" s="502">
        <f t="shared" si="0"/>
        <v>0</v>
      </c>
      <c r="G30" s="502">
        <f t="shared" si="0"/>
        <v>0</v>
      </c>
      <c r="H30" s="502">
        <f t="shared" si="0"/>
        <v>0</v>
      </c>
      <c r="I30" s="502">
        <f t="shared" si="0"/>
        <v>0</v>
      </c>
      <c r="J30" s="502">
        <f t="shared" si="0"/>
        <v>0</v>
      </c>
      <c r="K30" s="502">
        <f t="shared" si="0"/>
        <v>0</v>
      </c>
      <c r="L30" s="502">
        <f t="shared" si="0"/>
        <v>0</v>
      </c>
      <c r="M30" s="502">
        <f t="shared" ref="M30" si="1">M36+M42+M48+M54</f>
        <v>0</v>
      </c>
      <c r="N30" s="502">
        <f t="shared" ref="N30" si="2">N36+N42+N48+N54</f>
        <v>0</v>
      </c>
      <c r="P30" s="295" t="s">
        <v>406</v>
      </c>
      <c r="Q30" s="502">
        <f t="shared" ref="Q30:Z30" si="3">Q36+Q42+Q48+Q54</f>
        <v>0</v>
      </c>
      <c r="R30" s="502">
        <f t="shared" si="3"/>
        <v>89</v>
      </c>
      <c r="S30" s="502">
        <f t="shared" si="3"/>
        <v>39000</v>
      </c>
      <c r="T30" s="502">
        <f t="shared" si="3"/>
        <v>0</v>
      </c>
      <c r="U30" s="502">
        <f t="shared" si="3"/>
        <v>0</v>
      </c>
      <c r="V30" s="502">
        <f t="shared" si="3"/>
        <v>0</v>
      </c>
      <c r="W30" s="502">
        <f t="shared" si="3"/>
        <v>0</v>
      </c>
      <c r="X30" s="502">
        <f t="shared" si="3"/>
        <v>0</v>
      </c>
      <c r="Y30" s="502">
        <f t="shared" si="3"/>
        <v>0</v>
      </c>
      <c r="Z30" s="502">
        <f t="shared" si="3"/>
        <v>0</v>
      </c>
      <c r="AA30" s="502">
        <f t="shared" ref="AA30:AB30" si="4">AA36+AA42+AA48+AA54</f>
        <v>0</v>
      </c>
      <c r="AB30" s="502">
        <f t="shared" si="4"/>
        <v>0</v>
      </c>
    </row>
    <row r="31" spans="2:31">
      <c r="B31" s="295" t="s">
        <v>405</v>
      </c>
      <c r="C31" s="502">
        <f t="shared" ref="C31:L31" si="5">C37+C43+C49+C55</f>
        <v>0</v>
      </c>
      <c r="D31" s="502">
        <f t="shared" si="5"/>
        <v>0</v>
      </c>
      <c r="E31" s="502">
        <f t="shared" si="5"/>
        <v>0</v>
      </c>
      <c r="F31" s="502">
        <f t="shared" si="5"/>
        <v>0</v>
      </c>
      <c r="G31" s="502">
        <f t="shared" si="5"/>
        <v>0</v>
      </c>
      <c r="H31" s="502">
        <f t="shared" si="5"/>
        <v>0</v>
      </c>
      <c r="I31" s="502">
        <f t="shared" si="5"/>
        <v>0</v>
      </c>
      <c r="J31" s="502">
        <f t="shared" si="5"/>
        <v>0</v>
      </c>
      <c r="K31" s="502">
        <f t="shared" si="5"/>
        <v>0</v>
      </c>
      <c r="L31" s="502">
        <f t="shared" si="5"/>
        <v>0</v>
      </c>
      <c r="M31" s="502">
        <f t="shared" ref="M31" si="6">M37+M43+M49+M55</f>
        <v>0</v>
      </c>
      <c r="N31" s="502">
        <f t="shared" ref="N31" si="7">N37+N43+N49+N55</f>
        <v>0</v>
      </c>
      <c r="P31" s="295" t="s">
        <v>410</v>
      </c>
      <c r="Q31" s="502">
        <f t="shared" ref="Q31:Z31" si="8">Q37+Q49+Q55+Q43</f>
        <v>0</v>
      </c>
      <c r="R31" s="502">
        <f t="shared" si="8"/>
        <v>0</v>
      </c>
      <c r="S31" s="502">
        <f t="shared" si="8"/>
        <v>0</v>
      </c>
      <c r="T31" s="502">
        <f t="shared" si="8"/>
        <v>0</v>
      </c>
      <c r="U31" s="502">
        <f t="shared" si="8"/>
        <v>0</v>
      </c>
      <c r="V31" s="502">
        <f t="shared" si="8"/>
        <v>0</v>
      </c>
      <c r="W31" s="502">
        <f t="shared" si="8"/>
        <v>0</v>
      </c>
      <c r="X31" s="502">
        <f t="shared" si="8"/>
        <v>0</v>
      </c>
      <c r="Y31" s="502">
        <f t="shared" si="8"/>
        <v>0</v>
      </c>
      <c r="Z31" s="502">
        <f t="shared" si="8"/>
        <v>0</v>
      </c>
      <c r="AA31" s="502">
        <f t="shared" ref="AA31:AB31" si="9">AA37+AA49+AA55+AA43</f>
        <v>0</v>
      </c>
      <c r="AB31" s="502">
        <f t="shared" si="9"/>
        <v>0</v>
      </c>
    </row>
    <row r="34" spans="2:31">
      <c r="B34" s="73" t="s">
        <v>411</v>
      </c>
      <c r="C34" s="588">
        <v>2016</v>
      </c>
      <c r="D34" s="588">
        <v>2017</v>
      </c>
      <c r="E34" s="588">
        <v>2018</v>
      </c>
      <c r="F34" s="588">
        <v>2019</v>
      </c>
      <c r="G34" s="588">
        <v>2020</v>
      </c>
      <c r="H34" s="588">
        <v>2021</v>
      </c>
      <c r="I34" s="588">
        <v>2022</v>
      </c>
      <c r="J34" s="588">
        <v>2023</v>
      </c>
      <c r="K34" s="588">
        <v>2024</v>
      </c>
      <c r="L34" s="588">
        <v>2025</v>
      </c>
      <c r="M34" s="588">
        <v>2026</v>
      </c>
      <c r="N34" s="588">
        <v>2027</v>
      </c>
      <c r="P34" s="73" t="s">
        <v>407</v>
      </c>
      <c r="Q34" s="588">
        <v>2016</v>
      </c>
      <c r="R34" s="588">
        <v>2017</v>
      </c>
      <c r="S34" s="588">
        <v>2018</v>
      </c>
      <c r="T34" s="588">
        <v>2019</v>
      </c>
      <c r="U34" s="588">
        <v>2020</v>
      </c>
      <c r="V34" s="588">
        <v>2021</v>
      </c>
      <c r="W34" s="588">
        <v>2022</v>
      </c>
      <c r="X34" s="588">
        <v>2023</v>
      </c>
      <c r="Y34" s="588">
        <v>2024</v>
      </c>
      <c r="Z34" s="588">
        <v>2025</v>
      </c>
      <c r="AA34" s="588">
        <v>2026</v>
      </c>
      <c r="AB34" s="588">
        <v>2027</v>
      </c>
    </row>
    <row r="35" spans="2:31">
      <c r="B35" s="295" t="s">
        <v>398</v>
      </c>
      <c r="C35" s="294">
        <f>'Products x speed'!E43</f>
        <v>280058</v>
      </c>
      <c r="D35" s="294">
        <f>'Products x speed'!F43</f>
        <v>622792</v>
      </c>
      <c r="E35" s="294">
        <f>'Products x speed'!G43</f>
        <v>1915817</v>
      </c>
      <c r="F35" s="294">
        <f>'Products x speed'!H43</f>
        <v>0</v>
      </c>
      <c r="G35" s="294">
        <f>'Products x speed'!I43</f>
        <v>0</v>
      </c>
      <c r="H35" s="294">
        <f>'Products x speed'!J43</f>
        <v>0</v>
      </c>
      <c r="I35" s="294">
        <f>'Products x speed'!K43</f>
        <v>0</v>
      </c>
      <c r="J35" s="294">
        <f>'Products x speed'!L43</f>
        <v>0</v>
      </c>
      <c r="K35" s="294">
        <f>'Products x speed'!M43</f>
        <v>0</v>
      </c>
      <c r="L35" s="294">
        <f>'Products x speed'!N43</f>
        <v>0</v>
      </c>
      <c r="M35" s="294">
        <f>'Products x speed'!O43</f>
        <v>0</v>
      </c>
      <c r="N35" s="294">
        <f>'Products x speed'!P43</f>
        <v>0</v>
      </c>
      <c r="P35" s="295" t="s">
        <v>398</v>
      </c>
      <c r="Q35" s="294">
        <f>'Products x speed'!E66+'Products x speed'!E65</f>
        <v>0</v>
      </c>
      <c r="R35" s="294">
        <f>'Products x speed'!F66+'Products x speed'!F65</f>
        <v>0</v>
      </c>
      <c r="S35" s="294">
        <f>'Products x speed'!G66+'Products x speed'!G65</f>
        <v>23000</v>
      </c>
      <c r="T35" s="294">
        <f>'Products x speed'!H66+'Products x speed'!H65</f>
        <v>0</v>
      </c>
      <c r="U35" s="294">
        <f>'Products x speed'!I66+'Products x speed'!I65</f>
        <v>0</v>
      </c>
      <c r="V35" s="294">
        <f>'Products x speed'!J66+'Products x speed'!J65</f>
        <v>0</v>
      </c>
      <c r="W35" s="294">
        <f>'Products x speed'!K66+'Products x speed'!K65</f>
        <v>0</v>
      </c>
      <c r="X35" s="294">
        <f>'Products x speed'!L66+'Products x speed'!L65</f>
        <v>0</v>
      </c>
      <c r="Y35" s="294">
        <f>'Products x speed'!M66+'Products x speed'!M65</f>
        <v>0</v>
      </c>
      <c r="Z35" s="294">
        <f>'Products x speed'!N66+'Products x speed'!N65</f>
        <v>0</v>
      </c>
      <c r="AA35" s="294">
        <f>'Products x speed'!O66+'Products x speed'!O65</f>
        <v>0</v>
      </c>
      <c r="AB35" s="294">
        <f>'Products x speed'!P66+'Products x speed'!P65</f>
        <v>0</v>
      </c>
    </row>
    <row r="36" spans="2:31">
      <c r="B36" s="598" t="s">
        <v>400</v>
      </c>
      <c r="C36" s="502">
        <f t="shared" ref="C36:L36" si="10">C35-C37</f>
        <v>280058</v>
      </c>
      <c r="D36" s="502">
        <f t="shared" si="10"/>
        <v>622792</v>
      </c>
      <c r="E36" s="502">
        <f t="shared" si="10"/>
        <v>1915817</v>
      </c>
      <c r="F36" s="502">
        <f t="shared" si="10"/>
        <v>0</v>
      </c>
      <c r="G36" s="502">
        <f t="shared" si="10"/>
        <v>0</v>
      </c>
      <c r="H36" s="502">
        <f t="shared" si="10"/>
        <v>0</v>
      </c>
      <c r="I36" s="502">
        <f t="shared" si="10"/>
        <v>0</v>
      </c>
      <c r="J36" s="502">
        <f t="shared" si="10"/>
        <v>0</v>
      </c>
      <c r="K36" s="502">
        <f t="shared" si="10"/>
        <v>0</v>
      </c>
      <c r="L36" s="502">
        <f t="shared" si="10"/>
        <v>0</v>
      </c>
      <c r="M36" s="502">
        <f t="shared" ref="M36:N36" si="11">M35-M37</f>
        <v>0</v>
      </c>
      <c r="N36" s="502">
        <f t="shared" si="11"/>
        <v>0</v>
      </c>
      <c r="P36" s="598" t="s">
        <v>403</v>
      </c>
      <c r="Q36" s="502">
        <f t="shared" ref="Q36:Z36" si="12">Q35-Q37</f>
        <v>0</v>
      </c>
      <c r="R36" s="502">
        <f t="shared" si="12"/>
        <v>0</v>
      </c>
      <c r="S36" s="502">
        <f t="shared" si="12"/>
        <v>23000</v>
      </c>
      <c r="T36" s="502">
        <f t="shared" si="12"/>
        <v>0</v>
      </c>
      <c r="U36" s="502">
        <f t="shared" si="12"/>
        <v>0</v>
      </c>
      <c r="V36" s="502">
        <f t="shared" si="12"/>
        <v>0</v>
      </c>
      <c r="W36" s="502">
        <f t="shared" si="12"/>
        <v>0</v>
      </c>
      <c r="X36" s="502">
        <f t="shared" si="12"/>
        <v>0</v>
      </c>
      <c r="Y36" s="502">
        <f t="shared" si="12"/>
        <v>0</v>
      </c>
      <c r="Z36" s="502">
        <f t="shared" si="12"/>
        <v>0</v>
      </c>
      <c r="AA36" s="502">
        <f t="shared" ref="AA36:AB36" si="13">AA35-AA37</f>
        <v>0</v>
      </c>
      <c r="AB36" s="502">
        <f t="shared" si="13"/>
        <v>0</v>
      </c>
    </row>
    <row r="37" spans="2:31">
      <c r="B37" s="598" t="s">
        <v>399</v>
      </c>
      <c r="C37" s="502">
        <f t="shared" ref="C37:L37" si="14">C35*C38</f>
        <v>0</v>
      </c>
      <c r="D37" s="502">
        <f t="shared" si="14"/>
        <v>0</v>
      </c>
      <c r="E37" s="502">
        <f t="shared" si="14"/>
        <v>0</v>
      </c>
      <c r="F37" s="502">
        <f t="shared" si="14"/>
        <v>0</v>
      </c>
      <c r="G37" s="502">
        <f t="shared" si="14"/>
        <v>0</v>
      </c>
      <c r="H37" s="502">
        <f t="shared" si="14"/>
        <v>0</v>
      </c>
      <c r="I37" s="502">
        <f t="shared" si="14"/>
        <v>0</v>
      </c>
      <c r="J37" s="502">
        <f t="shared" si="14"/>
        <v>0</v>
      </c>
      <c r="K37" s="502">
        <f t="shared" si="14"/>
        <v>0</v>
      </c>
      <c r="L37" s="502">
        <f t="shared" si="14"/>
        <v>0</v>
      </c>
      <c r="M37" s="502">
        <f t="shared" ref="M37:N37" si="15">M35*M38</f>
        <v>0</v>
      </c>
      <c r="N37" s="502">
        <f t="shared" si="15"/>
        <v>0</v>
      </c>
      <c r="P37" s="598" t="s">
        <v>402</v>
      </c>
      <c r="Q37" s="502">
        <f t="shared" ref="Q37:Z37" si="16">Q35*Q38</f>
        <v>0</v>
      </c>
      <c r="R37" s="502">
        <f t="shared" si="16"/>
        <v>0</v>
      </c>
      <c r="S37" s="502">
        <f t="shared" si="16"/>
        <v>0</v>
      </c>
      <c r="T37" s="502">
        <f t="shared" si="16"/>
        <v>0</v>
      </c>
      <c r="U37" s="502">
        <f t="shared" si="16"/>
        <v>0</v>
      </c>
      <c r="V37" s="502">
        <f t="shared" si="16"/>
        <v>0</v>
      </c>
      <c r="W37" s="502">
        <f t="shared" si="16"/>
        <v>0</v>
      </c>
      <c r="X37" s="502">
        <f t="shared" si="16"/>
        <v>0</v>
      </c>
      <c r="Y37" s="502">
        <f t="shared" si="16"/>
        <v>0</v>
      </c>
      <c r="Z37" s="502">
        <f t="shared" si="16"/>
        <v>0</v>
      </c>
      <c r="AA37" s="502">
        <f t="shared" ref="AA37:AB37" si="17">AA35*AA38</f>
        <v>0</v>
      </c>
      <c r="AB37" s="502">
        <f t="shared" si="17"/>
        <v>0</v>
      </c>
    </row>
    <row r="38" spans="2:31">
      <c r="B38" s="599" t="str">
        <f>"Percent SFP112"</f>
        <v>Percent SFP112</v>
      </c>
      <c r="C38" s="587">
        <v>0</v>
      </c>
      <c r="D38" s="587">
        <v>0</v>
      </c>
      <c r="E38" s="587">
        <v>0</v>
      </c>
      <c r="F38" s="587">
        <v>0</v>
      </c>
      <c r="G38" s="587">
        <v>0</v>
      </c>
      <c r="H38" s="587">
        <v>0</v>
      </c>
      <c r="I38" s="587"/>
      <c r="J38" s="587"/>
      <c r="K38" s="587"/>
      <c r="L38" s="587"/>
      <c r="M38" s="587"/>
      <c r="N38" s="695"/>
      <c r="P38" s="599" t="str">
        <f>"Percent QSFP112"</f>
        <v>Percent QSFP112</v>
      </c>
      <c r="Q38" s="587">
        <v>0</v>
      </c>
      <c r="R38" s="587">
        <v>0</v>
      </c>
      <c r="S38" s="587">
        <v>0</v>
      </c>
      <c r="T38" s="587">
        <v>0</v>
      </c>
      <c r="U38" s="587">
        <v>0</v>
      </c>
      <c r="V38" s="587">
        <v>0</v>
      </c>
      <c r="W38" s="587"/>
      <c r="X38" s="587"/>
      <c r="Y38" s="587"/>
      <c r="Z38" s="587"/>
      <c r="AA38" s="587"/>
      <c r="AB38" s="695"/>
    </row>
    <row r="39" spans="2:31">
      <c r="B39" s="276"/>
      <c r="C39" s="501"/>
      <c r="D39" s="501"/>
      <c r="E39" s="501"/>
      <c r="F39" s="501"/>
      <c r="G39" s="501"/>
      <c r="H39" s="501"/>
      <c r="I39" s="501"/>
      <c r="J39" s="501"/>
      <c r="K39" s="501"/>
      <c r="L39" s="501"/>
      <c r="M39" s="501"/>
      <c r="N39" s="501"/>
      <c r="P39" s="276"/>
      <c r="Q39" s="501"/>
      <c r="R39" s="501"/>
      <c r="S39" s="501"/>
      <c r="T39" s="501"/>
      <c r="U39" s="501"/>
      <c r="V39" s="501"/>
      <c r="W39" s="501"/>
      <c r="X39" s="501"/>
      <c r="Y39" s="501"/>
      <c r="Z39" s="501"/>
      <c r="AA39" s="501"/>
      <c r="AB39" s="501"/>
    </row>
    <row r="40" spans="2:31">
      <c r="B40" s="73" t="s">
        <v>375</v>
      </c>
      <c r="C40" s="588">
        <v>2016</v>
      </c>
      <c r="D40" s="588">
        <v>2017</v>
      </c>
      <c r="E40" s="588">
        <v>2018</v>
      </c>
      <c r="F40" s="588">
        <v>2019</v>
      </c>
      <c r="G40" s="588">
        <v>2020</v>
      </c>
      <c r="H40" s="588">
        <v>2021</v>
      </c>
      <c r="I40" s="588">
        <v>2022</v>
      </c>
      <c r="J40" s="588">
        <v>2023</v>
      </c>
      <c r="K40" s="588">
        <v>2024</v>
      </c>
      <c r="L40" s="588">
        <v>2025</v>
      </c>
      <c r="M40" s="588">
        <v>2026</v>
      </c>
      <c r="N40" s="588">
        <v>2027</v>
      </c>
      <c r="P40" s="73" t="s">
        <v>261</v>
      </c>
      <c r="Q40" s="588">
        <v>2016</v>
      </c>
      <c r="R40" s="588">
        <v>2017</v>
      </c>
      <c r="S40" s="588">
        <v>2018</v>
      </c>
      <c r="T40" s="588">
        <v>2019</v>
      </c>
      <c r="U40" s="588">
        <v>2020</v>
      </c>
      <c r="V40" s="588">
        <v>2021</v>
      </c>
      <c r="W40" s="588">
        <v>2022</v>
      </c>
      <c r="X40" s="588">
        <v>2023</v>
      </c>
      <c r="Y40" s="588">
        <v>2024</v>
      </c>
      <c r="Z40" s="588">
        <v>2025</v>
      </c>
      <c r="AA40" s="588">
        <v>2026</v>
      </c>
      <c r="AB40" s="588">
        <v>2027</v>
      </c>
    </row>
    <row r="41" spans="2:31">
      <c r="B41" s="295" t="str">
        <f>B35</f>
        <v>Total volume</v>
      </c>
      <c r="C41" s="294">
        <f>'Products x speed'!E48</f>
        <v>0</v>
      </c>
      <c r="D41" s="294">
        <f>'Products x speed'!F48</f>
        <v>0</v>
      </c>
      <c r="E41" s="294">
        <f>'Products x speed'!G48</f>
        <v>0</v>
      </c>
      <c r="F41" s="294">
        <f>'Products x speed'!H48</f>
        <v>0</v>
      </c>
      <c r="G41" s="294">
        <f>'Products x speed'!I48</f>
        <v>0</v>
      </c>
      <c r="H41" s="294">
        <f>'Products x speed'!J48</f>
        <v>0</v>
      </c>
      <c r="I41" s="294">
        <f>'Products x speed'!K48</f>
        <v>0</v>
      </c>
      <c r="J41" s="294">
        <f>'Products x speed'!L48</f>
        <v>0</v>
      </c>
      <c r="K41" s="294">
        <f>'Products x speed'!M48</f>
        <v>0</v>
      </c>
      <c r="L41" s="294">
        <f>'Products x speed'!N48</f>
        <v>0</v>
      </c>
      <c r="M41" s="294">
        <f>'Products x speed'!O48</f>
        <v>0</v>
      </c>
      <c r="N41" s="294">
        <f>'Products x speed'!P48</f>
        <v>0</v>
      </c>
      <c r="P41" s="295" t="str">
        <f>P35</f>
        <v>Total volume</v>
      </c>
      <c r="Q41" s="294">
        <f>'Products x speed'!E67</f>
        <v>0</v>
      </c>
      <c r="R41" s="294">
        <f>'Products x speed'!F67</f>
        <v>0</v>
      </c>
      <c r="S41" s="294">
        <f>'Products x speed'!G67</f>
        <v>2000</v>
      </c>
      <c r="T41" s="294">
        <f>'Products x speed'!H67</f>
        <v>0</v>
      </c>
      <c r="U41" s="294">
        <f>'Products x speed'!I67</f>
        <v>0</v>
      </c>
      <c r="V41" s="294">
        <f>'Products x speed'!J67</f>
        <v>0</v>
      </c>
      <c r="W41" s="294">
        <f>'Products x speed'!K67</f>
        <v>0</v>
      </c>
      <c r="X41" s="294">
        <f>'Products x speed'!L67</f>
        <v>0</v>
      </c>
      <c r="Y41" s="294">
        <f>'Products x speed'!M67</f>
        <v>0</v>
      </c>
      <c r="Z41" s="294">
        <f>'Products x speed'!N67</f>
        <v>0</v>
      </c>
      <c r="AA41" s="294">
        <f>'Products x speed'!O67</f>
        <v>0</v>
      </c>
      <c r="AB41" s="294">
        <f>'Products x speed'!P67</f>
        <v>0</v>
      </c>
    </row>
    <row r="42" spans="2:31">
      <c r="B42" s="598" t="str">
        <f>B36</f>
        <v>Volume QSFP28</v>
      </c>
      <c r="C42" s="502">
        <f t="shared" ref="C42:L42" si="18">C41-C43</f>
        <v>0</v>
      </c>
      <c r="D42" s="502">
        <f t="shared" si="18"/>
        <v>0</v>
      </c>
      <c r="E42" s="502">
        <f t="shared" si="18"/>
        <v>0</v>
      </c>
      <c r="F42" s="502">
        <f t="shared" si="18"/>
        <v>0</v>
      </c>
      <c r="G42" s="502">
        <f t="shared" si="18"/>
        <v>0</v>
      </c>
      <c r="H42" s="502">
        <f t="shared" si="18"/>
        <v>0</v>
      </c>
      <c r="I42" s="502">
        <f t="shared" si="18"/>
        <v>0</v>
      </c>
      <c r="J42" s="502">
        <f t="shared" si="18"/>
        <v>0</v>
      </c>
      <c r="K42" s="502">
        <f t="shared" si="18"/>
        <v>0</v>
      </c>
      <c r="L42" s="502">
        <f t="shared" si="18"/>
        <v>0</v>
      </c>
      <c r="M42" s="502">
        <f t="shared" ref="M42:N42" si="19">M41-M43</f>
        <v>0</v>
      </c>
      <c r="N42" s="502">
        <f t="shared" si="19"/>
        <v>0</v>
      </c>
      <c r="P42" s="598" t="str">
        <f>P36</f>
        <v>Volume all other</v>
      </c>
      <c r="Q42" s="502">
        <f t="shared" ref="Q42:Z42" si="20">Q41-Q43</f>
        <v>0</v>
      </c>
      <c r="R42" s="502">
        <f t="shared" si="20"/>
        <v>0</v>
      </c>
      <c r="S42" s="502">
        <f t="shared" si="20"/>
        <v>2000</v>
      </c>
      <c r="T42" s="502">
        <f t="shared" si="20"/>
        <v>0</v>
      </c>
      <c r="U42" s="502">
        <f t="shared" si="20"/>
        <v>0</v>
      </c>
      <c r="V42" s="502">
        <f t="shared" si="20"/>
        <v>0</v>
      </c>
      <c r="W42" s="502">
        <f t="shared" si="20"/>
        <v>0</v>
      </c>
      <c r="X42" s="502">
        <f t="shared" si="20"/>
        <v>0</v>
      </c>
      <c r="Y42" s="502">
        <f t="shared" si="20"/>
        <v>0</v>
      </c>
      <c r="Z42" s="502">
        <f t="shared" si="20"/>
        <v>0</v>
      </c>
      <c r="AA42" s="502">
        <f t="shared" ref="AA42:AB42" si="21">AA41-AA43</f>
        <v>0</v>
      </c>
      <c r="AB42" s="502">
        <f t="shared" si="21"/>
        <v>0</v>
      </c>
      <c r="AD42" s="44"/>
      <c r="AE42" s="44"/>
    </row>
    <row r="43" spans="2:31">
      <c r="B43" s="598" t="str">
        <f>B37</f>
        <v>Volume SFP112</v>
      </c>
      <c r="C43" s="502">
        <f t="shared" ref="C43:L43" si="22">C41*C44</f>
        <v>0</v>
      </c>
      <c r="D43" s="502">
        <f t="shared" si="22"/>
        <v>0</v>
      </c>
      <c r="E43" s="502">
        <f t="shared" si="22"/>
        <v>0</v>
      </c>
      <c r="F43" s="502">
        <f t="shared" si="22"/>
        <v>0</v>
      </c>
      <c r="G43" s="502">
        <f t="shared" si="22"/>
        <v>0</v>
      </c>
      <c r="H43" s="502">
        <f t="shared" si="22"/>
        <v>0</v>
      </c>
      <c r="I43" s="502">
        <f t="shared" si="22"/>
        <v>0</v>
      </c>
      <c r="J43" s="502">
        <f t="shared" si="22"/>
        <v>0</v>
      </c>
      <c r="K43" s="502">
        <f t="shared" si="22"/>
        <v>0</v>
      </c>
      <c r="L43" s="502">
        <f t="shared" si="22"/>
        <v>0</v>
      </c>
      <c r="M43" s="502">
        <f t="shared" ref="M43:N43" si="23">M41*M44</f>
        <v>0</v>
      </c>
      <c r="N43" s="502">
        <f t="shared" si="23"/>
        <v>0</v>
      </c>
      <c r="P43" s="598" t="str">
        <f>P37</f>
        <v>Volume QSFP112</v>
      </c>
      <c r="Q43" s="502">
        <f t="shared" ref="Q43:Z43" si="24">Q41*Q44</f>
        <v>0</v>
      </c>
      <c r="R43" s="502">
        <f t="shared" si="24"/>
        <v>0</v>
      </c>
      <c r="S43" s="502">
        <f t="shared" si="24"/>
        <v>0</v>
      </c>
      <c r="T43" s="502">
        <f t="shared" si="24"/>
        <v>0</v>
      </c>
      <c r="U43" s="502">
        <f t="shared" si="24"/>
        <v>0</v>
      </c>
      <c r="V43" s="502">
        <f t="shared" si="24"/>
        <v>0</v>
      </c>
      <c r="W43" s="502">
        <f t="shared" si="24"/>
        <v>0</v>
      </c>
      <c r="X43" s="502">
        <f t="shared" si="24"/>
        <v>0</v>
      </c>
      <c r="Y43" s="502">
        <f t="shared" si="24"/>
        <v>0</v>
      </c>
      <c r="Z43" s="502">
        <f t="shared" si="24"/>
        <v>0</v>
      </c>
      <c r="AA43" s="502">
        <f t="shared" ref="AA43:AB43" si="25">AA41*AA44</f>
        <v>0</v>
      </c>
      <c r="AB43" s="502">
        <f t="shared" si="25"/>
        <v>0</v>
      </c>
      <c r="AD43" s="44"/>
      <c r="AE43" s="44"/>
    </row>
    <row r="44" spans="2:31">
      <c r="B44" s="599" t="str">
        <f>B38</f>
        <v>Percent SFP112</v>
      </c>
      <c r="C44" s="587">
        <v>0</v>
      </c>
      <c r="D44" s="587">
        <v>0</v>
      </c>
      <c r="E44" s="587">
        <v>0</v>
      </c>
      <c r="F44" s="587">
        <v>0</v>
      </c>
      <c r="G44" s="587">
        <v>0</v>
      </c>
      <c r="H44" s="587">
        <v>0</v>
      </c>
      <c r="I44" s="587"/>
      <c r="J44" s="587"/>
      <c r="K44" s="587"/>
      <c r="L44" s="587"/>
      <c r="M44" s="587"/>
      <c r="N44" s="695"/>
      <c r="P44" s="599" t="str">
        <f>P38</f>
        <v>Percent QSFP112</v>
      </c>
      <c r="Q44" s="587">
        <v>0</v>
      </c>
      <c r="R44" s="587">
        <v>0</v>
      </c>
      <c r="S44" s="587">
        <v>0</v>
      </c>
      <c r="T44" s="587">
        <v>0</v>
      </c>
      <c r="U44" s="587">
        <v>0</v>
      </c>
      <c r="V44" s="587">
        <v>0</v>
      </c>
      <c r="W44" s="587">
        <f>W38</f>
        <v>0</v>
      </c>
      <c r="X44" s="587"/>
      <c r="Y44" s="587"/>
      <c r="Z44" s="587"/>
      <c r="AA44" s="587"/>
      <c r="AB44" s="587"/>
      <c r="AD44" s="44"/>
      <c r="AE44" s="44"/>
    </row>
    <row r="45" spans="2:31">
      <c r="B45" s="276"/>
      <c r="C45" s="501"/>
      <c r="D45" s="501"/>
      <c r="E45" s="501"/>
      <c r="F45" s="501"/>
      <c r="G45" s="501"/>
      <c r="H45" s="501"/>
      <c r="I45" s="501"/>
      <c r="J45" s="501"/>
      <c r="K45" s="501"/>
      <c r="L45" s="501"/>
      <c r="M45" s="501"/>
      <c r="N45" s="501"/>
      <c r="P45" s="276"/>
      <c r="Q45" s="501"/>
      <c r="R45" s="501"/>
      <c r="S45" s="501"/>
      <c r="T45" s="501"/>
      <c r="U45" s="501"/>
      <c r="V45" s="501"/>
      <c r="W45" s="501"/>
      <c r="X45" s="501"/>
      <c r="Y45" s="501"/>
      <c r="Z45" s="501"/>
      <c r="AA45" s="501"/>
      <c r="AB45" s="501"/>
      <c r="AD45" s="44"/>
      <c r="AE45" s="44"/>
    </row>
    <row r="46" spans="2:31">
      <c r="B46" s="73" t="s">
        <v>382</v>
      </c>
      <c r="C46" s="588">
        <v>2016</v>
      </c>
      <c r="D46" s="588">
        <v>2017</v>
      </c>
      <c r="E46" s="588">
        <v>2018</v>
      </c>
      <c r="F46" s="588">
        <v>2019</v>
      </c>
      <c r="G46" s="588">
        <v>2020</v>
      </c>
      <c r="H46" s="588">
        <v>2021</v>
      </c>
      <c r="I46" s="588">
        <v>2022</v>
      </c>
      <c r="J46" s="588">
        <v>2023</v>
      </c>
      <c r="K46" s="588">
        <v>2024</v>
      </c>
      <c r="L46" s="588">
        <v>2025</v>
      </c>
      <c r="M46" s="588">
        <v>2026</v>
      </c>
      <c r="N46" s="588">
        <v>2027</v>
      </c>
      <c r="P46" s="73" t="s">
        <v>408</v>
      </c>
      <c r="Q46" s="588">
        <v>2016</v>
      </c>
      <c r="R46" s="588">
        <v>2017</v>
      </c>
      <c r="S46" s="588">
        <v>2018</v>
      </c>
      <c r="T46" s="588">
        <v>2019</v>
      </c>
      <c r="U46" s="588">
        <v>2020</v>
      </c>
      <c r="V46" s="588">
        <v>2021</v>
      </c>
      <c r="W46" s="588">
        <v>2022</v>
      </c>
      <c r="X46" s="588">
        <v>2023</v>
      </c>
      <c r="Y46" s="588">
        <v>2024</v>
      </c>
      <c r="Z46" s="588">
        <v>2025</v>
      </c>
      <c r="AA46" s="588">
        <v>2026</v>
      </c>
      <c r="AB46" s="588">
        <v>2027</v>
      </c>
      <c r="AD46" s="44"/>
      <c r="AE46" s="44"/>
    </row>
    <row r="47" spans="2:31">
      <c r="B47" s="295" t="str">
        <f>B35</f>
        <v>Total volume</v>
      </c>
      <c r="C47" s="294">
        <f>'Products x speed'!E51</f>
        <v>0</v>
      </c>
      <c r="D47" s="294">
        <f>'Products x speed'!F51</f>
        <v>0</v>
      </c>
      <c r="E47" s="294">
        <f>'Products x speed'!G51</f>
        <v>3000</v>
      </c>
      <c r="F47" s="294">
        <f>'Products x speed'!H51</f>
        <v>0</v>
      </c>
      <c r="G47" s="294">
        <f>'Products x speed'!I51</f>
        <v>0</v>
      </c>
      <c r="H47" s="294">
        <f>'Products x speed'!J51</f>
        <v>0</v>
      </c>
      <c r="I47" s="294">
        <f>'Products x speed'!K51</f>
        <v>0</v>
      </c>
      <c r="J47" s="294">
        <f>'Products x speed'!L51</f>
        <v>0</v>
      </c>
      <c r="K47" s="294">
        <f>'Products x speed'!M51</f>
        <v>0</v>
      </c>
      <c r="L47" s="294">
        <f>'Products x speed'!N51</f>
        <v>0</v>
      </c>
      <c r="M47" s="294">
        <f>'Products x speed'!O51</f>
        <v>0</v>
      </c>
      <c r="N47" s="294">
        <f>'Products x speed'!P51</f>
        <v>0</v>
      </c>
      <c r="P47" s="295" t="str">
        <f>P35</f>
        <v>Total volume</v>
      </c>
      <c r="Q47" s="294">
        <f>'Products x speed'!E68+'Products x speed'!E69</f>
        <v>0</v>
      </c>
      <c r="R47" s="294">
        <f>'Products x speed'!F68+'Products x speed'!F69</f>
        <v>7</v>
      </c>
      <c r="S47" s="294">
        <f>'Products x speed'!G68+'Products x speed'!G69</f>
        <v>13000</v>
      </c>
      <c r="T47" s="294">
        <f>'Products x speed'!H68+'Products x speed'!H69</f>
        <v>0</v>
      </c>
      <c r="U47" s="294">
        <f>'Products x speed'!I68+'Products x speed'!I69</f>
        <v>0</v>
      </c>
      <c r="V47" s="294">
        <f>'Products x speed'!J68+'Products x speed'!J69</f>
        <v>0</v>
      </c>
      <c r="W47" s="294">
        <f>'Products x speed'!K68+'Products x speed'!K69</f>
        <v>0</v>
      </c>
      <c r="X47" s="294">
        <f>'Products x speed'!L68+'Products x speed'!L69</f>
        <v>0</v>
      </c>
      <c r="Y47" s="294">
        <f>'Products x speed'!M68+'Products x speed'!M69</f>
        <v>0</v>
      </c>
      <c r="Z47" s="294">
        <f>'Products x speed'!N68+'Products x speed'!N69</f>
        <v>0</v>
      </c>
      <c r="AA47" s="294">
        <f>'Products x speed'!O68+'Products x speed'!O69</f>
        <v>0</v>
      </c>
      <c r="AB47" s="294">
        <f>'Products x speed'!P68+'Products x speed'!P69</f>
        <v>0</v>
      </c>
    </row>
    <row r="48" spans="2:31">
      <c r="B48" s="598" t="str">
        <f>B36</f>
        <v>Volume QSFP28</v>
      </c>
      <c r="C48" s="502">
        <f t="shared" ref="C48:L48" si="26">C47-C49</f>
        <v>0</v>
      </c>
      <c r="D48" s="502">
        <f t="shared" si="26"/>
        <v>0</v>
      </c>
      <c r="E48" s="502">
        <f t="shared" si="26"/>
        <v>3000</v>
      </c>
      <c r="F48" s="502">
        <f t="shared" si="26"/>
        <v>0</v>
      </c>
      <c r="G48" s="502">
        <f t="shared" si="26"/>
        <v>0</v>
      </c>
      <c r="H48" s="502">
        <f t="shared" si="26"/>
        <v>0</v>
      </c>
      <c r="I48" s="502">
        <f t="shared" si="26"/>
        <v>0</v>
      </c>
      <c r="J48" s="502">
        <f t="shared" si="26"/>
        <v>0</v>
      </c>
      <c r="K48" s="502">
        <f t="shared" si="26"/>
        <v>0</v>
      </c>
      <c r="L48" s="502">
        <f t="shared" si="26"/>
        <v>0</v>
      </c>
      <c r="M48" s="502">
        <f t="shared" ref="M48:N48" si="27">M47-M49</f>
        <v>0</v>
      </c>
      <c r="N48" s="502">
        <f t="shared" si="27"/>
        <v>0</v>
      </c>
      <c r="P48" s="598" t="str">
        <f>P36</f>
        <v>Volume all other</v>
      </c>
      <c r="Q48" s="502">
        <f t="shared" ref="Q48:Z48" si="28">Q47-Q49</f>
        <v>0</v>
      </c>
      <c r="R48" s="502">
        <f t="shared" si="28"/>
        <v>7</v>
      </c>
      <c r="S48" s="502">
        <f t="shared" si="28"/>
        <v>13000</v>
      </c>
      <c r="T48" s="502">
        <f t="shared" si="28"/>
        <v>0</v>
      </c>
      <c r="U48" s="502">
        <f t="shared" si="28"/>
        <v>0</v>
      </c>
      <c r="V48" s="502">
        <f t="shared" si="28"/>
        <v>0</v>
      </c>
      <c r="W48" s="502">
        <f t="shared" si="28"/>
        <v>0</v>
      </c>
      <c r="X48" s="502">
        <f t="shared" si="28"/>
        <v>0</v>
      </c>
      <c r="Y48" s="502">
        <f t="shared" si="28"/>
        <v>0</v>
      </c>
      <c r="Z48" s="502">
        <f t="shared" si="28"/>
        <v>0</v>
      </c>
      <c r="AA48" s="502">
        <f t="shared" ref="AA48:AB48" si="29">AA47-AA49</f>
        <v>0</v>
      </c>
      <c r="AB48" s="502">
        <f t="shared" si="29"/>
        <v>0</v>
      </c>
      <c r="AD48" s="44"/>
      <c r="AE48" s="44"/>
    </row>
    <row r="49" spans="2:31">
      <c r="B49" s="598" t="str">
        <f>B37</f>
        <v>Volume SFP112</v>
      </c>
      <c r="C49" s="502">
        <f t="shared" ref="C49:L49" si="30">C47*C50</f>
        <v>0</v>
      </c>
      <c r="D49" s="502">
        <f t="shared" si="30"/>
        <v>0</v>
      </c>
      <c r="E49" s="502">
        <f t="shared" si="30"/>
        <v>0</v>
      </c>
      <c r="F49" s="502">
        <f t="shared" si="30"/>
        <v>0</v>
      </c>
      <c r="G49" s="502">
        <f t="shared" si="30"/>
        <v>0</v>
      </c>
      <c r="H49" s="502">
        <f t="shared" si="30"/>
        <v>0</v>
      </c>
      <c r="I49" s="502">
        <f t="shared" si="30"/>
        <v>0</v>
      </c>
      <c r="J49" s="502">
        <f t="shared" si="30"/>
        <v>0</v>
      </c>
      <c r="K49" s="502">
        <f t="shared" si="30"/>
        <v>0</v>
      </c>
      <c r="L49" s="502">
        <f t="shared" si="30"/>
        <v>0</v>
      </c>
      <c r="M49" s="502">
        <f t="shared" ref="M49:N49" si="31">M47*M50</f>
        <v>0</v>
      </c>
      <c r="N49" s="502">
        <f t="shared" si="31"/>
        <v>0</v>
      </c>
      <c r="P49" s="598" t="str">
        <f>P37</f>
        <v>Volume QSFP112</v>
      </c>
      <c r="Q49" s="502">
        <f t="shared" ref="Q49:Z49" si="32">Q47*Q50</f>
        <v>0</v>
      </c>
      <c r="R49" s="502">
        <f t="shared" si="32"/>
        <v>0</v>
      </c>
      <c r="S49" s="502">
        <f t="shared" si="32"/>
        <v>0</v>
      </c>
      <c r="T49" s="502">
        <f t="shared" si="32"/>
        <v>0</v>
      </c>
      <c r="U49" s="502">
        <f t="shared" si="32"/>
        <v>0</v>
      </c>
      <c r="V49" s="502">
        <f t="shared" si="32"/>
        <v>0</v>
      </c>
      <c r="W49" s="502">
        <f t="shared" si="32"/>
        <v>0</v>
      </c>
      <c r="X49" s="502">
        <f t="shared" si="32"/>
        <v>0</v>
      </c>
      <c r="Y49" s="502">
        <f t="shared" si="32"/>
        <v>0</v>
      </c>
      <c r="Z49" s="502">
        <f t="shared" si="32"/>
        <v>0</v>
      </c>
      <c r="AA49" s="502">
        <f t="shared" ref="AA49:AB49" si="33">AA47*AA50</f>
        <v>0</v>
      </c>
      <c r="AB49" s="502">
        <f t="shared" si="33"/>
        <v>0</v>
      </c>
      <c r="AD49" s="44"/>
      <c r="AE49" s="44"/>
    </row>
    <row r="50" spans="2:31">
      <c r="B50" s="599" t="str">
        <f>B38</f>
        <v>Percent SFP112</v>
      </c>
      <c r="C50" s="587">
        <v>0</v>
      </c>
      <c r="D50" s="587">
        <v>0</v>
      </c>
      <c r="E50" s="587">
        <v>0</v>
      </c>
      <c r="F50" s="587">
        <v>0</v>
      </c>
      <c r="G50" s="587">
        <v>0</v>
      </c>
      <c r="H50" s="587">
        <v>0</v>
      </c>
      <c r="I50" s="587"/>
      <c r="J50" s="587"/>
      <c r="K50" s="587"/>
      <c r="L50" s="587"/>
      <c r="M50" s="587"/>
      <c r="N50" s="695"/>
      <c r="P50" s="599" t="str">
        <f>P38</f>
        <v>Percent QSFP112</v>
      </c>
      <c r="Q50" s="587">
        <v>0</v>
      </c>
      <c r="R50" s="587">
        <v>0</v>
      </c>
      <c r="S50" s="587">
        <v>0</v>
      </c>
      <c r="T50" s="587">
        <v>0</v>
      </c>
      <c r="U50" s="587">
        <v>0</v>
      </c>
      <c r="V50" s="587">
        <v>0</v>
      </c>
      <c r="W50" s="587">
        <f>W38</f>
        <v>0</v>
      </c>
      <c r="X50" s="587"/>
      <c r="Y50" s="587"/>
      <c r="Z50" s="587"/>
      <c r="AA50" s="587"/>
      <c r="AB50" s="587"/>
      <c r="AD50" s="44"/>
      <c r="AE50" s="44"/>
    </row>
    <row r="52" spans="2:31">
      <c r="B52" s="73" t="s">
        <v>401</v>
      </c>
      <c r="C52" s="588">
        <v>2016</v>
      </c>
      <c r="D52" s="588">
        <v>2017</v>
      </c>
      <c r="E52" s="588">
        <v>2018</v>
      </c>
      <c r="F52" s="588">
        <v>2019</v>
      </c>
      <c r="G52" s="588">
        <v>2020</v>
      </c>
      <c r="H52" s="588">
        <v>2021</v>
      </c>
      <c r="I52" s="588">
        <v>2022</v>
      </c>
      <c r="J52" s="588">
        <v>2023</v>
      </c>
      <c r="K52" s="588">
        <v>2024</v>
      </c>
      <c r="L52" s="588">
        <v>2025</v>
      </c>
      <c r="M52" s="588">
        <v>2026</v>
      </c>
      <c r="N52" s="588">
        <v>2027</v>
      </c>
      <c r="P52" s="73" t="s">
        <v>409</v>
      </c>
      <c r="Q52" s="588">
        <v>2016</v>
      </c>
      <c r="R52" s="588">
        <v>2017</v>
      </c>
      <c r="S52" s="588">
        <v>2018</v>
      </c>
      <c r="T52" s="588">
        <v>2019</v>
      </c>
      <c r="U52" s="588">
        <v>2020</v>
      </c>
      <c r="V52" s="588">
        <v>2021</v>
      </c>
      <c r="W52" s="588">
        <v>2022</v>
      </c>
      <c r="X52" s="588">
        <v>2023</v>
      </c>
      <c r="Y52" s="588">
        <v>2024</v>
      </c>
      <c r="Z52" s="588">
        <v>2025</v>
      </c>
      <c r="AA52" s="588">
        <v>2026</v>
      </c>
      <c r="AB52" s="588">
        <v>2027</v>
      </c>
      <c r="AD52" s="44"/>
      <c r="AE52" s="44"/>
    </row>
    <row r="53" spans="2:31">
      <c r="B53" s="295" t="str">
        <f>B35</f>
        <v>Total volume</v>
      </c>
      <c r="C53" s="294">
        <f>'Products x speed'!E54</f>
        <v>90443</v>
      </c>
      <c r="D53" s="294">
        <f>'Products x speed'!F54</f>
        <v>362352</v>
      </c>
      <c r="E53" s="294">
        <f>'Products x speed'!G54</f>
        <v>397891.1176470588</v>
      </c>
      <c r="F53" s="294">
        <f>'Products x speed'!H54</f>
        <v>0</v>
      </c>
      <c r="G53" s="294">
        <f>'Products x speed'!I54</f>
        <v>0</v>
      </c>
      <c r="H53" s="294">
        <f>'Products x speed'!J54</f>
        <v>0</v>
      </c>
      <c r="I53" s="294">
        <f>'Products x speed'!K54</f>
        <v>0</v>
      </c>
      <c r="J53" s="294">
        <f>'Products x speed'!L54</f>
        <v>0</v>
      </c>
      <c r="K53" s="294">
        <f>'Products x speed'!M54</f>
        <v>0</v>
      </c>
      <c r="L53" s="294">
        <f>'Products x speed'!N54</f>
        <v>0</v>
      </c>
      <c r="M53" s="294">
        <f>'Products x speed'!O54</f>
        <v>0</v>
      </c>
      <c r="N53" s="294">
        <f>'Products x speed'!P54</f>
        <v>0</v>
      </c>
      <c r="P53" s="295" t="str">
        <f>P35</f>
        <v>Total volume</v>
      </c>
      <c r="Q53" s="294">
        <f>'Products x speed'!E70</f>
        <v>0</v>
      </c>
      <c r="R53" s="294">
        <f>'Products x speed'!F70</f>
        <v>82</v>
      </c>
      <c r="S53" s="294">
        <f>'Products x speed'!G70</f>
        <v>1000</v>
      </c>
      <c r="T53" s="294">
        <f>'Products x speed'!H70</f>
        <v>0</v>
      </c>
      <c r="U53" s="294">
        <f>'Products x speed'!I70</f>
        <v>0</v>
      </c>
      <c r="V53" s="294">
        <f>'Products x speed'!J70</f>
        <v>0</v>
      </c>
      <c r="W53" s="294">
        <f>'Products x speed'!K70</f>
        <v>0</v>
      </c>
      <c r="X53" s="294">
        <f>'Products x speed'!L70</f>
        <v>0</v>
      </c>
      <c r="Y53" s="294">
        <f>'Products x speed'!M70</f>
        <v>0</v>
      </c>
      <c r="Z53" s="294">
        <f>'Products x speed'!N70</f>
        <v>0</v>
      </c>
      <c r="AA53" s="294">
        <f>'Products x speed'!O70</f>
        <v>0</v>
      </c>
      <c r="AB53" s="294">
        <f>'Products x speed'!P70</f>
        <v>0</v>
      </c>
    </row>
    <row r="54" spans="2:31">
      <c r="B54" s="598" t="str">
        <f>B36</f>
        <v>Volume QSFP28</v>
      </c>
      <c r="C54" s="502">
        <f t="shared" ref="C54:L54" si="34">C53-C55</f>
        <v>90443</v>
      </c>
      <c r="D54" s="502">
        <f t="shared" si="34"/>
        <v>362352</v>
      </c>
      <c r="E54" s="502">
        <f t="shared" si="34"/>
        <v>397891.1176470588</v>
      </c>
      <c r="F54" s="502">
        <f t="shared" si="34"/>
        <v>0</v>
      </c>
      <c r="G54" s="502">
        <f t="shared" si="34"/>
        <v>0</v>
      </c>
      <c r="H54" s="502">
        <f t="shared" si="34"/>
        <v>0</v>
      </c>
      <c r="I54" s="502">
        <f t="shared" si="34"/>
        <v>0</v>
      </c>
      <c r="J54" s="502">
        <f t="shared" si="34"/>
        <v>0</v>
      </c>
      <c r="K54" s="502">
        <f t="shared" si="34"/>
        <v>0</v>
      </c>
      <c r="L54" s="502">
        <f t="shared" si="34"/>
        <v>0</v>
      </c>
      <c r="M54" s="502">
        <f t="shared" ref="M54:N54" si="35">M53-M55</f>
        <v>0</v>
      </c>
      <c r="N54" s="502">
        <f t="shared" si="35"/>
        <v>0</v>
      </c>
      <c r="P54" s="598" t="str">
        <f>P36</f>
        <v>Volume all other</v>
      </c>
      <c r="Q54" s="502">
        <f t="shared" ref="Q54:Z54" si="36">Q53-Q55</f>
        <v>0</v>
      </c>
      <c r="R54" s="502">
        <f t="shared" si="36"/>
        <v>82</v>
      </c>
      <c r="S54" s="502">
        <f t="shared" si="36"/>
        <v>1000</v>
      </c>
      <c r="T54" s="502">
        <f t="shared" si="36"/>
        <v>0</v>
      </c>
      <c r="U54" s="502">
        <f t="shared" si="36"/>
        <v>0</v>
      </c>
      <c r="V54" s="502">
        <f t="shared" si="36"/>
        <v>0</v>
      </c>
      <c r="W54" s="502">
        <f t="shared" si="36"/>
        <v>0</v>
      </c>
      <c r="X54" s="502">
        <f t="shared" si="36"/>
        <v>0</v>
      </c>
      <c r="Y54" s="502">
        <f t="shared" si="36"/>
        <v>0</v>
      </c>
      <c r="Z54" s="502">
        <f t="shared" si="36"/>
        <v>0</v>
      </c>
      <c r="AA54" s="502">
        <f t="shared" ref="AA54:AB54" si="37">AA53-AA55</f>
        <v>0</v>
      </c>
      <c r="AB54" s="502">
        <f t="shared" si="37"/>
        <v>0</v>
      </c>
      <c r="AD54" s="44"/>
      <c r="AE54" s="44"/>
    </row>
    <row r="55" spans="2:31">
      <c r="B55" s="598" t="str">
        <f>B37</f>
        <v>Volume SFP112</v>
      </c>
      <c r="C55" s="502">
        <f t="shared" ref="C55:L55" si="38">C53*C56</f>
        <v>0</v>
      </c>
      <c r="D55" s="502">
        <f t="shared" si="38"/>
        <v>0</v>
      </c>
      <c r="E55" s="502">
        <f t="shared" si="38"/>
        <v>0</v>
      </c>
      <c r="F55" s="502">
        <f t="shared" si="38"/>
        <v>0</v>
      </c>
      <c r="G55" s="502">
        <f t="shared" si="38"/>
        <v>0</v>
      </c>
      <c r="H55" s="502">
        <f t="shared" si="38"/>
        <v>0</v>
      </c>
      <c r="I55" s="502">
        <f t="shared" si="38"/>
        <v>0</v>
      </c>
      <c r="J55" s="502">
        <f t="shared" si="38"/>
        <v>0</v>
      </c>
      <c r="K55" s="502">
        <f t="shared" si="38"/>
        <v>0</v>
      </c>
      <c r="L55" s="502">
        <f t="shared" si="38"/>
        <v>0</v>
      </c>
      <c r="M55" s="502">
        <f t="shared" ref="M55:N55" si="39">M53*M56</f>
        <v>0</v>
      </c>
      <c r="N55" s="502">
        <f t="shared" si="39"/>
        <v>0</v>
      </c>
      <c r="P55" s="598" t="str">
        <f>P37</f>
        <v>Volume QSFP112</v>
      </c>
      <c r="Q55" s="502">
        <f t="shared" ref="Q55:Z55" si="40">Q53*Q56</f>
        <v>0</v>
      </c>
      <c r="R55" s="502">
        <f t="shared" si="40"/>
        <v>0</v>
      </c>
      <c r="S55" s="502">
        <f t="shared" si="40"/>
        <v>0</v>
      </c>
      <c r="T55" s="502">
        <f t="shared" si="40"/>
        <v>0</v>
      </c>
      <c r="U55" s="502">
        <f t="shared" si="40"/>
        <v>0</v>
      </c>
      <c r="V55" s="502">
        <f t="shared" si="40"/>
        <v>0</v>
      </c>
      <c r="W55" s="502">
        <f t="shared" si="40"/>
        <v>0</v>
      </c>
      <c r="X55" s="502">
        <f t="shared" si="40"/>
        <v>0</v>
      </c>
      <c r="Y55" s="502">
        <f t="shared" si="40"/>
        <v>0</v>
      </c>
      <c r="Z55" s="502">
        <f t="shared" si="40"/>
        <v>0</v>
      </c>
      <c r="AA55" s="502">
        <f t="shared" ref="AA55:AB55" si="41">AA53*AA56</f>
        <v>0</v>
      </c>
      <c r="AB55" s="502">
        <f t="shared" si="41"/>
        <v>0</v>
      </c>
      <c r="AD55" s="44"/>
      <c r="AE55" s="44"/>
    </row>
    <row r="56" spans="2:31">
      <c r="B56" s="599" t="str">
        <f>B38</f>
        <v>Percent SFP112</v>
      </c>
      <c r="C56" s="587">
        <v>0</v>
      </c>
      <c r="D56" s="587">
        <v>0</v>
      </c>
      <c r="E56" s="587">
        <v>0</v>
      </c>
      <c r="F56" s="587">
        <v>0</v>
      </c>
      <c r="G56" s="587">
        <v>0</v>
      </c>
      <c r="H56" s="587">
        <v>0</v>
      </c>
      <c r="I56" s="587"/>
      <c r="J56" s="587"/>
      <c r="K56" s="587"/>
      <c r="L56" s="587"/>
      <c r="M56" s="587"/>
      <c r="N56" s="587"/>
      <c r="P56" s="599" t="str">
        <f>P38</f>
        <v>Percent QSFP112</v>
      </c>
      <c r="Q56" s="587">
        <v>0</v>
      </c>
      <c r="R56" s="587">
        <v>0</v>
      </c>
      <c r="S56" s="587">
        <v>0</v>
      </c>
      <c r="T56" s="587">
        <v>0</v>
      </c>
      <c r="U56" s="587">
        <v>0</v>
      </c>
      <c r="V56" s="587">
        <v>0</v>
      </c>
      <c r="W56" s="587">
        <f>W38</f>
        <v>0</v>
      </c>
      <c r="X56" s="587"/>
      <c r="Y56" s="587"/>
      <c r="Z56" s="587"/>
      <c r="AA56" s="587"/>
      <c r="AB56" s="587"/>
      <c r="AD56" s="44"/>
      <c r="AE56" s="44"/>
    </row>
  </sheetData>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X188"/>
  <sheetViews>
    <sheetView showGridLines="0" zoomScale="60" zoomScaleNormal="60" zoomScalePageLayoutView="60" workbookViewId="0"/>
  </sheetViews>
  <sheetFormatPr defaultColWidth="8.77734375" defaultRowHeight="13.8"/>
  <cols>
    <col min="1" max="1" width="4.44140625" style="113" customWidth="1"/>
    <col min="2" max="2" width="29.44140625" style="113" customWidth="1"/>
    <col min="3" max="3" width="11.21875" style="113" customWidth="1"/>
    <col min="4" max="4" width="14.77734375" style="113" customWidth="1"/>
    <col min="5" max="8" width="11.21875" style="113" customWidth="1"/>
    <col min="9" max="9" width="12.44140625" style="113" customWidth="1"/>
    <col min="10" max="14" width="12.21875" style="113" customWidth="1"/>
    <col min="15" max="16" width="11.77734375" style="113" customWidth="1"/>
    <col min="17" max="22" width="14.77734375" style="113" customWidth="1"/>
    <col min="23" max="24" width="11" style="113" bestFit="1" customWidth="1"/>
    <col min="25" max="28" width="9" style="113" bestFit="1" customWidth="1"/>
    <col min="29" max="16384" width="8.77734375" style="113"/>
  </cols>
  <sheetData>
    <row r="1" spans="1:24">
      <c r="A1" s="128"/>
      <c r="B1" s="128"/>
      <c r="C1" s="128"/>
      <c r="D1" s="128"/>
      <c r="E1" s="128"/>
      <c r="F1" s="128"/>
      <c r="G1" s="128"/>
      <c r="H1" s="128"/>
      <c r="I1" s="128"/>
      <c r="J1" s="128"/>
      <c r="K1" s="128"/>
      <c r="L1" s="128"/>
      <c r="M1" s="128"/>
      <c r="N1" s="128"/>
      <c r="O1" s="128"/>
      <c r="P1" s="128"/>
      <c r="Q1" s="128"/>
      <c r="R1" s="128"/>
    </row>
    <row r="2" spans="1:24" ht="18">
      <c r="A2" s="56"/>
      <c r="B2" s="6" t="str">
        <f>Introduction!$B$2</f>
        <v>LightCounting Ethernet Transceivers Forecast</v>
      </c>
      <c r="C2" s="128"/>
      <c r="D2" s="128"/>
      <c r="E2" s="128"/>
      <c r="F2" s="128"/>
      <c r="G2" s="128"/>
      <c r="H2" s="128"/>
      <c r="I2" s="128"/>
      <c r="J2" s="128"/>
      <c r="K2" s="128"/>
      <c r="L2" s="128"/>
      <c r="M2" s="128"/>
      <c r="N2" s="128"/>
      <c r="O2" s="128"/>
      <c r="P2" s="128"/>
      <c r="Q2" s="128"/>
      <c r="R2" s="128"/>
    </row>
    <row r="3" spans="1:24" ht="15.6">
      <c r="A3" s="128"/>
      <c r="B3" s="37" t="str">
        <f>Introduction!B3</f>
        <v>March 2022 - sample spreadsheet</v>
      </c>
      <c r="C3" s="128"/>
      <c r="D3" s="128"/>
      <c r="E3" s="128"/>
      <c r="F3" s="128"/>
      <c r="G3" s="128"/>
      <c r="H3" s="128"/>
      <c r="I3" s="128"/>
      <c r="J3" s="128"/>
      <c r="K3" s="128"/>
      <c r="L3" s="128"/>
      <c r="M3" s="128"/>
      <c r="N3" s="128"/>
      <c r="O3" s="128"/>
      <c r="P3" s="128"/>
      <c r="Q3" s="128"/>
      <c r="R3" s="128"/>
    </row>
    <row r="4" spans="1:24" ht="18">
      <c r="A4" s="56"/>
      <c r="B4" s="6" t="s">
        <v>154</v>
      </c>
      <c r="C4" s="128"/>
      <c r="D4" s="128"/>
      <c r="E4" s="128"/>
      <c r="F4" s="131"/>
      <c r="G4" s="127"/>
      <c r="H4" s="127"/>
      <c r="I4" s="127"/>
      <c r="J4" s="127"/>
      <c r="K4" s="127"/>
      <c r="L4" s="127"/>
      <c r="M4" s="127"/>
      <c r="N4" s="127"/>
      <c r="O4" s="127"/>
      <c r="P4" s="127"/>
      <c r="Q4" s="127"/>
      <c r="R4" s="128"/>
      <c r="S4" s="116"/>
      <c r="T4" s="116"/>
      <c r="U4" s="116"/>
      <c r="V4" s="116"/>
      <c r="W4" s="116"/>
      <c r="X4" s="116"/>
    </row>
    <row r="5" spans="1:24">
      <c r="A5" s="114"/>
      <c r="B5" s="114"/>
      <c r="C5" s="115"/>
      <c r="D5" s="114"/>
      <c r="E5" s="114"/>
      <c r="F5" s="114"/>
      <c r="G5" s="116"/>
      <c r="H5" s="116"/>
      <c r="I5" s="116"/>
      <c r="J5" s="116"/>
      <c r="K5" s="116"/>
      <c r="L5" s="116"/>
      <c r="M5" s="116"/>
      <c r="N5" s="116"/>
      <c r="O5" s="116"/>
      <c r="P5" s="116"/>
      <c r="Q5" s="116"/>
      <c r="R5" s="116"/>
      <c r="S5" s="116"/>
      <c r="T5" s="116"/>
      <c r="U5" s="116"/>
      <c r="V5" s="116"/>
      <c r="W5" s="116"/>
      <c r="X5" s="116"/>
    </row>
    <row r="6" spans="1:24" ht="17.25" customHeight="1">
      <c r="B6" s="71"/>
    </row>
    <row r="34" spans="3:22" ht="15.6">
      <c r="D34" s="186" t="s">
        <v>67</v>
      </c>
      <c r="E34" s="117">
        <v>2010</v>
      </c>
      <c r="F34" s="118">
        <v>2011</v>
      </c>
      <c r="G34" s="118">
        <v>2012</v>
      </c>
      <c r="H34" s="118">
        <v>2013</v>
      </c>
      <c r="I34" s="118">
        <v>2014</v>
      </c>
      <c r="J34" s="118">
        <v>2015</v>
      </c>
      <c r="K34" s="118">
        <v>2016</v>
      </c>
      <c r="L34" s="118">
        <v>2017</v>
      </c>
      <c r="M34" s="118">
        <v>2018</v>
      </c>
      <c r="N34" s="118">
        <v>2019</v>
      </c>
      <c r="O34" s="118">
        <v>2020</v>
      </c>
      <c r="P34" s="118">
        <v>2021</v>
      </c>
      <c r="Q34" s="118">
        <v>2022</v>
      </c>
      <c r="R34" s="118">
        <v>2023</v>
      </c>
      <c r="S34" s="118">
        <v>2024</v>
      </c>
      <c r="T34" s="118">
        <v>2025</v>
      </c>
      <c r="U34" s="118">
        <v>2026</v>
      </c>
      <c r="V34" s="118">
        <v>2027</v>
      </c>
    </row>
    <row r="35" spans="3:22">
      <c r="C35" s="416">
        <v>1</v>
      </c>
      <c r="D35" s="601" t="s">
        <v>269</v>
      </c>
      <c r="E35" s="557">
        <v>22.693702827821532</v>
      </c>
      <c r="F35" s="557">
        <v>19.293096563473824</v>
      </c>
      <c r="G35" s="557">
        <v>18.103114071743498</v>
      </c>
      <c r="H35" s="557">
        <v>16.178886053917275</v>
      </c>
      <c r="I35" s="557">
        <v>14.755270803079455</v>
      </c>
      <c r="J35" s="557">
        <v>14.157915068774409</v>
      </c>
      <c r="K35" s="170">
        <f>IF(Summary!C119=0,"",((10^6*Summary!C137)/($C35*Summary!C119)))</f>
        <v>11.362900504713087</v>
      </c>
      <c r="L35" s="170">
        <f>IF(Summary!D119=0,"",((10^6*Summary!D137)/($C35*Summary!D119)))</f>
        <v>9.8128791971601554</v>
      </c>
      <c r="M35" s="301">
        <f>IF(Summary!E119=0,"",((10^6*Summary!E137)/($C35*Summary!E119)))</f>
        <v>9.1996642661233263</v>
      </c>
      <c r="N35" s="301" t="str">
        <f>IF(Summary!F119=0,"",((10^6*Summary!F137)/($C35*Summary!F119)))</f>
        <v/>
      </c>
      <c r="O35" s="301" t="str">
        <f>IF(Summary!G119=0,"",((10^6*Summary!G137)/($C35*Summary!G119)))</f>
        <v/>
      </c>
      <c r="P35" s="301" t="str">
        <f>IF(Summary!H119=0,"",((10^6*Summary!H137)/($C35*Summary!H119)))</f>
        <v/>
      </c>
      <c r="Q35" s="301" t="str">
        <f>IF(Summary!I119=0,"",((10^6*Summary!I137)/($C35*Summary!I119)))</f>
        <v/>
      </c>
      <c r="R35" s="301" t="str">
        <f>IF(Summary!J119=0,"",((10^6*Summary!J137)/($C35*Summary!J119)))</f>
        <v/>
      </c>
      <c r="S35" s="301" t="str">
        <f>IF(Summary!K119=0,"",((10^6*Summary!K137)/($C35*Summary!K119)))</f>
        <v/>
      </c>
      <c r="T35" s="301" t="str">
        <f>IF(Summary!L119=0,"",((10^6*Summary!L137)/($C35*Summary!L119)))</f>
        <v/>
      </c>
      <c r="U35" s="301" t="str">
        <f>IF(Summary!M119=0,"",((10^6*Summary!M137)/($C35*Summary!M119)))</f>
        <v/>
      </c>
      <c r="V35" s="301" t="str">
        <f>IF(Summary!N119=0,"",((10^6*Summary!N137)/($C35*Summary!N119)))</f>
        <v/>
      </c>
    </row>
    <row r="36" spans="3:22">
      <c r="C36" s="416">
        <v>10</v>
      </c>
      <c r="D36" s="417" t="s">
        <v>262</v>
      </c>
      <c r="E36" s="557">
        <v>9.8825247570260242</v>
      </c>
      <c r="F36" s="557">
        <v>7.5412691899358517</v>
      </c>
      <c r="G36" s="557">
        <v>6.7189149239794101</v>
      </c>
      <c r="H36" s="557">
        <v>5.2861169818853488</v>
      </c>
      <c r="I36" s="557">
        <v>4.5280339113800467</v>
      </c>
      <c r="J36" s="557">
        <v>3.897031950093071</v>
      </c>
      <c r="K36" s="170">
        <f>IF(Summary!C120=0,"",((10^6*Summary!C138)/($C36*Summary!C120)))</f>
        <v>3.1803504158563904</v>
      </c>
      <c r="L36" s="170">
        <f>IF(Summary!D120=0,"",((10^6*Summary!D138)/($C36*Summary!D120)))</f>
        <v>2.439730741307288</v>
      </c>
      <c r="M36" s="301">
        <f>IF(Summary!E120=0,"",((10^6*Summary!E138)/($C36*Summary!E120)))</f>
        <v>2.1411624078637841</v>
      </c>
      <c r="N36" s="301" t="str">
        <f>IF(Summary!F120=0,"",((10^6*Summary!F138)/($C36*Summary!F120)))</f>
        <v/>
      </c>
      <c r="O36" s="301" t="str">
        <f>IF(Summary!G120=0,"",((10^6*Summary!G138)/($C36*Summary!G120)))</f>
        <v/>
      </c>
      <c r="P36" s="301" t="str">
        <f>IF(Summary!H120=0,"",((10^6*Summary!H138)/($C36*Summary!H120)))</f>
        <v/>
      </c>
      <c r="Q36" s="301" t="str">
        <f>IF(Summary!I120=0,"",((10^6*Summary!I138)/($C36*Summary!I120)))</f>
        <v/>
      </c>
      <c r="R36" s="301" t="str">
        <f>IF(Summary!J120=0,"",((10^6*Summary!J138)/($C36*Summary!J120)))</f>
        <v/>
      </c>
      <c r="S36" s="301" t="str">
        <f>IF(Summary!K120=0,"",((10^6*Summary!K138)/($C36*Summary!K120)))</f>
        <v/>
      </c>
      <c r="T36" s="301" t="str">
        <f>IF(Summary!L120=0,"",((10^6*Summary!L138)/($C36*Summary!L120)))</f>
        <v/>
      </c>
      <c r="U36" s="301" t="str">
        <f>IF(Summary!M120=0,"",((10^6*Summary!M138)/($C36*Summary!M120)))</f>
        <v/>
      </c>
      <c r="V36" s="301" t="str">
        <f>IF(Summary!N120=0,"",((10^6*Summary!N138)/($C36*Summary!N120)))</f>
        <v/>
      </c>
    </row>
    <row r="37" spans="3:22">
      <c r="C37" s="416">
        <v>25</v>
      </c>
      <c r="D37" s="417" t="s">
        <v>263</v>
      </c>
      <c r="E37" s="557"/>
      <c r="F37" s="557"/>
      <c r="G37" s="557"/>
      <c r="H37" s="557"/>
      <c r="I37" s="557"/>
      <c r="J37" s="557"/>
      <c r="K37" s="170">
        <f>IF(Summary!C121=0,"",((10^6*Summary!C139)/($C37*Summary!C121)))</f>
        <v>11.671989054215837</v>
      </c>
      <c r="L37" s="170">
        <f>IF(Summary!D121=0,"",((10^6*Summary!D139)/($C37*Summary!D121)))</f>
        <v>6.7722873832058497</v>
      </c>
      <c r="M37" s="301">
        <f>IF(Summary!E121=0,"",((10^6*Summary!E139)/($C37*Summary!E121)))</f>
        <v>4.1399047739208452</v>
      </c>
      <c r="N37" s="301" t="str">
        <f>IF(Summary!F121=0,"",((10^6*Summary!F139)/($C37*Summary!F121)))</f>
        <v/>
      </c>
      <c r="O37" s="301" t="str">
        <f>IF(Summary!G121=0,"",((10^6*Summary!G139)/($C37*Summary!G121)))</f>
        <v/>
      </c>
      <c r="P37" s="301" t="str">
        <f>IF(Summary!H121=0,"",((10^6*Summary!H139)/($C37*Summary!H121)))</f>
        <v/>
      </c>
      <c r="Q37" s="301" t="str">
        <f>IF(Summary!I121=0,"",((10^6*Summary!I139)/($C37*Summary!I121)))</f>
        <v/>
      </c>
      <c r="R37" s="301" t="str">
        <f>IF(Summary!J121=0,"",((10^6*Summary!J139)/($C37*Summary!J121)))</f>
        <v/>
      </c>
      <c r="S37" s="301" t="str">
        <f>IF(Summary!K121=0,"",((10^6*Summary!K139)/($C37*Summary!K121)))</f>
        <v/>
      </c>
      <c r="T37" s="301" t="str">
        <f>IF(Summary!L121=0,"",((10^6*Summary!L139)/($C37*Summary!L121)))</f>
        <v/>
      </c>
      <c r="U37" s="301" t="str">
        <f>IF(Summary!M121=0,"",((10^6*Summary!M139)/($C37*Summary!M121)))</f>
        <v/>
      </c>
      <c r="V37" s="301" t="str">
        <f>IF(Summary!N121=0,"",((10^6*Summary!N139)/($C37*Summary!N121)))</f>
        <v/>
      </c>
    </row>
    <row r="38" spans="3:22">
      <c r="C38" s="416">
        <v>40</v>
      </c>
      <c r="D38" s="120" t="s">
        <v>264</v>
      </c>
      <c r="E38" s="557">
        <v>46.557521763382681</v>
      </c>
      <c r="F38" s="557">
        <v>11.176711108652357</v>
      </c>
      <c r="G38" s="557">
        <v>12.879950952573868</v>
      </c>
      <c r="H38" s="557">
        <v>11.167363674734627</v>
      </c>
      <c r="I38" s="557">
        <v>7.3590573700709259</v>
      </c>
      <c r="J38" s="557">
        <v>6.2327425657156015</v>
      </c>
      <c r="K38" s="170">
        <f>IF(Summary!C122=0,"",((10^6*Summary!C140)/($C38*Summary!C122)))</f>
        <v>6.2473515491273455</v>
      </c>
      <c r="L38" s="170">
        <f>IF(Summary!D122=0,"",((10^6*Summary!D140)/($C38*Summary!D122)))</f>
        <v>5.850414550912757</v>
      </c>
      <c r="M38" s="301">
        <f>IF(Summary!E122=0,"",((10^6*Summary!E140)/($C38*Summary!E122)))</f>
        <v>4.3533121656520768</v>
      </c>
      <c r="N38" s="301" t="str">
        <f>IF(Summary!F122=0,"",((10^6*Summary!F140)/($C38*Summary!F122)))</f>
        <v/>
      </c>
      <c r="O38" s="301" t="str">
        <f>IF(Summary!G122=0,"",((10^6*Summary!G140)/($C38*Summary!G122)))</f>
        <v/>
      </c>
      <c r="P38" s="301" t="str">
        <f>IF(Summary!H122=0,"",((10^6*Summary!H140)/($C38*Summary!H122)))</f>
        <v/>
      </c>
      <c r="Q38" s="301" t="str">
        <f>IF(Summary!I122=0,"",((10^6*Summary!I140)/($C38*Summary!I122)))</f>
        <v/>
      </c>
      <c r="R38" s="301" t="str">
        <f>IF(Summary!J122=0,"",((10^6*Summary!J140)/($C38*Summary!J122)))</f>
        <v/>
      </c>
      <c r="S38" s="301" t="str">
        <f>IF(Summary!K122=0,"",((10^6*Summary!K140)/($C38*Summary!K122)))</f>
        <v/>
      </c>
      <c r="T38" s="301" t="str">
        <f>IF(Summary!L122=0,"",((10^6*Summary!L140)/($C38*Summary!L122)))</f>
        <v/>
      </c>
      <c r="U38" s="301" t="str">
        <f>IF(Summary!W120=0,"",((10^6*Summary!W140)/($C38*Summary!W120)))</f>
        <v/>
      </c>
      <c r="V38" s="301" t="str">
        <f>IF(Summary!X120=0,"",((10^6*Summary!X140)/($C38*Summary!X120)))</f>
        <v/>
      </c>
    </row>
    <row r="39" spans="3:22">
      <c r="C39" s="416">
        <v>50</v>
      </c>
      <c r="D39" s="418" t="s">
        <v>265</v>
      </c>
      <c r="E39" s="557"/>
      <c r="F39" s="557"/>
      <c r="G39" s="557"/>
      <c r="H39" s="557"/>
      <c r="I39" s="557"/>
      <c r="J39" s="557"/>
      <c r="K39" s="170"/>
      <c r="L39" s="170"/>
      <c r="M39" s="301"/>
      <c r="N39" s="301" t="str">
        <f>IF(Summary!F123=0,"",((10^6*Summary!F141)/($C39*Summary!F123)))</f>
        <v/>
      </c>
      <c r="O39" s="301" t="str">
        <f>IF(Summary!G123=0,"",((10^6*Summary!G141)/($C39*Summary!G123)))</f>
        <v/>
      </c>
      <c r="P39" s="301" t="str">
        <f>IF(Summary!H123=0,"",((10^6*Summary!H141)/($C39*Summary!H123)))</f>
        <v/>
      </c>
      <c r="Q39" s="301" t="str">
        <f>IF(Summary!I123=0,"",((10^6*Summary!I141)/($C39*Summary!I123)))</f>
        <v/>
      </c>
      <c r="R39" s="301" t="str">
        <f>IF(Summary!J123=0,"",((10^6*Summary!J141)/($C39*Summary!J123)))</f>
        <v/>
      </c>
      <c r="S39" s="301" t="str">
        <f>IF(Summary!K123=0,"",((10^6*Summary!K141)/($C39*Summary!K123)))</f>
        <v/>
      </c>
      <c r="T39" s="301" t="str">
        <f>IF(Summary!L123=0,"",((10^6*Summary!L141)/($C39*Summary!L123)))</f>
        <v/>
      </c>
      <c r="U39" s="301" t="str">
        <f>IF(Summary!W123=0,"",((10^6*Summary!W141)/($C39*Summary!W123)))</f>
        <v/>
      </c>
      <c r="V39" s="301" t="str">
        <f>IF(Summary!X123=0,"",((10^6*Summary!X141)/($C39*Summary!X123)))</f>
        <v/>
      </c>
    </row>
    <row r="40" spans="3:22">
      <c r="C40" s="416">
        <v>100</v>
      </c>
      <c r="D40" s="120" t="s">
        <v>266</v>
      </c>
      <c r="E40" s="557">
        <v>262.22519083969468</v>
      </c>
      <c r="F40" s="557">
        <v>223.61202964182792</v>
      </c>
      <c r="G40" s="557">
        <v>118.45667534287716</v>
      </c>
      <c r="H40" s="557">
        <v>80.594856591909462</v>
      </c>
      <c r="I40" s="557">
        <v>55.871254639091049</v>
      </c>
      <c r="J40" s="557">
        <v>31.55152277583019</v>
      </c>
      <c r="K40" s="170">
        <f>IF(Summary!C124=0,"",((10^6*Summary!C142)/($C40*Summary!C124)))</f>
        <v>12.434155600788019</v>
      </c>
      <c r="L40" s="170">
        <f>IF(Summary!D124=0,"",((10^6*Summary!D142)/($C40*Summary!D124)))</f>
        <v>5.7399969875798753</v>
      </c>
      <c r="M40" s="301">
        <f>IF(Summary!E124=0,"",((10^6*Summary!E142)/($C40*Summary!E124)))</f>
        <v>3.4840774835874724</v>
      </c>
      <c r="N40" s="301" t="str">
        <f>IF(Summary!F124=0,"",((10^6*Summary!F142)/($C40*Summary!F124)))</f>
        <v/>
      </c>
      <c r="O40" s="301" t="str">
        <f>IF(Summary!G124=0,"",((10^6*Summary!G142)/($C40*Summary!G124)))</f>
        <v/>
      </c>
      <c r="P40" s="301" t="str">
        <f>IF(Summary!H124=0,"",((10^6*Summary!H142)/($C40*Summary!H124)))</f>
        <v/>
      </c>
      <c r="Q40" s="301" t="str">
        <f>IF(Summary!I124=0,"",((10^6*Summary!I142)/($C40*Summary!I124)))</f>
        <v/>
      </c>
      <c r="R40" s="301" t="str">
        <f>IF(Summary!J124=0,"",((10^6*Summary!J142)/($C40*Summary!J124)))</f>
        <v/>
      </c>
      <c r="S40" s="301" t="str">
        <f>IF(Summary!K124=0,"",((10^6*Summary!K142)/($C40*Summary!K124)))</f>
        <v/>
      </c>
      <c r="T40" s="301" t="str">
        <f>IF(Summary!L124=0,"",((10^6*Summary!L142)/($C40*Summary!L124)))</f>
        <v/>
      </c>
      <c r="U40" s="301" t="str">
        <f>IF(Summary!M124=0,"",((10^6*Summary!M142)/($C40*Summary!M124)))</f>
        <v/>
      </c>
      <c r="V40" s="301" t="str">
        <f>IF(Summary!N124=0,"",((10^6*Summary!N142)/($C40*Summary!N124)))</f>
        <v/>
      </c>
    </row>
    <row r="41" spans="3:22">
      <c r="C41" s="416">
        <v>200</v>
      </c>
      <c r="D41" s="418" t="s">
        <v>267</v>
      </c>
      <c r="E41" s="557"/>
      <c r="F41" s="557"/>
      <c r="G41" s="557"/>
      <c r="H41" s="557"/>
      <c r="I41" s="557"/>
      <c r="J41" s="557"/>
      <c r="K41" s="170"/>
      <c r="L41" s="170"/>
      <c r="M41" s="301">
        <f>IF(Summary!E125=0,"",((10^6*Summary!E143)/($C41*Summary!E125)))</f>
        <v>5.5</v>
      </c>
      <c r="N41" s="301" t="str">
        <f>IF(Summary!F125=0,"",((10^6*Summary!F143)/($C41*Summary!F125)))</f>
        <v/>
      </c>
      <c r="O41" s="301" t="str">
        <f>IF(Summary!G125=0,"",((10^6*Summary!G143)/($C41*Summary!G125)))</f>
        <v/>
      </c>
      <c r="P41" s="301" t="str">
        <f>IF(Summary!H125=0,"",((10^6*Summary!H143)/($C41*Summary!H125)))</f>
        <v/>
      </c>
      <c r="Q41" s="301" t="str">
        <f>IF(Summary!I125=0,"",((10^6*Summary!I143)/($C41*Summary!I125)))</f>
        <v/>
      </c>
      <c r="R41" s="301" t="str">
        <f>IF(Summary!J125=0,"",((10^6*Summary!J143)/($C41*Summary!J125)))</f>
        <v/>
      </c>
      <c r="S41" s="301" t="str">
        <f>IF(Summary!K125=0,"",((10^6*Summary!K143)/($C41*Summary!K125)))</f>
        <v/>
      </c>
      <c r="T41" s="301" t="str">
        <f>IF(Summary!L125=0,"",((10^6*Summary!L143)/($C41*Summary!L125)))</f>
        <v/>
      </c>
      <c r="U41" s="301" t="str">
        <f>IF(Summary!M125=0,"",((10^6*Summary!M143)/($C41*Summary!M125)))</f>
        <v/>
      </c>
      <c r="V41" s="301" t="str">
        <f>IF(Summary!N125=0,"",((10^6*Summary!N143)/($C41*Summary!N125)))</f>
        <v/>
      </c>
    </row>
    <row r="42" spans="3:22">
      <c r="C42" s="416">
        <v>400</v>
      </c>
      <c r="D42" s="418" t="s">
        <v>268</v>
      </c>
      <c r="E42" s="557"/>
      <c r="F42" s="557"/>
      <c r="G42" s="557"/>
      <c r="H42" s="557"/>
      <c r="I42" s="557"/>
      <c r="J42" s="557"/>
      <c r="K42" s="170"/>
      <c r="L42" s="170"/>
      <c r="M42" s="301">
        <f>IF(Summary!E126=0,"",((10^6*Summary!E144)/($C42*Summary!E126)))</f>
        <v>3.1546153846153846</v>
      </c>
      <c r="N42" s="301" t="str">
        <f>IF(Summary!F126=0,"",((10^6*Summary!F144)/($C42*Summary!F126)))</f>
        <v/>
      </c>
      <c r="O42" s="301" t="str">
        <f>IF(Summary!G126=0,"",((10^6*Summary!G144)/($C42*Summary!G126)))</f>
        <v/>
      </c>
      <c r="P42" s="301" t="str">
        <f>IF(Summary!H126=0,"",((10^6*Summary!H144)/($C42*Summary!H126)))</f>
        <v/>
      </c>
      <c r="Q42" s="301" t="str">
        <f>IF(Summary!I126=0,"",((10^6*Summary!I144)/($C42*Summary!I126)))</f>
        <v/>
      </c>
      <c r="R42" s="301" t="str">
        <f>IF(Summary!J126=0,"",((10^6*Summary!J144)/($C42*Summary!J126)))</f>
        <v/>
      </c>
      <c r="S42" s="301" t="str">
        <f>IF(Summary!K126=0,"",((10^6*Summary!K144)/($C42*Summary!K126)))</f>
        <v/>
      </c>
      <c r="T42" s="301" t="str">
        <f>IF(Summary!L126=0,"",((10^6*Summary!L144)/($C42*Summary!L126)))</f>
        <v/>
      </c>
      <c r="U42" s="301" t="str">
        <f>IF(Summary!M126=0,"",((10^6*Summary!M144)/($C42*Summary!M126)))</f>
        <v/>
      </c>
      <c r="V42" s="301" t="str">
        <f>IF(Summary!N126=0,"",((10^6*Summary!N144)/($C42*Summary!N126)))</f>
        <v/>
      </c>
    </row>
    <row r="43" spans="3:22">
      <c r="C43" s="416">
        <v>800</v>
      </c>
      <c r="D43" s="600" t="s">
        <v>422</v>
      </c>
      <c r="E43" s="557"/>
      <c r="F43" s="557"/>
      <c r="G43" s="557"/>
      <c r="H43" s="557"/>
      <c r="I43" s="557"/>
      <c r="J43" s="557"/>
      <c r="K43" s="170"/>
      <c r="L43" s="170"/>
      <c r="M43" s="301"/>
      <c r="N43" s="301"/>
      <c r="O43" s="301"/>
      <c r="P43" s="301" t="str">
        <f>IF(Summary!H127=0,"",((10^6*Summary!H145)/($C43*Summary!H127)))</f>
        <v/>
      </c>
      <c r="Q43" s="301" t="str">
        <f>IF(Summary!I127=0,"",((10^6*Summary!I145)/($C43*Summary!I127)))</f>
        <v/>
      </c>
      <c r="R43" s="301" t="str">
        <f>IF(Summary!J127=0,"",((10^6*Summary!J145)/($C43*Summary!J127)))</f>
        <v/>
      </c>
      <c r="S43" s="301" t="str">
        <f>IF(Summary!K127=0,"",((10^6*Summary!K145)/($C43*Summary!K127)))</f>
        <v/>
      </c>
      <c r="T43" s="301" t="str">
        <f>IF(Summary!L127=0,"",((10^6*Summary!L145)/($C43*Summary!L127)))</f>
        <v/>
      </c>
      <c r="U43" s="301" t="str">
        <f>IF(Summary!M127=0,"",((10^6*Summary!M145)/($C43*Summary!M127)))</f>
        <v/>
      </c>
      <c r="V43" s="301" t="str">
        <f>IF(Summary!N127=0,"",((10^6*Summary!N145)/($C43*Summary!N127)))</f>
        <v/>
      </c>
    </row>
    <row r="44" spans="3:22">
      <c r="D44" s="122" t="s">
        <v>68</v>
      </c>
      <c r="E44" s="583">
        <v>18.659177244454714</v>
      </c>
      <c r="F44" s="584">
        <v>12.491157998353826</v>
      </c>
      <c r="G44" s="584">
        <v>11.206910619233915</v>
      </c>
      <c r="H44" s="584">
        <v>9.2919679279757297</v>
      </c>
      <c r="I44" s="584">
        <v>7.2488549734174947</v>
      </c>
      <c r="J44" s="584">
        <v>6.6238891591280309</v>
      </c>
      <c r="K44" s="419">
        <f>(Summary!C148*10^6)/(1*Summary!C119+10*Summary!C120+25*Summary!C121+40*Summary!C122+50*Summary!C123+100*Summary!C124+200*Summary!C125+400*Summary!C126)</f>
        <v>6.4437661546773315</v>
      </c>
      <c r="L44" s="419">
        <f>(Summary!D148*10^6)/(1*Summary!D119+10*Summary!D120+25*Summary!D121+40*Summary!D122+50*Summary!D123+100*Summary!D124+200*Summary!D125+400*Summary!D126)</f>
        <v>4.8427153884449652</v>
      </c>
      <c r="M44" s="419">
        <f>(Summary!E148*10^6)/(1*Summary!E119+10*Summary!E120+25*Summary!E121+40*Summary!E122+50*Summary!E123+100*Summary!E124+200*Summary!E125+400*Summary!E126)</f>
        <v>3.3801484891656242</v>
      </c>
      <c r="N44" s="419" t="e">
        <f>(Summary!F148*10^6)/(1*Summary!F119+10*Summary!F120+25*Summary!F121+40*Summary!F122+50*Summary!F123+100*Summary!F124+200*Summary!F125+400*Summary!F126)</f>
        <v>#DIV/0!</v>
      </c>
      <c r="O44" s="419" t="e">
        <f>(Summary!G148*10^6)/(1*Summary!G119+10*Summary!G120+25*Summary!G121+40*Summary!G122+50*Summary!G123+100*Summary!G124+200*Summary!G125+400*Summary!G126)</f>
        <v>#DIV/0!</v>
      </c>
      <c r="P44" s="419" t="e">
        <f>(Summary!H148*10^6)/(1*Summary!H119+10*Summary!H120+25*Summary!H121+40*Summary!H122+50*Summary!H123+100*Summary!H124+200*Summary!H125+400*Summary!H126)</f>
        <v>#DIV/0!</v>
      </c>
      <c r="Q44" s="419" t="e">
        <f>(Summary!I148*10^6)/(1*Summary!I119+10*Summary!I120+25*Summary!I121+40*Summary!I122+50*Summary!I123+100*Summary!I124+200*Summary!I125+400*Summary!I126)</f>
        <v>#DIV/0!</v>
      </c>
      <c r="R44" s="419" t="e">
        <f>(Summary!J148*10^6)/(1*Summary!J119+10*Summary!J120+25*Summary!J121+40*Summary!J122+50*Summary!J123+100*Summary!J124+200*Summary!J125+400*Summary!J126)</f>
        <v>#DIV/0!</v>
      </c>
      <c r="S44" s="419" t="e">
        <f>(Summary!K148*10^6)/(1*Summary!K119+10*Summary!K120+25*Summary!K121+40*Summary!K122+50*Summary!K123+100*Summary!K124+200*Summary!K125+400*Summary!K126)</f>
        <v>#DIV/0!</v>
      </c>
      <c r="T44" s="419" t="e">
        <f>(Summary!L148*10^6)/(1*Summary!L119+10*Summary!L120+25*Summary!L121+40*Summary!L122+50*Summary!L123+100*Summary!L124+200*Summary!L125+400*Summary!L126)</f>
        <v>#DIV/0!</v>
      </c>
      <c r="U44" s="419" t="e">
        <f>(Summary!M148*10^6)/(1*Summary!M119+10*Summary!M120+25*Summary!M121+40*Summary!M122+50*Summary!M123+100*Summary!M124+200*Summary!M125+400*Summary!M126)</f>
        <v>#DIV/0!</v>
      </c>
      <c r="V44" s="419" t="e">
        <f>(Summary!N148*10^6)/(1*Summary!N119+10*Summary!N120+25*Summary!N121+40*Summary!N122+50*Summary!N123+100*Summary!N124+200*Summary!N125+400*Summary!N126)</f>
        <v>#DIV/0!</v>
      </c>
    </row>
    <row r="67" spans="4:23">
      <c r="W67" s="366"/>
    </row>
    <row r="68" spans="4:23">
      <c r="W68" s="366"/>
    </row>
    <row r="69" spans="4:23">
      <c r="W69" s="366"/>
    </row>
    <row r="70" spans="4:23">
      <c r="W70" s="366"/>
    </row>
    <row r="71" spans="4:23" ht="15.6">
      <c r="D71" s="576" t="s">
        <v>197</v>
      </c>
      <c r="E71" s="146">
        <v>2010</v>
      </c>
      <c r="F71" s="147">
        <v>2011</v>
      </c>
      <c r="G71" s="147">
        <v>2012</v>
      </c>
      <c r="H71" s="147">
        <v>2013</v>
      </c>
      <c r="I71" s="147">
        <v>2014</v>
      </c>
      <c r="J71" s="147">
        <v>2015</v>
      </c>
      <c r="K71" s="147">
        <v>2016</v>
      </c>
      <c r="L71" s="147">
        <v>2017</v>
      </c>
      <c r="M71" s="147">
        <v>2018</v>
      </c>
      <c r="N71" s="147">
        <v>2019</v>
      </c>
      <c r="O71" s="147">
        <v>2020</v>
      </c>
      <c r="P71" s="147">
        <v>2021</v>
      </c>
      <c r="Q71" s="147">
        <v>2022</v>
      </c>
      <c r="R71" s="118">
        <v>2023</v>
      </c>
      <c r="S71" s="118">
        <v>2024</v>
      </c>
      <c r="T71" s="118">
        <v>2025</v>
      </c>
      <c r="U71" s="118">
        <v>2026</v>
      </c>
      <c r="V71" s="118">
        <v>2027</v>
      </c>
      <c r="W71" s="366"/>
    </row>
    <row r="72" spans="4:23">
      <c r="D72" s="577" t="str">
        <f t="shared" ref="D72:D80" si="0">D35</f>
        <v>1 G</v>
      </c>
      <c r="E72" s="564">
        <v>13.753951556800791</v>
      </c>
      <c r="F72" s="565">
        <v>12.985268264022558</v>
      </c>
      <c r="G72" s="565">
        <v>12.565352668140264</v>
      </c>
      <c r="H72" s="565">
        <v>11.996692618609446</v>
      </c>
      <c r="I72" s="565">
        <v>11.174241369596015</v>
      </c>
      <c r="J72" s="565">
        <v>10.470983555845212</v>
      </c>
      <c r="K72" s="366">
        <f t="shared" ref="K72:M72" si="1">K95</f>
        <v>10.178233731377588</v>
      </c>
      <c r="L72" s="366">
        <f t="shared" si="1"/>
        <v>8.9746992158904888</v>
      </c>
      <c r="M72" s="366">
        <f t="shared" si="1"/>
        <v>8.1963947817703744</v>
      </c>
      <c r="N72" s="366"/>
      <c r="O72" s="366"/>
      <c r="P72" s="366"/>
      <c r="Q72" s="366"/>
      <c r="R72" s="366"/>
      <c r="S72" s="366"/>
      <c r="T72" s="366"/>
      <c r="U72" s="366"/>
      <c r="V72" s="366"/>
      <c r="W72" s="366"/>
    </row>
    <row r="73" spans="4:23">
      <c r="D73" s="578" t="str">
        <f t="shared" si="0"/>
        <v>10 G</v>
      </c>
      <c r="E73" s="564">
        <v>7.2693971450474013</v>
      </c>
      <c r="F73" s="565">
        <v>5.6225638648096545</v>
      </c>
      <c r="G73" s="565">
        <v>4.7234436834010181</v>
      </c>
      <c r="H73" s="565">
        <v>3.5859981642836827</v>
      </c>
      <c r="I73" s="565">
        <v>2.7640696017573658</v>
      </c>
      <c r="J73" s="565">
        <v>2.1809560564685277</v>
      </c>
      <c r="K73" s="366">
        <f>SUM('Products x speed'!E206:E207)*10^6/SUM('Products x speed'!E14:E16)/10</f>
        <v>1.8308628817969292</v>
      </c>
      <c r="L73" s="366">
        <f>SUM('Products x speed'!F206:F207)*10^6/SUM('Products x speed'!F14:F16)/10</f>
        <v>1.5256493367606148</v>
      </c>
      <c r="M73" s="366">
        <f>SUM('Products x speed'!G206:G207)*10^6/SUM('Products x speed'!G14:G16)/10</f>
        <v>1.294694247720833</v>
      </c>
      <c r="N73" s="366"/>
      <c r="O73" s="366"/>
      <c r="P73" s="366"/>
      <c r="Q73" s="366"/>
      <c r="R73" s="366"/>
      <c r="S73" s="366"/>
      <c r="T73" s="366"/>
      <c r="U73" s="366"/>
      <c r="V73" s="366"/>
      <c r="W73" s="366"/>
    </row>
    <row r="74" spans="4:23">
      <c r="D74" s="578" t="str">
        <f t="shared" si="0"/>
        <v>25 G</v>
      </c>
      <c r="E74" s="572"/>
      <c r="F74" s="573"/>
      <c r="G74" s="573"/>
      <c r="H74" s="573"/>
      <c r="I74" s="573"/>
      <c r="J74" s="573"/>
      <c r="K74" s="370">
        <f t="shared" ref="K74:M74" si="2">K110</f>
        <v>7.4857262804366078</v>
      </c>
      <c r="L74" s="370">
        <f t="shared" si="2"/>
        <v>5.6444287278986067</v>
      </c>
      <c r="M74" s="370">
        <f t="shared" si="2"/>
        <v>3.4918688536513516</v>
      </c>
      <c r="N74" s="370"/>
      <c r="O74" s="370"/>
      <c r="P74" s="370"/>
      <c r="Q74" s="370"/>
      <c r="R74" s="370"/>
      <c r="S74" s="370"/>
      <c r="T74" s="370"/>
      <c r="U74" s="370"/>
      <c r="V74" s="370"/>
      <c r="W74" s="366"/>
    </row>
    <row r="75" spans="4:23">
      <c r="D75" s="579" t="str">
        <f t="shared" si="0"/>
        <v>40 G</v>
      </c>
      <c r="E75" s="564">
        <v>16</v>
      </c>
      <c r="F75" s="565">
        <v>7.186692574411718</v>
      </c>
      <c r="G75" s="565">
        <v>5.2569352371264841</v>
      </c>
      <c r="H75" s="565">
        <v>4.7415806558600639</v>
      </c>
      <c r="I75" s="565">
        <v>4.5976611884346736</v>
      </c>
      <c r="J75" s="565">
        <v>3.0556100659675449</v>
      </c>
      <c r="K75" s="366">
        <f>SUM('Products x speed'!E219:E221)*10^6/SUM('Products x speed'!E27:E29)/40</f>
        <v>4.0004946969346946</v>
      </c>
      <c r="L75" s="366">
        <f>SUM('Products x speed'!F219:F221)*10^6/SUM('Products x speed'!F27:F29)/40</f>
        <v>3.5024711725363686</v>
      </c>
      <c r="M75" s="366">
        <f>SUM('Products x speed'!G219:G221)*10^6/SUM('Products x speed'!G27:G29)/40</f>
        <v>2.7201250149338185</v>
      </c>
      <c r="N75" s="366"/>
      <c r="O75" s="366"/>
      <c r="P75" s="366"/>
      <c r="Q75" s="366"/>
      <c r="R75" s="366"/>
      <c r="S75" s="366"/>
      <c r="T75" s="366"/>
      <c r="U75" s="366"/>
      <c r="V75" s="366"/>
      <c r="W75" s="366"/>
    </row>
    <row r="76" spans="4:23">
      <c r="D76" s="579" t="str">
        <f t="shared" si="0"/>
        <v>50 G</v>
      </c>
      <c r="E76" s="564"/>
      <c r="F76" s="565"/>
      <c r="G76" s="565"/>
      <c r="H76" s="565"/>
      <c r="I76" s="565"/>
      <c r="J76" s="565"/>
      <c r="K76" s="366"/>
      <c r="L76" s="366"/>
      <c r="M76" s="366"/>
      <c r="N76" s="366"/>
      <c r="O76" s="366"/>
      <c r="P76" s="366"/>
      <c r="Q76" s="366"/>
      <c r="R76" s="366"/>
      <c r="S76" s="366"/>
      <c r="T76" s="366"/>
      <c r="U76" s="366"/>
      <c r="V76" s="366"/>
      <c r="W76" s="366"/>
    </row>
    <row r="77" spans="4:23">
      <c r="D77" s="579" t="str">
        <f t="shared" si="0"/>
        <v>100 G</v>
      </c>
      <c r="E77" s="564"/>
      <c r="F77" s="565"/>
      <c r="G77" s="565">
        <v>23.897826358525922</v>
      </c>
      <c r="H77" s="565">
        <v>18.815171215351814</v>
      </c>
      <c r="I77" s="565">
        <v>17.880221269073317</v>
      </c>
      <c r="J77" s="565">
        <v>13.672506526121772</v>
      </c>
      <c r="K77" s="366">
        <f>SUM('Products x speed'!E233:E238)*10^6/SUM('Products x speed'!E41:E46)/100</f>
        <v>3.2957163623968637</v>
      </c>
      <c r="L77" s="366">
        <f>SUM('Products x speed'!F233:F238)*10^6/SUM('Products x speed'!F41:F46)/100</f>
        <v>1.9723036134511864</v>
      </c>
      <c r="M77" s="366">
        <f>SUM('Products x speed'!G233:G238)*10^6/SUM('Products x speed'!G41:G46)/100</f>
        <v>1.2095252871913105</v>
      </c>
      <c r="N77" s="503"/>
      <c r="O77" s="366"/>
      <c r="P77" s="366"/>
      <c r="Q77" s="366"/>
      <c r="R77" s="366"/>
      <c r="S77" s="366"/>
      <c r="T77" s="366"/>
      <c r="U77" s="366"/>
      <c r="V77" s="366"/>
      <c r="W77" s="366"/>
    </row>
    <row r="78" spans="4:23">
      <c r="D78" s="579" t="str">
        <f t="shared" si="0"/>
        <v>200 G</v>
      </c>
      <c r="E78" s="572"/>
      <c r="F78" s="573"/>
      <c r="G78" s="573"/>
      <c r="H78" s="573"/>
      <c r="I78" s="573"/>
      <c r="J78" s="573"/>
      <c r="K78" s="370"/>
      <c r="L78" s="370"/>
      <c r="M78" s="370"/>
      <c r="N78" s="367"/>
      <c r="O78" s="367"/>
      <c r="P78" s="367"/>
      <c r="Q78" s="367"/>
      <c r="R78" s="367"/>
      <c r="S78" s="367"/>
      <c r="T78" s="367"/>
      <c r="U78" s="367"/>
      <c r="V78" s="367"/>
      <c r="W78" s="366"/>
    </row>
    <row r="79" spans="4:23">
      <c r="D79" s="579" t="str">
        <f t="shared" si="0"/>
        <v>400 G</v>
      </c>
      <c r="E79" s="572"/>
      <c r="F79" s="573"/>
      <c r="G79" s="573"/>
      <c r="H79" s="573"/>
      <c r="I79" s="573"/>
      <c r="J79" s="573"/>
      <c r="K79" s="370"/>
      <c r="L79" s="370"/>
      <c r="M79" s="370"/>
      <c r="N79" s="367"/>
      <c r="O79" s="367"/>
      <c r="P79" s="367"/>
      <c r="Q79" s="367"/>
      <c r="R79" s="367"/>
      <c r="S79" s="367"/>
      <c r="T79" s="367"/>
      <c r="U79" s="367"/>
      <c r="V79" s="367"/>
      <c r="W79" s="366"/>
    </row>
    <row r="80" spans="4:23">
      <c r="D80" s="580" t="str">
        <f t="shared" si="0"/>
        <v>800 G</v>
      </c>
      <c r="E80" s="574"/>
      <c r="F80" s="575"/>
      <c r="G80" s="575"/>
      <c r="H80" s="575"/>
      <c r="I80" s="575"/>
      <c r="J80" s="575"/>
      <c r="K80" s="371"/>
      <c r="L80" s="371"/>
      <c r="M80" s="371"/>
      <c r="N80" s="532"/>
      <c r="O80" s="532"/>
      <c r="P80" s="532"/>
      <c r="Q80" s="532"/>
      <c r="R80" s="532"/>
      <c r="S80" s="532"/>
      <c r="T80" s="532"/>
      <c r="U80" s="532"/>
      <c r="V80" s="532"/>
      <c r="W80" s="366"/>
    </row>
    <row r="81" spans="1:23">
      <c r="D81" s="581"/>
      <c r="R81" s="362"/>
      <c r="S81" s="362"/>
      <c r="T81" s="362"/>
      <c r="U81" s="362"/>
      <c r="V81" s="362"/>
      <c r="W81" s="366"/>
    </row>
    <row r="82" spans="1:23" ht="15.6">
      <c r="D82" s="576" t="s">
        <v>180</v>
      </c>
      <c r="E82" s="146">
        <v>2010</v>
      </c>
      <c r="F82" s="147">
        <v>2011</v>
      </c>
      <c r="G82" s="147">
        <v>2012</v>
      </c>
      <c r="H82" s="147">
        <v>2013</v>
      </c>
      <c r="I82" s="147">
        <v>2014</v>
      </c>
      <c r="J82" s="147">
        <v>2015</v>
      </c>
      <c r="K82" s="147">
        <v>2016</v>
      </c>
      <c r="L82" s="147">
        <v>2017</v>
      </c>
      <c r="M82" s="147">
        <v>2018</v>
      </c>
      <c r="N82" s="147">
        <v>2019</v>
      </c>
      <c r="O82" s="147">
        <v>2020</v>
      </c>
      <c r="P82" s="147">
        <v>2021</v>
      </c>
      <c r="Q82" s="147">
        <v>2022</v>
      </c>
      <c r="R82" s="118">
        <v>2023</v>
      </c>
      <c r="S82" s="118">
        <v>2024</v>
      </c>
      <c r="T82" s="118">
        <v>2025</v>
      </c>
      <c r="U82" s="118">
        <v>2026</v>
      </c>
      <c r="V82" s="118">
        <v>2027</v>
      </c>
      <c r="W82" s="366"/>
    </row>
    <row r="83" spans="1:23">
      <c r="D83" s="577" t="str">
        <f t="shared" ref="D83:D91" si="3">D35</f>
        <v>1 G</v>
      </c>
      <c r="E83" s="564">
        <v>25.149205126655112</v>
      </c>
      <c r="F83" s="565">
        <v>22.542686548685776</v>
      </c>
      <c r="G83" s="565">
        <v>20.494201491669465</v>
      </c>
      <c r="H83" s="565">
        <v>17.059287862972699</v>
      </c>
      <c r="I83" s="565">
        <v>15.209922341136267</v>
      </c>
      <c r="J83" s="565">
        <v>14.316550029685587</v>
      </c>
      <c r="K83" s="366">
        <f t="shared" ref="K83:M83" si="4">K96</f>
        <v>11.313150064475876</v>
      </c>
      <c r="L83" s="366">
        <f t="shared" si="4"/>
        <v>9.7279618337487541</v>
      </c>
      <c r="M83" s="366">
        <f t="shared" si="4"/>
        <v>7.9991133376783168</v>
      </c>
      <c r="N83" s="366"/>
      <c r="O83" s="366"/>
      <c r="P83" s="366"/>
      <c r="Q83" s="366"/>
      <c r="R83" s="366"/>
      <c r="S83" s="366"/>
      <c r="T83" s="366"/>
      <c r="U83" s="366"/>
      <c r="V83" s="366"/>
      <c r="W83" s="366"/>
    </row>
    <row r="84" spans="1:23">
      <c r="D84" s="579" t="str">
        <f t="shared" si="3"/>
        <v>10 G</v>
      </c>
      <c r="E84" s="564">
        <v>20.083089586633925</v>
      </c>
      <c r="F84" s="565">
        <v>15.192387099264787</v>
      </c>
      <c r="G84" s="565">
        <v>12.606537702368776</v>
      </c>
      <c r="H84" s="565">
        <v>9.5723766997270552</v>
      </c>
      <c r="I84" s="565">
        <v>6.7015289167061241</v>
      </c>
      <c r="J84" s="565">
        <v>5.5401360004392348</v>
      </c>
      <c r="K84" s="366">
        <f>SUM('Products x speed'!E209:E210)*10^6/SUM('Products x speed'!E17:E18)/10</f>
        <v>3.9011693498104392</v>
      </c>
      <c r="L84" s="366">
        <f>SUM('Products x speed'!F209:F210)*10^6/SUM('Products x speed'!F17:F18)/10</f>
        <v>3.0703885502204229</v>
      </c>
      <c r="M84" s="366">
        <f>SUM('Products x speed'!G209:G210)*10^6/SUM('Products x speed'!G17:G18)/10</f>
        <v>2.4729885950225219</v>
      </c>
      <c r="N84" s="366"/>
      <c r="O84" s="366"/>
      <c r="P84" s="366"/>
      <c r="Q84" s="366"/>
      <c r="R84" s="366"/>
      <c r="S84" s="366"/>
      <c r="T84" s="366"/>
      <c r="U84" s="366"/>
      <c r="V84" s="366"/>
      <c r="W84" s="366"/>
    </row>
    <row r="85" spans="1:23">
      <c r="D85" s="578" t="str">
        <f t="shared" si="3"/>
        <v>25 G</v>
      </c>
      <c r="E85" s="566"/>
      <c r="F85" s="567"/>
      <c r="G85" s="567"/>
      <c r="H85" s="567"/>
      <c r="I85" s="567"/>
      <c r="J85" s="567"/>
      <c r="K85" s="367">
        <f t="shared" ref="K85:M85" si="5">K111</f>
        <v>18.249613016710644</v>
      </c>
      <c r="L85" s="367">
        <f t="shared" si="5"/>
        <v>12.964142267585002</v>
      </c>
      <c r="M85" s="367">
        <f t="shared" si="5"/>
        <v>7.7849911231021514</v>
      </c>
      <c r="N85" s="367"/>
      <c r="O85" s="367"/>
      <c r="P85" s="367"/>
      <c r="Q85" s="367"/>
      <c r="R85" s="367"/>
      <c r="S85" s="367"/>
      <c r="T85" s="367"/>
      <c r="U85" s="367"/>
      <c r="V85" s="367"/>
      <c r="W85" s="366"/>
    </row>
    <row r="86" spans="1:23">
      <c r="D86" s="579" t="str">
        <f t="shared" si="3"/>
        <v>40 G</v>
      </c>
      <c r="E86" s="564">
        <v>80.784136641723492</v>
      </c>
      <c r="F86" s="565">
        <v>77.777449856733512</v>
      </c>
      <c r="G86" s="565">
        <v>31.374042015224383</v>
      </c>
      <c r="H86" s="565">
        <v>20.904356576912654</v>
      </c>
      <c r="I86" s="565">
        <v>18.050742044044327</v>
      </c>
      <c r="J86" s="565">
        <v>16.332734902464885</v>
      </c>
      <c r="K86" s="366">
        <f>SUM('Products x speed'!E222:E226)*10^6/SUM('Products x speed'!E31:E34)/40</f>
        <v>16.617107346810069</v>
      </c>
      <c r="L86" s="366">
        <f>SUM('Products x speed'!F222:F226)*10^6/SUM('Products x speed'!F31:F34)/40</f>
        <v>12.449764992846998</v>
      </c>
      <c r="M86" s="366">
        <f>SUM('Products x speed'!G222:G226)*10^6/SUM('Products x speed'!G31:G34)/40</f>
        <v>14.161471083306537</v>
      </c>
      <c r="N86" s="366"/>
      <c r="O86" s="366"/>
      <c r="P86" s="366"/>
      <c r="Q86" s="366"/>
      <c r="R86" s="366"/>
      <c r="S86" s="366"/>
      <c r="T86" s="366"/>
      <c r="U86" s="366"/>
      <c r="V86" s="366"/>
      <c r="W86" s="366"/>
    </row>
    <row r="87" spans="1:23">
      <c r="D87" s="579" t="str">
        <f t="shared" si="3"/>
        <v>50 G</v>
      </c>
      <c r="E87" s="564"/>
      <c r="F87" s="565"/>
      <c r="G87" s="565"/>
      <c r="H87" s="565"/>
      <c r="I87" s="565"/>
      <c r="J87" s="565"/>
      <c r="K87" s="368"/>
      <c r="L87" s="368"/>
      <c r="M87" s="368"/>
      <c r="N87" s="368"/>
      <c r="O87" s="368"/>
      <c r="P87" s="368"/>
      <c r="Q87" s="368"/>
      <c r="R87" s="366"/>
      <c r="S87" s="366"/>
      <c r="T87" s="366"/>
      <c r="U87" s="366"/>
      <c r="V87" s="366"/>
      <c r="W87" s="366"/>
    </row>
    <row r="88" spans="1:23">
      <c r="D88" s="579" t="str">
        <f t="shared" si="3"/>
        <v>100 G</v>
      </c>
      <c r="E88" s="564">
        <v>262.22519083969468</v>
      </c>
      <c r="F88" s="565">
        <v>223.61202964182792</v>
      </c>
      <c r="G88" s="565">
        <v>136.50492489270385</v>
      </c>
      <c r="H88" s="565">
        <v>102.5432875674652</v>
      </c>
      <c r="I88" s="565">
        <v>65.878548873851983</v>
      </c>
      <c r="J88" s="565">
        <v>36.595237268483366</v>
      </c>
      <c r="K88" s="366">
        <f>SUM('Products x speed'!E239:E248)*10^6/SUM('Products x speed'!E47:E56)/100</f>
        <v>15.954523504961168</v>
      </c>
      <c r="L88" s="366">
        <f>SUM('Products x speed'!F239:F248)*10^6/SUM('Products x speed'!F47:F56)/100</f>
        <v>6.5519248022538541</v>
      </c>
      <c r="M88" s="366">
        <f>SUM('Products x speed'!G239:G248)*10^6/SUM('Products x speed'!G47:G56)/100</f>
        <v>4.5550227461298292</v>
      </c>
      <c r="N88" s="503"/>
      <c r="O88" s="366"/>
      <c r="P88" s="366"/>
      <c r="Q88" s="366"/>
      <c r="R88" s="366"/>
      <c r="S88" s="366"/>
      <c r="T88" s="366"/>
      <c r="U88" s="366"/>
      <c r="V88" s="366"/>
      <c r="W88" s="366"/>
    </row>
    <row r="89" spans="1:23">
      <c r="D89" s="579" t="str">
        <f t="shared" si="3"/>
        <v>200 G</v>
      </c>
      <c r="E89" s="568"/>
      <c r="F89" s="569"/>
      <c r="G89" s="569"/>
      <c r="H89" s="569"/>
      <c r="I89" s="569"/>
      <c r="J89" s="569"/>
      <c r="K89" s="176"/>
      <c r="L89" s="368"/>
      <c r="M89" s="368">
        <f>SUM('Products x speed'!G254:G260)*10^6/SUM('Products x speed'!G62:G68)/200</f>
        <v>5.3282666666666669</v>
      </c>
      <c r="N89" s="368"/>
      <c r="O89" s="368"/>
      <c r="P89" s="368"/>
      <c r="Q89" s="368"/>
      <c r="R89" s="366"/>
      <c r="S89" s="366"/>
      <c r="T89" s="366"/>
      <c r="U89" s="366"/>
      <c r="V89" s="366"/>
      <c r="W89" s="366"/>
    </row>
    <row r="90" spans="1:23">
      <c r="D90" s="579" t="str">
        <f t="shared" si="3"/>
        <v>400 G</v>
      </c>
      <c r="E90" s="568"/>
      <c r="F90" s="569"/>
      <c r="G90" s="569"/>
      <c r="H90" s="569"/>
      <c r="I90" s="569"/>
      <c r="J90" s="569"/>
      <c r="K90" s="176"/>
      <c r="L90" s="368"/>
      <c r="M90" s="368">
        <f>SUM('Products x speed'!G259:G262)*10^6/SUM('Products x speed'!G67:G70)/400</f>
        <v>5.375</v>
      </c>
      <c r="N90" s="368"/>
      <c r="O90" s="368"/>
      <c r="P90" s="368"/>
      <c r="Q90" s="368"/>
      <c r="R90" s="366"/>
      <c r="S90" s="366"/>
      <c r="T90" s="366"/>
      <c r="U90" s="366"/>
      <c r="V90" s="366"/>
      <c r="W90" s="366"/>
    </row>
    <row r="91" spans="1:23">
      <c r="D91" s="582" t="str">
        <f t="shared" si="3"/>
        <v>800 G</v>
      </c>
      <c r="E91" s="570"/>
      <c r="F91" s="571"/>
      <c r="G91" s="571"/>
      <c r="H91" s="571"/>
      <c r="I91" s="571"/>
      <c r="J91" s="571"/>
      <c r="K91" s="194"/>
      <c r="L91" s="369"/>
      <c r="M91" s="369"/>
      <c r="N91" s="369"/>
      <c r="O91" s="369"/>
      <c r="P91" s="369"/>
      <c r="Q91" s="369"/>
      <c r="R91" s="379"/>
      <c r="S91" s="379"/>
      <c r="T91" s="379"/>
      <c r="U91" s="379"/>
      <c r="V91" s="379"/>
      <c r="W91" s="366"/>
    </row>
    <row r="92" spans="1:23">
      <c r="P92" s="362"/>
      <c r="Q92" s="362"/>
      <c r="W92" s="366"/>
    </row>
    <row r="93" spans="1:23" ht="15.6">
      <c r="B93" s="185" t="s">
        <v>67</v>
      </c>
      <c r="W93" s="366"/>
    </row>
    <row r="94" spans="1:23">
      <c r="B94" s="434" t="s">
        <v>32</v>
      </c>
      <c r="C94" s="360" t="s">
        <v>31</v>
      </c>
      <c r="D94" s="361" t="s">
        <v>33</v>
      </c>
      <c r="E94" s="124">
        <v>2010</v>
      </c>
      <c r="F94" s="125">
        <v>2011</v>
      </c>
      <c r="G94" s="125">
        <v>2012</v>
      </c>
      <c r="H94" s="126">
        <v>2013</v>
      </c>
      <c r="I94" s="124">
        <v>2014</v>
      </c>
      <c r="J94" s="125">
        <v>2015</v>
      </c>
      <c r="K94" s="125">
        <v>2016</v>
      </c>
      <c r="L94" s="125">
        <v>2017</v>
      </c>
      <c r="M94" s="125">
        <v>2018</v>
      </c>
      <c r="N94" s="125">
        <v>2019</v>
      </c>
      <c r="O94" s="125">
        <v>2020</v>
      </c>
      <c r="P94" s="125">
        <v>2021</v>
      </c>
      <c r="Q94" s="125">
        <v>2022</v>
      </c>
      <c r="R94" s="125">
        <v>2023</v>
      </c>
      <c r="S94" s="125">
        <v>2024</v>
      </c>
      <c r="T94" s="125">
        <v>2025</v>
      </c>
      <c r="U94" s="125">
        <v>2026</v>
      </c>
      <c r="V94" s="125">
        <v>2027</v>
      </c>
    </row>
    <row r="95" spans="1:23">
      <c r="A95" s="638">
        <v>1</v>
      </c>
      <c r="B95" s="87" t="str">
        <f>'Products x speed'!B9</f>
        <v>1G</v>
      </c>
      <c r="C95" s="88" t="s">
        <v>44</v>
      </c>
      <c r="D95" s="88" t="s">
        <v>46</v>
      </c>
      <c r="E95" s="558">
        <v>13.753951556800791</v>
      </c>
      <c r="F95" s="559">
        <v>12.985268264022558</v>
      </c>
      <c r="G95" s="559">
        <v>12.565352668140264</v>
      </c>
      <c r="H95" s="559">
        <v>11.996692618609446</v>
      </c>
      <c r="I95" s="559">
        <v>11.174241369596015</v>
      </c>
      <c r="J95" s="559">
        <v>10.470983555845212</v>
      </c>
      <c r="K95" s="119">
        <f>IF('Products x speed'!E9=0,"",('Products x speed'!E201*10^6/'Products x speed'!E9))</f>
        <v>10.178233731377588</v>
      </c>
      <c r="L95" s="119">
        <f>IF('Products x speed'!F9=0,"",('Products x speed'!F201*10^6/'Products x speed'!F9))</f>
        <v>8.9746992158904888</v>
      </c>
      <c r="M95" s="119">
        <f>IF('Products x speed'!G9=0,"",('Products x speed'!G201*10^6/'Products x speed'!G9))</f>
        <v>8.1963947817703744</v>
      </c>
      <c r="N95" s="119" t="str">
        <f>IF('Products x speed'!H9=0,"",('Products x speed'!H201*10^6/'Products x speed'!H9))</f>
        <v/>
      </c>
      <c r="O95" s="119" t="str">
        <f>IF('Products x speed'!I9=0,"",('Products x speed'!I201*10^6/'Products x speed'!I9))</f>
        <v/>
      </c>
      <c r="P95" s="119" t="str">
        <f>IF('Products x speed'!J9=0,"",('Products x speed'!J201*10^6/'Products x speed'!J9))</f>
        <v/>
      </c>
      <c r="Q95" s="119" t="str">
        <f>IF('Products x speed'!K9=0,"",('Products x speed'!K201*10^6/'Products x speed'!K9))</f>
        <v/>
      </c>
      <c r="R95" s="378" t="str">
        <f>IF('Products x speed'!L9=0,"",('Products x speed'!L201*10^6/'Products x speed'!L9))</f>
        <v/>
      </c>
      <c r="S95" s="378" t="str">
        <f>IF('Products x speed'!M9=0,"",('Products x speed'!M201*10^6/'Products x speed'!M9))</f>
        <v/>
      </c>
      <c r="T95" s="378" t="str">
        <f>IF('Products x speed'!N9=0,"",('Products x speed'!N201*10^6/'Products x speed'!N9))</f>
        <v/>
      </c>
      <c r="U95" s="378" t="str">
        <f>IF('Products x speed'!O9=0,"",('Products x speed'!O201*10^6/'Products x speed'!O9))</f>
        <v/>
      </c>
      <c r="V95" s="378" t="str">
        <f>IF('Products x speed'!P9=0,"",('Products x speed'!P201*10^6/'Products x speed'!P9))</f>
        <v/>
      </c>
    </row>
    <row r="96" spans="1:23">
      <c r="A96" s="638">
        <v>1</v>
      </c>
      <c r="B96" s="87" t="str">
        <f>'Products x speed'!B10</f>
        <v>1G</v>
      </c>
      <c r="C96" s="88" t="s">
        <v>50</v>
      </c>
      <c r="D96" s="88" t="s">
        <v>46</v>
      </c>
      <c r="E96" s="560">
        <v>25.149205126655112</v>
      </c>
      <c r="F96" s="561">
        <v>22.542686548685776</v>
      </c>
      <c r="G96" s="561">
        <v>20.494201491669465</v>
      </c>
      <c r="H96" s="561">
        <v>17.059287862972699</v>
      </c>
      <c r="I96" s="561">
        <v>15.209922341136267</v>
      </c>
      <c r="J96" s="561">
        <v>14.316550029685587</v>
      </c>
      <c r="K96" s="121">
        <f>IF('Products x speed'!E10=0,"",('Products x speed'!E202*10^6/'Products x speed'!E10))</f>
        <v>11.313150064475876</v>
      </c>
      <c r="L96" s="121">
        <f>IF('Products x speed'!F10=0,"",('Products x speed'!F202*10^6/'Products x speed'!F10))</f>
        <v>9.7279618337487541</v>
      </c>
      <c r="M96" s="121">
        <f>IF('Products x speed'!G10=0,"",('Products x speed'!G202*10^6/'Products x speed'!G10))</f>
        <v>7.9991133376783168</v>
      </c>
      <c r="N96" s="121" t="str">
        <f>IF('Products x speed'!H10=0,"",('Products x speed'!H202*10^6/'Products x speed'!H10))</f>
        <v/>
      </c>
      <c r="O96" s="121" t="str">
        <f>IF('Products x speed'!I10=0,"",('Products x speed'!I202*10^6/'Products x speed'!I10))</f>
        <v/>
      </c>
      <c r="P96" s="121" t="str">
        <f>IF('Products x speed'!J10=0,"",('Products x speed'!J202*10^6/'Products x speed'!J10))</f>
        <v/>
      </c>
      <c r="Q96" s="121" t="str">
        <f>IF('Products x speed'!K10=0,"",('Products x speed'!K202*10^6/'Products x speed'!K10))</f>
        <v/>
      </c>
      <c r="R96" s="366" t="str">
        <f>IF('Products x speed'!L10=0,"",('Products x speed'!L202*10^6/'Products x speed'!L10))</f>
        <v/>
      </c>
      <c r="S96" s="366" t="str">
        <f>IF('Products x speed'!M10=0,"",('Products x speed'!M202*10^6/'Products x speed'!M10))</f>
        <v/>
      </c>
      <c r="T96" s="366" t="str">
        <f>IF('Products x speed'!N10=0,"",('Products x speed'!N202*10^6/'Products x speed'!N10))</f>
        <v/>
      </c>
      <c r="U96" s="366" t="str">
        <f>IF('Products x speed'!O10=0,"",('Products x speed'!O202*10^6/'Products x speed'!O10))</f>
        <v/>
      </c>
      <c r="V96" s="366" t="str">
        <f>IF('Products x speed'!P10=0,"",('Products x speed'!P202*10^6/'Products x speed'!P10))</f>
        <v/>
      </c>
    </row>
    <row r="97" spans="1:22">
      <c r="A97" s="638">
        <v>1</v>
      </c>
      <c r="B97" s="87" t="str">
        <f>'Products x speed'!B11</f>
        <v>1G</v>
      </c>
      <c r="C97" s="88" t="s">
        <v>55</v>
      </c>
      <c r="D97" s="88" t="s">
        <v>46</v>
      </c>
      <c r="E97" s="560">
        <v>49.545765519722842</v>
      </c>
      <c r="F97" s="561">
        <v>31.082332063515352</v>
      </c>
      <c r="G97" s="561">
        <v>29.317117113588608</v>
      </c>
      <c r="H97" s="561">
        <v>25.450996968927363</v>
      </c>
      <c r="I97" s="561">
        <v>26.220308543667187</v>
      </c>
      <c r="J97" s="561">
        <v>31.241164678387808</v>
      </c>
      <c r="K97" s="121">
        <f>IF('Products x speed'!E11=0,"",('Products x speed'!E203*10^6/'Products x speed'!E11))</f>
        <v>14.223250006112197</v>
      </c>
      <c r="L97" s="121">
        <f>IF('Products x speed'!F11=0,"",('Products x speed'!F203*10^6/'Products x speed'!F11))</f>
        <v>11.270556706605298</v>
      </c>
      <c r="M97" s="121">
        <f>IF('Products x speed'!G11=0,"",('Products x speed'!G203*10^6/'Products x speed'!G11))</f>
        <v>11.355942578382948</v>
      </c>
      <c r="N97" s="121" t="str">
        <f>IF('Products x speed'!H11=0,"",('Products x speed'!H203*10^6/'Products x speed'!H11))</f>
        <v/>
      </c>
      <c r="O97" s="121" t="str">
        <f>IF('Products x speed'!I11=0,"",('Products x speed'!I203*10^6/'Products x speed'!I11))</f>
        <v/>
      </c>
      <c r="P97" s="121" t="str">
        <f>IF('Products x speed'!J11=0,"",('Products x speed'!J203*10^6/'Products x speed'!J11))</f>
        <v/>
      </c>
      <c r="Q97" s="121" t="str">
        <f>IF('Products x speed'!K11=0,"",('Products x speed'!K203*10^6/'Products x speed'!K11))</f>
        <v/>
      </c>
      <c r="R97" s="366" t="str">
        <f>IF('Products x speed'!L11=0,"",('Products x speed'!L203*10^6/'Products x speed'!L11))</f>
        <v/>
      </c>
      <c r="S97" s="366" t="str">
        <f>IF('Products x speed'!M11=0,"",('Products x speed'!M203*10^6/'Products x speed'!M11))</f>
        <v/>
      </c>
      <c r="T97" s="366" t="str">
        <f>IF('Products x speed'!N11=0,"",('Products x speed'!N203*10^6/'Products x speed'!N11))</f>
        <v/>
      </c>
      <c r="U97" s="366" t="str">
        <f>IF('Products x speed'!O11=0,"",('Products x speed'!O203*10^6/'Products x speed'!O11))</f>
        <v/>
      </c>
      <c r="V97" s="366" t="str">
        <f>IF('Products x speed'!P11=0,"",('Products x speed'!P203*10^6/'Products x speed'!P11))</f>
        <v/>
      </c>
    </row>
    <row r="98" spans="1:22">
      <c r="A98" s="638">
        <v>1</v>
      </c>
      <c r="B98" s="87" t="str">
        <f>'Products x speed'!B12</f>
        <v>1G</v>
      </c>
      <c r="C98" s="88" t="s">
        <v>57</v>
      </c>
      <c r="D98" s="88" t="s">
        <v>46</v>
      </c>
      <c r="E98" s="560">
        <v>142.80979504422271</v>
      </c>
      <c r="F98" s="561">
        <v>136.76558510512777</v>
      </c>
      <c r="G98" s="561">
        <v>104.22764561707035</v>
      </c>
      <c r="H98" s="561">
        <v>93.07490654205607</v>
      </c>
      <c r="I98" s="561">
        <v>69.983684966026232</v>
      </c>
      <c r="J98" s="561">
        <v>61.786589764149333</v>
      </c>
      <c r="K98" s="121">
        <f>IF('Products x speed'!E12=0,"",('Products x speed'!E204*10^6/'Products x speed'!E12))</f>
        <v>47.263945249069465</v>
      </c>
      <c r="L98" s="121">
        <f>IF('Products x speed'!F12=0,"",('Products x speed'!F204*10^6/'Products x speed'!F12))</f>
        <v>42.349942382451964</v>
      </c>
      <c r="M98" s="121">
        <f>IF('Products x speed'!G12=0,"",('Products x speed'!G204*10^6/'Products x speed'!G12))</f>
        <v>32.87799862653884</v>
      </c>
      <c r="N98" s="121" t="str">
        <f>IF('Products x speed'!H12=0,"",('Products x speed'!H204*10^6/'Products x speed'!H12))</f>
        <v/>
      </c>
      <c r="O98" s="121" t="str">
        <f>IF('Products x speed'!I12=0,"",('Products x speed'!I204*10^6/'Products x speed'!I12))</f>
        <v/>
      </c>
      <c r="P98" s="121" t="str">
        <f>IF('Products x speed'!J12=0,"",('Products x speed'!J204*10^6/'Products x speed'!J12))</f>
        <v/>
      </c>
      <c r="Q98" s="121" t="str">
        <f>IF('Products x speed'!K12=0,"",('Products x speed'!K204*10^6/'Products x speed'!K12))</f>
        <v/>
      </c>
      <c r="R98" s="366" t="str">
        <f>IF('Products x speed'!L12=0,"",('Products x speed'!L204*10^6/'Products x speed'!L12))</f>
        <v/>
      </c>
      <c r="S98" s="366" t="str">
        <f>IF('Products x speed'!M12=0,"",('Products x speed'!M204*10^6/'Products x speed'!M12))</f>
        <v/>
      </c>
      <c r="T98" s="366" t="str">
        <f>IF('Products x speed'!N12=0,"",('Products x speed'!N204*10^6/'Products x speed'!N12))</f>
        <v/>
      </c>
      <c r="U98" s="366" t="str">
        <f>IF('Products x speed'!O12=0,"",('Products x speed'!O204*10^6/'Products x speed'!O12))</f>
        <v/>
      </c>
      <c r="V98" s="366" t="str">
        <f>IF('Products x speed'!P12=0,"",('Products x speed'!P204*10^6/'Products x speed'!P12))</f>
        <v/>
      </c>
    </row>
    <row r="99" spans="1:22">
      <c r="A99" s="638">
        <v>1</v>
      </c>
      <c r="B99" s="83" t="s">
        <v>270</v>
      </c>
      <c r="C99" s="84" t="s">
        <v>170</v>
      </c>
      <c r="D99" s="85" t="s">
        <v>171</v>
      </c>
      <c r="E99" s="562">
        <v>25.939560910404783</v>
      </c>
      <c r="F99" s="563">
        <v>22.688081673781415</v>
      </c>
      <c r="G99" s="563">
        <v>22.22062865405962</v>
      </c>
      <c r="H99" s="563">
        <v>18.709801438173759</v>
      </c>
      <c r="I99" s="563">
        <v>20.126479250400688</v>
      </c>
      <c r="J99" s="563">
        <v>19.049722478191732</v>
      </c>
      <c r="K99" s="123">
        <f>IF('Products x speed'!E13=0,"",('Products x speed'!E205*10^6/'Products x speed'!E13))</f>
        <v>18</v>
      </c>
      <c r="L99" s="123" t="str">
        <f>IF('Products x speed'!F13=0,"",('Products x speed'!F205*10^6/'Products x speed'!F13))</f>
        <v/>
      </c>
      <c r="M99" s="123" t="str">
        <f>IF('Products x speed'!G13=0,"",('Products x speed'!G205*10^6/'Products x speed'!G13))</f>
        <v/>
      </c>
      <c r="N99" s="123" t="str">
        <f>IF('Products x speed'!H13=0,"",('Products x speed'!H205*10^6/'Products x speed'!H13))</f>
        <v/>
      </c>
      <c r="O99" s="123" t="str">
        <f>IF('Products x speed'!I13=0,"",('Products x speed'!I205*10^6/'Products x speed'!I13))</f>
        <v/>
      </c>
      <c r="P99" s="123" t="str">
        <f>IF('Products x speed'!J13=0,"",('Products x speed'!J205*10^6/'Products x speed'!J13))</f>
        <v/>
      </c>
      <c r="Q99" s="123" t="str">
        <f>IF('Products x speed'!K13=0,"",('Products x speed'!K205*10^6/'Products x speed'!K13))</f>
        <v/>
      </c>
      <c r="R99" s="379" t="str">
        <f>IF('Products x speed'!L13=0,"",('Products x speed'!L205*10^6/'Products x speed'!L13))</f>
        <v/>
      </c>
      <c r="S99" s="379" t="str">
        <f>IF('Products x speed'!M13=0,"",('Products x speed'!M205*10^6/'Products x speed'!M13))</f>
        <v/>
      </c>
      <c r="T99" s="379" t="str">
        <f>IF('Products x speed'!N13=0,"",('Products x speed'!N205*10^6/'Products x speed'!N13))</f>
        <v/>
      </c>
      <c r="U99" s="379" t="str">
        <f>IF('Products x speed'!O13=0,"",('Products x speed'!O205*10^6/'Products x speed'!O13))</f>
        <v/>
      </c>
      <c r="V99" s="379" t="str">
        <f>IF('Products x speed'!P13=0,"",('Products x speed'!P205*10^6/'Products x speed'!P13))</f>
        <v/>
      </c>
    </row>
    <row r="100" spans="1:22">
      <c r="A100" s="638">
        <v>10</v>
      </c>
      <c r="B100" s="87" t="str">
        <f>'Products x speed'!B14</f>
        <v>10G</v>
      </c>
      <c r="C100" s="88" t="s">
        <v>34</v>
      </c>
      <c r="D100" s="88" t="s">
        <v>37</v>
      </c>
      <c r="E100" s="560">
        <v>15.112743762429563</v>
      </c>
      <c r="F100" s="561">
        <v>13.644428836751862</v>
      </c>
      <c r="G100" s="561">
        <v>12.213062068937878</v>
      </c>
      <c r="H100" s="561">
        <v>10.358623644251628</v>
      </c>
      <c r="I100" s="561">
        <v>8.8299085008401157</v>
      </c>
      <c r="J100" s="561">
        <v>7.1240862463661356</v>
      </c>
      <c r="K100" s="368">
        <f>IF('Products x speed'!E14=0,"",('Products x speed'!E206*10^6/('Products x speed'!E14*$A100)))</f>
        <v>6.5084287545305619</v>
      </c>
      <c r="L100" s="368">
        <f>IF('Products x speed'!F14=0,"",('Products x speed'!F206*10^6/('Products x speed'!F14*$A100)))</f>
        <v>5.8749084731162213</v>
      </c>
      <c r="M100" s="368">
        <f>IF('Products x speed'!G14=0,"",('Products x speed'!G206*10^6/('Products x speed'!G14*$A100)))</f>
        <v>5.3859817130996488</v>
      </c>
      <c r="N100" s="368" t="str">
        <f>IF('Products x speed'!H14=0,"",('Products x speed'!H206*10^6/('Products x speed'!H14*$A100)))</f>
        <v/>
      </c>
      <c r="O100" s="368" t="str">
        <f>IF('Products x speed'!I14=0,"",('Products x speed'!I206*10^6/('Products x speed'!I14*$A100)))</f>
        <v/>
      </c>
      <c r="P100" s="368" t="str">
        <f>IF('Products x speed'!J14=0,"",('Products x speed'!J206*10^6/('Products x speed'!J14*$A100)))</f>
        <v/>
      </c>
      <c r="Q100" s="368" t="str">
        <f>IF('Products x speed'!K14=0,"",('Products x speed'!K206*10^6/('Products x speed'!K14*$A100)))</f>
        <v/>
      </c>
      <c r="R100" s="368" t="str">
        <f>IF('Products x speed'!L14=0,"",('Products x speed'!L206*10^6/('Products x speed'!L14*$A100)))</f>
        <v/>
      </c>
      <c r="S100" s="368" t="str">
        <f>IF('Products x speed'!M14=0,"",('Products x speed'!M206*10^6/('Products x speed'!M14*$A100)))</f>
        <v/>
      </c>
      <c r="T100" s="368" t="str">
        <f>IF('Products x speed'!N14=0,"",('Products x speed'!N206*10^6/('Products x speed'!N14*$A100)))</f>
        <v/>
      </c>
      <c r="U100" s="368" t="str">
        <f>IF('Products x speed'!O14=0,"",('Products x speed'!O206*10^6/('Products x speed'!O14*$A100)))</f>
        <v/>
      </c>
      <c r="V100" s="368" t="str">
        <f>IF('Products x speed'!P14=0,"",('Products x speed'!P206*10^6/('Products x speed'!P14*$A100)))</f>
        <v/>
      </c>
    </row>
    <row r="101" spans="1:22">
      <c r="A101" s="638">
        <v>10</v>
      </c>
      <c r="B101" s="87" t="str">
        <f>'Products x speed'!B15</f>
        <v>10G</v>
      </c>
      <c r="C101" s="88" t="s">
        <v>34</v>
      </c>
      <c r="D101" s="328" t="s">
        <v>43</v>
      </c>
      <c r="E101" s="560">
        <v>6.3065721604628431</v>
      </c>
      <c r="F101" s="561">
        <v>5.2297989857359539</v>
      </c>
      <c r="G101" s="561">
        <v>4.4677992243753275</v>
      </c>
      <c r="H101" s="561">
        <v>3.4688754082935795</v>
      </c>
      <c r="I101" s="561">
        <v>2.6888660608661401</v>
      </c>
      <c r="J101" s="561">
        <v>2.1430684172313463</v>
      </c>
      <c r="K101" s="368">
        <f>IF('Products x speed'!E15=0,"",('Products x speed'!E207*10^6/('Products x speed'!E15*$A101)))</f>
        <v>1.8016278339273539</v>
      </c>
      <c r="L101" s="368">
        <f>IF('Products x speed'!F15=0,"",('Products x speed'!F207*10^6/('Products x speed'!F15*$A101)))</f>
        <v>1.5097691372748405</v>
      </c>
      <c r="M101" s="368">
        <f>IF('Products x speed'!G15=0,"",('Products x speed'!G207*10^6/('Products x speed'!G15*$A101)))</f>
        <v>1.2873119482168063</v>
      </c>
      <c r="N101" s="368" t="str">
        <f>IF('Products x speed'!H15=0,"",('Products x speed'!H207*10^6/('Products x speed'!H15*$A101)))</f>
        <v/>
      </c>
      <c r="O101" s="368" t="str">
        <f>IF('Products x speed'!I15=0,"",('Products x speed'!I207*10^6/('Products x speed'!I15*$A101)))</f>
        <v/>
      </c>
      <c r="P101" s="368" t="str">
        <f>IF('Products x speed'!J15=0,"",('Products x speed'!J207*10^6/('Products x speed'!J15*$A101)))</f>
        <v/>
      </c>
      <c r="Q101" s="368" t="str">
        <f>IF('Products x speed'!K15=0,"",('Products x speed'!K207*10^6/('Products x speed'!K15*$A101)))</f>
        <v/>
      </c>
      <c r="R101" s="368" t="str">
        <f>IF('Products x speed'!L15=0,"",('Products x speed'!L207*10^6/('Products x speed'!L15*$A101)))</f>
        <v/>
      </c>
      <c r="S101" s="368" t="str">
        <f>IF('Products x speed'!M15=0,"",('Products x speed'!M207*10^6/('Products x speed'!M15*$A101)))</f>
        <v/>
      </c>
      <c r="T101" s="368" t="str">
        <f>IF('Products x speed'!N15=0,"",('Products x speed'!N207*10^6/('Products x speed'!N15*$A101)))</f>
        <v/>
      </c>
      <c r="U101" s="368" t="str">
        <f>IF('Products x speed'!O15=0,"",('Products x speed'!O207*10^6/('Products x speed'!O15*$A101)))</f>
        <v/>
      </c>
      <c r="V101" s="368" t="str">
        <f>IF('Products x speed'!P15=0,"",('Products x speed'!P207*10^6/('Products x speed'!P15*$A101)))</f>
        <v/>
      </c>
    </row>
    <row r="102" spans="1:22">
      <c r="A102" s="638">
        <v>10</v>
      </c>
      <c r="B102" s="87" t="str">
        <f>'Products x speed'!B16</f>
        <v>10G LRM</v>
      </c>
      <c r="C102" s="88" t="s">
        <v>41</v>
      </c>
      <c r="D102" s="88" t="s">
        <v>43</v>
      </c>
      <c r="E102" s="560">
        <v>14.424503640491661</v>
      </c>
      <c r="F102" s="561">
        <v>14.320708480982754</v>
      </c>
      <c r="G102" s="561">
        <v>12.179925063605946</v>
      </c>
      <c r="H102" s="561">
        <v>10.562327378629689</v>
      </c>
      <c r="I102" s="561">
        <v>12.750044659952088</v>
      </c>
      <c r="J102" s="561">
        <v>12.14662229411816</v>
      </c>
      <c r="K102" s="368">
        <f>IF('Products x speed'!E16=0,"",('Products x speed'!E208*10^6/('Products x speed'!E16*$A102)))</f>
        <v>7.8390761412913719</v>
      </c>
      <c r="L102" s="368">
        <f>IF('Products x speed'!F16=0,"",('Products x speed'!F208*10^6/('Products x speed'!F16*$A102)))</f>
        <v>6.6716018564745481</v>
      </c>
      <c r="M102" s="368">
        <f>IF('Products x speed'!G16=0,"",('Products x speed'!G208*10^6/('Products x speed'!G16*$A102)))</f>
        <v>6.2552567664917165</v>
      </c>
      <c r="N102" s="368" t="str">
        <f>IF('Products x speed'!H16=0,"",('Products x speed'!H208*10^6/('Products x speed'!H16*$A102)))</f>
        <v/>
      </c>
      <c r="O102" s="368" t="str">
        <f>IF('Products x speed'!I16=0,"",('Products x speed'!I208*10^6/('Products x speed'!I16*$A102)))</f>
        <v/>
      </c>
      <c r="P102" s="368" t="str">
        <f>IF('Products x speed'!J16=0,"",('Products x speed'!J208*10^6/('Products x speed'!J16*$A102)))</f>
        <v/>
      </c>
      <c r="Q102" s="368" t="str">
        <f>IF('Products x speed'!K16=0,"",('Products x speed'!K208*10^6/('Products x speed'!K16*$A102)))</f>
        <v/>
      </c>
      <c r="R102" s="368" t="str">
        <f>IF('Products x speed'!L16=0,"",('Products x speed'!L208*10^6/('Products x speed'!L16*$A102)))</f>
        <v/>
      </c>
      <c r="S102" s="368" t="str">
        <f>IF('Products x speed'!M16=0,"",('Products x speed'!M208*10^6/('Products x speed'!M16*$A102)))</f>
        <v/>
      </c>
      <c r="T102" s="368" t="str">
        <f>IF('Products x speed'!N16=0,"",('Products x speed'!N208*10^6/('Products x speed'!N16*$A102)))</f>
        <v/>
      </c>
      <c r="U102" s="368" t="str">
        <f>IF('Products x speed'!O16=0,"",('Products x speed'!O208*10^6/('Products x speed'!O16*$A102)))</f>
        <v/>
      </c>
      <c r="V102" s="368" t="str">
        <f>IF('Products x speed'!P16=0,"",('Products x speed'!P208*10^6/('Products x speed'!P16*$A102)))</f>
        <v/>
      </c>
    </row>
    <row r="103" spans="1:22">
      <c r="A103" s="638">
        <v>10</v>
      </c>
      <c r="B103" s="87" t="str">
        <f>'Products x speed'!B17</f>
        <v>10G</v>
      </c>
      <c r="C103" s="88" t="s">
        <v>50</v>
      </c>
      <c r="D103" s="88" t="s">
        <v>37</v>
      </c>
      <c r="E103" s="560">
        <v>21.949942921858643</v>
      </c>
      <c r="F103" s="561">
        <v>16.075519589493304</v>
      </c>
      <c r="G103" s="561">
        <v>14.249466750501512</v>
      </c>
      <c r="H103" s="561">
        <v>10.184443824489581</v>
      </c>
      <c r="I103" s="561">
        <v>9.3993109419468723</v>
      </c>
      <c r="J103" s="561">
        <v>9.1544098465554882</v>
      </c>
      <c r="K103" s="368">
        <f>IF('Products x speed'!E17=0,"",('Products x speed'!E209*10^6/('Products x speed'!E17*$A103)))</f>
        <v>6.757697222104901</v>
      </c>
      <c r="L103" s="368">
        <f>IF('Products x speed'!F17=0,"",('Products x speed'!F209*10^6/('Products x speed'!F17*$A103)))</f>
        <v>5.1799368807617707</v>
      </c>
      <c r="M103" s="368">
        <f>IF('Products x speed'!G17=0,"",('Products x speed'!G209*10^6/('Products x speed'!G17*$A103)))</f>
        <v>4.4013044587017021</v>
      </c>
      <c r="N103" s="368" t="str">
        <f>IF('Products x speed'!H17=0,"",('Products x speed'!H209*10^6/('Products x speed'!H17*$A103)))</f>
        <v/>
      </c>
      <c r="O103" s="368" t="str">
        <f>IF('Products x speed'!I17=0,"",('Products x speed'!I209*10^6/('Products x speed'!I17*$A103)))</f>
        <v/>
      </c>
      <c r="P103" s="368" t="str">
        <f>IF('Products x speed'!J17=0,"",('Products x speed'!J209*10^6/('Products x speed'!J17*$A103)))</f>
        <v/>
      </c>
      <c r="Q103" s="368" t="str">
        <f>IF('Products x speed'!K17=0,"",('Products x speed'!K209*10^6/('Products x speed'!K17*$A103)))</f>
        <v/>
      </c>
      <c r="R103" s="368" t="str">
        <f>IF('Products x speed'!L17=0,"",('Products x speed'!L209*10^6/('Products x speed'!L17*$A103)))</f>
        <v/>
      </c>
      <c r="S103" s="368" t="str">
        <f>IF('Products x speed'!M17=0,"",('Products x speed'!M209*10^6/('Products x speed'!M17*$A103)))</f>
        <v/>
      </c>
      <c r="T103" s="368" t="str">
        <f>IF('Products x speed'!N17=0,"",('Products x speed'!N209*10^6/('Products x speed'!N17*$A103)))</f>
        <v/>
      </c>
      <c r="U103" s="368" t="str">
        <f>IF('Products x speed'!O17=0,"",('Products x speed'!O209*10^6/('Products x speed'!O17*$A103)))</f>
        <v/>
      </c>
      <c r="V103" s="368" t="str">
        <f>IF('Products x speed'!P17=0,"",('Products x speed'!P209*10^6/('Products x speed'!P17*$A103)))</f>
        <v/>
      </c>
    </row>
    <row r="104" spans="1:22">
      <c r="A104" s="638">
        <v>10</v>
      </c>
      <c r="B104" s="87" t="str">
        <f>'Products x speed'!B18</f>
        <v>10G</v>
      </c>
      <c r="C104" s="88" t="s">
        <v>50</v>
      </c>
      <c r="D104" s="88" t="s">
        <v>43</v>
      </c>
      <c r="E104" s="560">
        <v>17.318530244368393</v>
      </c>
      <c r="F104" s="561">
        <v>14.620100776925561</v>
      </c>
      <c r="G104" s="561">
        <v>11.971948263419872</v>
      </c>
      <c r="H104" s="561">
        <v>9.4707702365193303</v>
      </c>
      <c r="I104" s="561">
        <v>6.5595897378862764</v>
      </c>
      <c r="J104" s="561">
        <v>5.4323012474402681</v>
      </c>
      <c r="K104" s="368">
        <f>IF('Products x speed'!E18=0,"",('Products x speed'!E210*10^6/('Products x speed'!E18*$A104)))</f>
        <v>3.846595831142734</v>
      </c>
      <c r="L104" s="368">
        <f>IF('Products x speed'!F18=0,"",('Products x speed'!F210*10^6/('Products x speed'!F18*$A104)))</f>
        <v>3.05</v>
      </c>
      <c r="M104" s="368">
        <f>IF('Products x speed'!G18=0,"",('Products x speed'!G210*10^6/('Products x speed'!G18*$A104)))</f>
        <v>2.4174517052756186</v>
      </c>
      <c r="N104" s="368" t="str">
        <f>IF('Products x speed'!H18=0,"",('Products x speed'!H210*10^6/('Products x speed'!H18*$A104)))</f>
        <v/>
      </c>
      <c r="O104" s="368" t="str">
        <f>IF('Products x speed'!I18=0,"",('Products x speed'!I210*10^6/('Products x speed'!I18*$A104)))</f>
        <v/>
      </c>
      <c r="P104" s="368" t="str">
        <f>IF('Products x speed'!J18=0,"",('Products x speed'!J210*10^6/('Products x speed'!J18*$A104)))</f>
        <v/>
      </c>
      <c r="Q104" s="368" t="str">
        <f>IF('Products x speed'!K18=0,"",('Products x speed'!K210*10^6/('Products x speed'!K18*$A104)))</f>
        <v/>
      </c>
      <c r="R104" s="368" t="str">
        <f>IF('Products x speed'!L18=0,"",('Products x speed'!L210*10^6/('Products x speed'!L18*$A104)))</f>
        <v/>
      </c>
      <c r="S104" s="368" t="str">
        <f>IF('Products x speed'!M18=0,"",('Products x speed'!M210*10^6/('Products x speed'!M18*$A104)))</f>
        <v/>
      </c>
      <c r="T104" s="368" t="str">
        <f>IF('Products x speed'!N18=0,"",('Products x speed'!N210*10^6/('Products x speed'!N18*$A104)))</f>
        <v/>
      </c>
      <c r="U104" s="368" t="str">
        <f>IF('Products x speed'!O18=0,"",('Products x speed'!O210*10^6/('Products x speed'!O18*$A104)))</f>
        <v/>
      </c>
      <c r="V104" s="368" t="str">
        <f>IF('Products x speed'!P18=0,"",('Products x speed'!P210*10^6/('Products x speed'!P18*$A104)))</f>
        <v/>
      </c>
    </row>
    <row r="105" spans="1:22">
      <c r="A105" s="638">
        <v>10</v>
      </c>
      <c r="B105" s="87" t="str">
        <f>'Products x speed'!B19</f>
        <v>10G</v>
      </c>
      <c r="C105" s="88" t="s">
        <v>55</v>
      </c>
      <c r="D105" s="88" t="s">
        <v>39</v>
      </c>
      <c r="E105" s="560">
        <v>45.874914932918529</v>
      </c>
      <c r="F105" s="561">
        <v>37.910166436234448</v>
      </c>
      <c r="G105" s="561">
        <v>27.801267657346035</v>
      </c>
      <c r="H105" s="561">
        <v>24.705890892593853</v>
      </c>
      <c r="I105" s="561">
        <v>27.500914160292453</v>
      </c>
      <c r="J105" s="561">
        <v>18.976906755898383</v>
      </c>
      <c r="K105" s="368">
        <f>IF('Products x speed'!E19=0,"",('Products x speed'!E211*10^6/('Products x speed'!E19*$A105)))</f>
        <v>20.296860771881491</v>
      </c>
      <c r="L105" s="368">
        <f>IF('Products x speed'!F19=0,"",('Products x speed'!F211*10^6/('Products x speed'!F19*$A105)))</f>
        <v>13.947449702400384</v>
      </c>
      <c r="M105" s="368">
        <f>IF('Products x speed'!G19=0,"",('Products x speed'!G211*10^6/('Products x speed'!G19*$A105)))</f>
        <v>11.96669017796072</v>
      </c>
      <c r="N105" s="368" t="str">
        <f>IF('Products x speed'!H19=0,"",('Products x speed'!H211*10^6/('Products x speed'!H19*$A105)))</f>
        <v/>
      </c>
      <c r="O105" s="368" t="str">
        <f>IF('Products x speed'!I19=0,"",('Products x speed'!I211*10^6/('Products x speed'!I19*$A105)))</f>
        <v/>
      </c>
      <c r="P105" s="368" t="str">
        <f>IF('Products x speed'!J19=0,"",('Products x speed'!J211*10^6/('Products x speed'!J19*$A105)))</f>
        <v/>
      </c>
      <c r="Q105" s="368" t="str">
        <f>IF('Products x speed'!K19=0,"",('Products x speed'!K211*10^6/('Products x speed'!K19*$A105)))</f>
        <v/>
      </c>
      <c r="R105" s="368" t="str">
        <f>IF('Products x speed'!L19=0,"",('Products x speed'!L211*10^6/('Products x speed'!L19*$A105)))</f>
        <v/>
      </c>
      <c r="S105" s="368" t="str">
        <f>IF('Products x speed'!M19=0,"",('Products x speed'!M211*10^6/('Products x speed'!M19*$A105)))</f>
        <v/>
      </c>
      <c r="T105" s="368" t="str">
        <f>IF('Products x speed'!N19=0,"",('Products x speed'!N211*10^6/('Products x speed'!N19*$A105)))</f>
        <v/>
      </c>
      <c r="U105" s="368" t="str">
        <f>IF('Products x speed'!O19=0,"",('Products x speed'!O211*10^6/('Products x speed'!O19*$A105)))</f>
        <v/>
      </c>
      <c r="V105" s="368" t="str">
        <f>IF('Products x speed'!P19=0,"",('Products x speed'!P211*10^6/('Products x speed'!P19*$A105)))</f>
        <v/>
      </c>
    </row>
    <row r="106" spans="1:22">
      <c r="A106" s="638">
        <v>10</v>
      </c>
      <c r="B106" s="87" t="str">
        <f>'Products x speed'!B20</f>
        <v>10G</v>
      </c>
      <c r="C106" s="88" t="s">
        <v>55</v>
      </c>
      <c r="D106" s="88" t="s">
        <v>43</v>
      </c>
      <c r="E106" s="560">
        <v>49.522759992422806</v>
      </c>
      <c r="F106" s="561">
        <v>28.460997703897085</v>
      </c>
      <c r="G106" s="561">
        <v>28.065265440087025</v>
      </c>
      <c r="H106" s="561">
        <v>29.089882800330866</v>
      </c>
      <c r="I106" s="561">
        <v>26.671920773297607</v>
      </c>
      <c r="J106" s="561">
        <v>22.444621372233495</v>
      </c>
      <c r="K106" s="368">
        <f>IF('Products x speed'!E20=0,"",('Products x speed'!E212*10^6/('Products x speed'!E20*$A106)))</f>
        <v>19.120778168956544</v>
      </c>
      <c r="L106" s="368">
        <f>IF('Products x speed'!F20=0,"",('Products x speed'!F212*10^6/('Products x speed'!F20*$A106)))</f>
        <v>15.578241680453386</v>
      </c>
      <c r="M106" s="368">
        <f>IF('Products x speed'!G20=0,"",('Products x speed'!G212*10^6/('Products x speed'!G20*$A106)))</f>
        <v>9.9963714368632441</v>
      </c>
      <c r="N106" s="368" t="str">
        <f>IF('Products x speed'!H20=0,"",('Products x speed'!H212*10^6/('Products x speed'!H20*$A106)))</f>
        <v/>
      </c>
      <c r="O106" s="368" t="str">
        <f>IF('Products x speed'!I20=0,"",('Products x speed'!I212*10^6/('Products x speed'!I20*$A106)))</f>
        <v/>
      </c>
      <c r="P106" s="368" t="str">
        <f>IF('Products x speed'!J20=0,"",('Products x speed'!J212*10^6/('Products x speed'!J20*$A106)))</f>
        <v/>
      </c>
      <c r="Q106" s="368" t="str">
        <f>IF('Products x speed'!K20=0,"",('Products x speed'!K212*10^6/('Products x speed'!K20*$A106)))</f>
        <v/>
      </c>
      <c r="R106" s="368" t="str">
        <f>IF('Products x speed'!L20=0,"",('Products x speed'!L212*10^6/('Products x speed'!L20*$A106)))</f>
        <v/>
      </c>
      <c r="S106" s="368" t="str">
        <f>IF('Products x speed'!M20=0,"",('Products x speed'!M212*10^6/('Products x speed'!M20*$A106)))</f>
        <v/>
      </c>
      <c r="T106" s="368" t="str">
        <f>IF('Products x speed'!N20=0,"",('Products x speed'!N212*10^6/('Products x speed'!N20*$A106)))</f>
        <v/>
      </c>
      <c r="U106" s="368" t="str">
        <f>IF('Products x speed'!O20=0,"",('Products x speed'!O212*10^6/('Products x speed'!O20*$A106)))</f>
        <v/>
      </c>
      <c r="V106" s="368" t="str">
        <f>IF('Products x speed'!P20=0,"",('Products x speed'!P212*10^6/('Products x speed'!P20*$A106)))</f>
        <v/>
      </c>
    </row>
    <row r="107" spans="1:22">
      <c r="A107" s="638">
        <v>10</v>
      </c>
      <c r="B107" s="87" t="str">
        <f>'Products x speed'!B21</f>
        <v>10G</v>
      </c>
      <c r="C107" s="88" t="s">
        <v>57</v>
      </c>
      <c r="D107" s="88" t="s">
        <v>39</v>
      </c>
      <c r="E107" s="560">
        <v>100.59981308411216</v>
      </c>
      <c r="F107" s="561">
        <v>89.19652258693533</v>
      </c>
      <c r="G107" s="561">
        <v>71.370818803180356</v>
      </c>
      <c r="H107" s="561">
        <v>49.034202541247865</v>
      </c>
      <c r="I107" s="561">
        <v>45.201280095262213</v>
      </c>
      <c r="J107" s="561">
        <v>40.142869182236097</v>
      </c>
      <c r="K107" s="368">
        <f>IF('Products x speed'!E21=0,"",('Products x speed'!E213*10^6/('Products x speed'!E21*$A107)))</f>
        <v>27.207487233854959</v>
      </c>
      <c r="L107" s="368">
        <f>IF('Products x speed'!F21=0,"",('Products x speed'!F213*10^6/('Products x speed'!F21*$A107)))</f>
        <v>27.905568350167474</v>
      </c>
      <c r="M107" s="368">
        <f>IF('Products x speed'!G21=0,"",('Products x speed'!G213*10^6/('Products x speed'!G21*$A107)))</f>
        <v>29.85343287303148</v>
      </c>
      <c r="N107" s="368" t="str">
        <f>IF('Products x speed'!H21=0,"",('Products x speed'!H213*10^6/('Products x speed'!H21*$A107)))</f>
        <v/>
      </c>
      <c r="O107" s="368" t="str">
        <f>IF('Products x speed'!I21=0,"",('Products x speed'!I213*10^6/('Products x speed'!I21*$A107)))</f>
        <v/>
      </c>
      <c r="P107" s="368" t="str">
        <f>IF('Products x speed'!J21=0,"",('Products x speed'!J213*10^6/('Products x speed'!J21*$A107)))</f>
        <v/>
      </c>
      <c r="Q107" s="368" t="str">
        <f>IF('Products x speed'!K21=0,"",('Products x speed'!K213*10^6/('Products x speed'!K21*$A107)))</f>
        <v/>
      </c>
      <c r="R107" s="368" t="str">
        <f>IF('Products x speed'!L21=0,"",('Products x speed'!L213*10^6/('Products x speed'!L21*$A107)))</f>
        <v/>
      </c>
      <c r="S107" s="368" t="str">
        <f>IF('Products x speed'!M21=0,"",('Products x speed'!M213*10^6/('Products x speed'!M21*$A107)))</f>
        <v/>
      </c>
      <c r="T107" s="368" t="str">
        <f>IF('Products x speed'!N21=0,"",('Products x speed'!N213*10^6/('Products x speed'!N21*$A107)))</f>
        <v/>
      </c>
      <c r="U107" s="368" t="str">
        <f>IF('Products x speed'!O21=0,"",('Products x speed'!O213*10^6/('Products x speed'!O21*$A107)))</f>
        <v/>
      </c>
      <c r="V107" s="368" t="str">
        <f>IF('Products x speed'!P21=0,"",('Products x speed'!P213*10^6/('Products x speed'!P21*$A107)))</f>
        <v/>
      </c>
    </row>
    <row r="108" spans="1:22">
      <c r="A108" s="638">
        <v>10</v>
      </c>
      <c r="B108" s="87" t="str">
        <f>'Products x speed'!B22</f>
        <v>10G</v>
      </c>
      <c r="C108" s="88" t="s">
        <v>57</v>
      </c>
      <c r="D108" s="88" t="s">
        <v>43</v>
      </c>
      <c r="E108" s="560">
        <v>90</v>
      </c>
      <c r="F108" s="561">
        <v>72</v>
      </c>
      <c r="G108" s="561">
        <v>70</v>
      </c>
      <c r="H108" s="561">
        <v>68.759579667644189</v>
      </c>
      <c r="I108" s="561">
        <v>61.089275470004111</v>
      </c>
      <c r="J108" s="561">
        <v>43.108286819302243</v>
      </c>
      <c r="K108" s="368">
        <f>IF('Products x speed'!E22=0,"",('Products x speed'!E214*10^6/('Products x speed'!E22*$A108)))</f>
        <v>36.231733736347387</v>
      </c>
      <c r="L108" s="368">
        <f>IF('Products x speed'!F22=0,"",('Products x speed'!F214*10^6/('Products x speed'!F22*$A108)))</f>
        <v>29.614130230693675</v>
      </c>
      <c r="M108" s="368">
        <f>IF('Products x speed'!G22=0,"",('Products x speed'!G214*10^6/('Products x speed'!G22*$A108)))</f>
        <v>23.206261204152721</v>
      </c>
      <c r="N108" s="368" t="str">
        <f>IF('Products x speed'!H22=0,"",('Products x speed'!H214*10^6/('Products x speed'!H22*$A108)))</f>
        <v/>
      </c>
      <c r="O108" s="368" t="str">
        <f>IF('Products x speed'!I22=0,"",('Products x speed'!I214*10^6/('Products x speed'!I22*$A108)))</f>
        <v/>
      </c>
      <c r="P108" s="368" t="str">
        <f>IF('Products x speed'!J22=0,"",('Products x speed'!J214*10^6/('Products x speed'!J22*$A108)))</f>
        <v/>
      </c>
      <c r="Q108" s="368" t="str">
        <f>IF('Products x speed'!K22=0,"",('Products x speed'!K214*10^6/('Products x speed'!K22*$A108)))</f>
        <v/>
      </c>
      <c r="R108" s="368" t="str">
        <f>IF('Products x speed'!L22=0,"",('Products x speed'!L214*10^6/('Products x speed'!L22*$A108)))</f>
        <v/>
      </c>
      <c r="S108" s="368" t="str">
        <f>IF('Products x speed'!M22=0,"",('Products x speed'!M214*10^6/('Products x speed'!M22*$A108)))</f>
        <v/>
      </c>
      <c r="T108" s="368" t="str">
        <f>IF('Products x speed'!N22=0,"",('Products x speed'!N214*10^6/('Products x speed'!N22*$A108)))</f>
        <v/>
      </c>
      <c r="U108" s="368" t="str">
        <f>IF('Products x speed'!O22=0,"",('Products x speed'!O214*10^6/('Products x speed'!O22*$A108)))</f>
        <v/>
      </c>
      <c r="V108" s="368" t="str">
        <f>IF('Products x speed'!P22=0,"",('Products x speed'!P214*10^6/('Products x speed'!P22*$A108)))</f>
        <v/>
      </c>
    </row>
    <row r="109" spans="1:22">
      <c r="A109" s="638">
        <v>10</v>
      </c>
      <c r="B109" s="83" t="str">
        <f>'Products x speed'!B23</f>
        <v>10G</v>
      </c>
      <c r="C109" s="84" t="s">
        <v>170</v>
      </c>
      <c r="D109" s="84" t="s">
        <v>171</v>
      </c>
      <c r="E109" s="562">
        <v>23.186054938926809</v>
      </c>
      <c r="F109" s="563">
        <v>18.046254106421078</v>
      </c>
      <c r="G109" s="563">
        <v>15.98759050008206</v>
      </c>
      <c r="H109" s="563">
        <v>14.120306156443664</v>
      </c>
      <c r="I109" s="563">
        <v>12.638928513741623</v>
      </c>
      <c r="J109" s="563">
        <v>11.370912284040928</v>
      </c>
      <c r="K109" s="368">
        <f>IF('Products x speed'!E23=0,"",('Products x speed'!E215*10^6/('Products x speed'!E23*$A109)))</f>
        <v>9.9093186017554924</v>
      </c>
      <c r="L109" s="368">
        <f>IF('Products x speed'!F23=0,"",('Products x speed'!F215*10^6/('Products x speed'!F23*$A109)))</f>
        <v>9.4281145957499302</v>
      </c>
      <c r="M109" s="368">
        <f>IF('Products x speed'!G23=0,"",('Products x speed'!G215*10^6/('Products x speed'!G23*$A109)))</f>
        <v>11.428571428571429</v>
      </c>
      <c r="N109" s="368" t="str">
        <f>IF('Products x speed'!H23=0,"",('Products x speed'!H215*10^6/('Products x speed'!H23*$A109)))</f>
        <v/>
      </c>
      <c r="O109" s="368" t="str">
        <f>IF('Products x speed'!I23=0,"",('Products x speed'!I215*10^6/('Products x speed'!I23*$A109)))</f>
        <v/>
      </c>
      <c r="P109" s="368" t="str">
        <f>IF('Products x speed'!J23=0,"",('Products x speed'!J215*10^6/('Products x speed'!J23*$A109)))</f>
        <v/>
      </c>
      <c r="Q109" s="368" t="str">
        <f>IF('Products x speed'!K23=0,"",('Products x speed'!K215*10^6/('Products x speed'!K23*$A109)))</f>
        <v/>
      </c>
      <c r="R109" s="368" t="str">
        <f>IF('Products x speed'!L23=0,"",('Products x speed'!L215*10^6/('Products x speed'!L23*$A109)))</f>
        <v/>
      </c>
      <c r="S109" s="368" t="str">
        <f>IF('Products x speed'!M23=0,"",('Products x speed'!M215*10^6/('Products x speed'!M23*$A109)))</f>
        <v/>
      </c>
      <c r="T109" s="368" t="str">
        <f>IF('Products x speed'!N23=0,"",('Products x speed'!N215*10^6/('Products x speed'!N23*$A109)))</f>
        <v/>
      </c>
      <c r="U109" s="368" t="str">
        <f>IF('Products x speed'!O23=0,"",('Products x speed'!O215*10^6/('Products x speed'!O23*$A109)))</f>
        <v/>
      </c>
      <c r="V109" s="368" t="str">
        <f>IF('Products x speed'!P23=0,"",('Products x speed'!P215*10^6/('Products x speed'!P23*$A109)))</f>
        <v/>
      </c>
    </row>
    <row r="110" spans="1:22">
      <c r="A110" s="638">
        <v>25</v>
      </c>
      <c r="B110" s="79" t="str">
        <f>'Products x speed'!B24</f>
        <v>25G SR, eSR</v>
      </c>
      <c r="C110" s="240" t="s">
        <v>34</v>
      </c>
      <c r="D110" s="240" t="s">
        <v>116</v>
      </c>
      <c r="E110" s="690">
        <f>(E104+E100)/2*10</f>
        <v>162.15637003398979</v>
      </c>
      <c r="F110" s="690">
        <f t="shared" ref="F110:J110" si="6">(F104+F100)/2*10</f>
        <v>141.32264806838714</v>
      </c>
      <c r="G110" s="690">
        <f t="shared" si="6"/>
        <v>120.92505166178874</v>
      </c>
      <c r="H110" s="690">
        <f t="shared" si="6"/>
        <v>99.146969403854797</v>
      </c>
      <c r="I110" s="690">
        <f t="shared" si="6"/>
        <v>76.947491193631961</v>
      </c>
      <c r="J110" s="690">
        <f t="shared" si="6"/>
        <v>62.781937469032023</v>
      </c>
      <c r="K110" s="119">
        <f>IF('Products x speed'!E24=0,"",('Products x speed'!E216*10^6/('Products x speed'!E24*$A110)))</f>
        <v>7.4857262804366078</v>
      </c>
      <c r="L110" s="119">
        <f>IF('Products x speed'!F24=0,"",('Products x speed'!F216*10^6/('Products x speed'!F24*$A110)))</f>
        <v>5.6444287278986067</v>
      </c>
      <c r="M110" s="119">
        <f>IF('Products x speed'!G24=0,"",('Products x speed'!G216*10^6/('Products x speed'!G24*$A110)))</f>
        <v>3.4918688536513516</v>
      </c>
      <c r="N110" s="119" t="str">
        <f>IF('Products x speed'!H24=0,"",('Products x speed'!H216*10^6/('Products x speed'!H24*$A110)))</f>
        <v/>
      </c>
      <c r="O110" s="119" t="str">
        <f>IF('Products x speed'!I24=0,"",('Products x speed'!I216*10^6/('Products x speed'!I24*$A110)))</f>
        <v/>
      </c>
      <c r="P110" s="119" t="str">
        <f>IF('Products x speed'!J24=0,"",('Products x speed'!J216*10^6/('Products x speed'!J24*$A110)))</f>
        <v/>
      </c>
      <c r="Q110" s="119" t="str">
        <f>IF('Products x speed'!K24=0,"",('Products x speed'!K216*10^6/('Products x speed'!K24*$A110)))</f>
        <v/>
      </c>
      <c r="R110" s="378" t="str">
        <f>IF('Products x speed'!L24=0,"",('Products x speed'!L216*10^6/('Products x speed'!L24*$A110)))</f>
        <v/>
      </c>
      <c r="S110" s="378" t="str">
        <f>IF('Products x speed'!M24=0,"",('Products x speed'!M216*10^6/('Products x speed'!M24*$A110)))</f>
        <v/>
      </c>
      <c r="T110" s="378" t="str">
        <f>IF('Products x speed'!N24=0,"",('Products x speed'!N216*10^6/('Products x speed'!N24*$A110)))</f>
        <v/>
      </c>
      <c r="U110" s="378" t="str">
        <f>IF('Products x speed'!O24=0,"",('Products x speed'!O216*10^6/('Products x speed'!O24*$A110)))</f>
        <v/>
      </c>
      <c r="V110" s="378" t="str">
        <f>IF('Products x speed'!P24=0,"",('Products x speed'!P216*10^6/('Products x speed'!P24*$A110)))</f>
        <v/>
      </c>
    </row>
    <row r="111" spans="1:22">
      <c r="A111" s="638">
        <v>25</v>
      </c>
      <c r="B111" s="87" t="str">
        <f>'Products x speed'!B25</f>
        <v>25G LR</v>
      </c>
      <c r="C111" s="240" t="s">
        <v>50</v>
      </c>
      <c r="D111" s="240" t="s">
        <v>116</v>
      </c>
      <c r="E111" s="560" t="s">
        <v>94</v>
      </c>
      <c r="F111" s="561" t="s">
        <v>94</v>
      </c>
      <c r="G111" s="561" t="s">
        <v>94</v>
      </c>
      <c r="H111" s="561" t="s">
        <v>94</v>
      </c>
      <c r="I111" s="561" t="s">
        <v>94</v>
      </c>
      <c r="J111" s="561" t="s">
        <v>94</v>
      </c>
      <c r="K111" s="121">
        <f>IF('Products x speed'!E25=0,"",('Products x speed'!E217*10^6/('Products x speed'!E25*$A111)))</f>
        <v>18.249613016710644</v>
      </c>
      <c r="L111" s="121">
        <f>IF('Products x speed'!F25=0,"",('Products x speed'!F217*10^6/('Products x speed'!F25*$A111)))</f>
        <v>12.964142267585002</v>
      </c>
      <c r="M111" s="121">
        <f>IF('Products x speed'!G25=0,"",('Products x speed'!G217*10^6/('Products x speed'!G25*$A111)))</f>
        <v>7.7849911231021514</v>
      </c>
      <c r="N111" s="121" t="str">
        <f>IF('Products x speed'!H25=0,"",('Products x speed'!H217*10^6/('Products x speed'!H25*$A111)))</f>
        <v/>
      </c>
      <c r="O111" s="121" t="str">
        <f>IF('Products x speed'!I25=0,"",('Products x speed'!I217*10^6/('Products x speed'!I25*$A111)))</f>
        <v/>
      </c>
      <c r="P111" s="121" t="str">
        <f>IF('Products x speed'!J25=0,"",('Products x speed'!J217*10^6/('Products x speed'!J25*$A111)))</f>
        <v/>
      </c>
      <c r="Q111" s="121" t="str">
        <f>IF('Products x speed'!K25=0,"",('Products x speed'!K217*10^6/('Products x speed'!K25*$A111)))</f>
        <v/>
      </c>
      <c r="R111" s="366" t="str">
        <f>IF('Products x speed'!L25=0,"",('Products x speed'!L217*10^6/('Products x speed'!L25*$A111)))</f>
        <v/>
      </c>
      <c r="S111" s="366" t="str">
        <f>IF('Products x speed'!M25=0,"",('Products x speed'!M217*10^6/('Products x speed'!M25*$A111)))</f>
        <v/>
      </c>
      <c r="T111" s="366" t="str">
        <f>IF('Products x speed'!N25=0,"",('Products x speed'!N217*10^6/('Products x speed'!N25*$A111)))</f>
        <v/>
      </c>
      <c r="U111" s="366" t="str">
        <f>IF('Products x speed'!O25=0,"",('Products x speed'!O217*10^6/('Products x speed'!O25*$A111)))</f>
        <v/>
      </c>
      <c r="V111" s="366" t="str">
        <f>IF('Products x speed'!P25=0,"",('Products x speed'!P217*10^6/('Products x speed'!P25*$A111)))</f>
        <v/>
      </c>
    </row>
    <row r="112" spans="1:22">
      <c r="A112" s="638">
        <v>25</v>
      </c>
      <c r="B112" s="83" t="str">
        <f>'Products x speed'!B26</f>
        <v>25G ER</v>
      </c>
      <c r="C112" s="364" t="s">
        <v>55</v>
      </c>
      <c r="D112" s="240" t="s">
        <v>116</v>
      </c>
      <c r="E112" s="562" t="s">
        <v>94</v>
      </c>
      <c r="F112" s="563" t="s">
        <v>94</v>
      </c>
      <c r="G112" s="563" t="s">
        <v>94</v>
      </c>
      <c r="H112" s="563" t="s">
        <v>94</v>
      </c>
      <c r="I112" s="563" t="s">
        <v>94</v>
      </c>
      <c r="J112" s="563" t="s">
        <v>94</v>
      </c>
      <c r="K112" s="123" t="str">
        <f>IF('Products x speed'!E26=0,"",('Products x speed'!E218*10^6/('Products x speed'!E26*$A112)))</f>
        <v/>
      </c>
      <c r="L112" s="123" t="str">
        <f>IF('Products x speed'!F26=0,"",('Products x speed'!F218*10^6/('Products x speed'!F26*$A112)))</f>
        <v/>
      </c>
      <c r="M112" s="123" t="str">
        <f>IF('Products x speed'!G26=0,"",('Products x speed'!G218*10^6/('Products x speed'!G26*$A112)))</f>
        <v/>
      </c>
      <c r="N112" s="123" t="str">
        <f>IF('Products x speed'!H26=0,"",('Products x speed'!H218*10^6/('Products x speed'!H26*$A112)))</f>
        <v/>
      </c>
      <c r="O112" s="123" t="str">
        <f>IF('Products x speed'!I26=0,"",('Products x speed'!I218*10^6/('Products x speed'!I26*$A112)))</f>
        <v/>
      </c>
      <c r="P112" s="123" t="str">
        <f>IF('Products x speed'!J26=0,"",('Products x speed'!J218*10^6/('Products x speed'!J26*$A112)))</f>
        <v/>
      </c>
      <c r="Q112" s="123" t="str">
        <f>IF('Products x speed'!K26=0,"",('Products x speed'!K218*10^6/('Products x speed'!K26*$A112)))</f>
        <v/>
      </c>
      <c r="R112" s="379" t="str">
        <f>IF('Products x speed'!L26=0,"",('Products x speed'!L218*10^6/('Products x speed'!L26*$A112)))</f>
        <v/>
      </c>
      <c r="S112" s="379" t="str">
        <f>IF('Products x speed'!M26=0,"",('Products x speed'!M218*10^6/('Products x speed'!M26*$A112)))</f>
        <v/>
      </c>
      <c r="T112" s="379" t="str">
        <f>IF('Products x speed'!N26=0,"",('Products x speed'!N218*10^6/('Products x speed'!N26*$A112)))</f>
        <v/>
      </c>
      <c r="U112" s="379" t="str">
        <f>IF('Products x speed'!O26=0,"",('Products x speed'!O218*10^6/('Products x speed'!O26*$A112)))</f>
        <v/>
      </c>
      <c r="V112" s="379" t="str">
        <f>IF('Products x speed'!P26=0,"",('Products x speed'!P218*10^6/('Products x speed'!P26*$A112)))</f>
        <v/>
      </c>
    </row>
    <row r="113" spans="1:23">
      <c r="A113" s="638">
        <v>40</v>
      </c>
      <c r="B113" s="79" t="str">
        <f>'Products x speed'!B27</f>
        <v>40G SR4</v>
      </c>
      <c r="C113" s="80" t="str">
        <f>'Products x speed'!C27</f>
        <v>100 m</v>
      </c>
      <c r="D113" s="80" t="str">
        <f>'Products x speed'!D27</f>
        <v>QSFP+</v>
      </c>
      <c r="E113" s="560">
        <v>16</v>
      </c>
      <c r="F113" s="561">
        <v>7.186692574411718</v>
      </c>
      <c r="G113" s="561">
        <v>5.2569352371264841</v>
      </c>
      <c r="H113" s="561">
        <v>4.7415806558600639</v>
      </c>
      <c r="I113" s="561">
        <v>4.2772281148687288</v>
      </c>
      <c r="J113" s="561">
        <v>2.8627568014306539</v>
      </c>
      <c r="K113" s="121">
        <f>IF('Products x speed'!E27=0,"",('Products x speed'!E219*10^6/('Products x speed'!E27*$A113)))</f>
        <v>2.4148765971891244</v>
      </c>
      <c r="L113" s="121">
        <f>IF('Products x speed'!F27=0,"",('Products x speed'!F219*10^6/('Products x speed'!F27*$A113)))</f>
        <v>2.0094949393981421</v>
      </c>
      <c r="M113" s="121">
        <f>IF('Products x speed'!G27=0,"",('Products x speed'!G219*10^6/('Products x speed'!G27*$A113)))</f>
        <v>1.4665066135155511</v>
      </c>
      <c r="N113" s="121" t="str">
        <f>IF('Products x speed'!H27=0,"",('Products x speed'!H219*10^6/('Products x speed'!H27*$A113)))</f>
        <v/>
      </c>
      <c r="O113" s="121" t="str">
        <f>IF('Products x speed'!I27=0,"",('Products x speed'!I219*10^6/('Products x speed'!I27*$A113)))</f>
        <v/>
      </c>
      <c r="P113" s="121" t="str">
        <f>IF('Products x speed'!J27=0,"",('Products x speed'!J219*10^6/('Products x speed'!J27*$A113)))</f>
        <v/>
      </c>
      <c r="Q113" s="121" t="str">
        <f>IF('Products x speed'!K27=0,"",('Products x speed'!K219*10^6/('Products x speed'!K27*$A113)))</f>
        <v/>
      </c>
      <c r="R113" s="366" t="str">
        <f>IF('Products x speed'!L27=0,"",('Products x speed'!L219*10^6/('Products x speed'!L27*$A113)))</f>
        <v/>
      </c>
      <c r="S113" s="366" t="str">
        <f>IF('Products x speed'!M27=0,"",('Products x speed'!M219*10^6/('Products x speed'!M27*$A113)))</f>
        <v/>
      </c>
      <c r="T113" s="366" t="str">
        <f>IF('Products x speed'!N27=0,"",('Products x speed'!N219*10^6/('Products x speed'!N27*$A113)))</f>
        <v/>
      </c>
      <c r="U113" s="366" t="str">
        <f>IF('Products x speed'!O27=0,"",('Products x speed'!O219*10^6/('Products x speed'!O27*$A113)))</f>
        <v/>
      </c>
      <c r="V113" s="366" t="str">
        <f>IF('Products x speed'!P27=0,"",('Products x speed'!P219*10^6/('Products x speed'!P27*$A113)))</f>
        <v/>
      </c>
    </row>
    <row r="114" spans="1:23">
      <c r="A114" s="638">
        <v>40</v>
      </c>
      <c r="B114" s="87" t="str">
        <f>'Products x speed'!B28</f>
        <v>40G MM duplex</v>
      </c>
      <c r="C114" s="88" t="str">
        <f>'Products x speed'!C28</f>
        <v>100 m</v>
      </c>
      <c r="D114" s="88" t="str">
        <f>'Products x speed'!D28</f>
        <v>QSFP+</v>
      </c>
      <c r="E114" s="560" t="s">
        <v>94</v>
      </c>
      <c r="F114" s="561" t="s">
        <v>94</v>
      </c>
      <c r="G114" s="561" t="s">
        <v>94</v>
      </c>
      <c r="H114" s="561" t="s">
        <v>94</v>
      </c>
      <c r="I114" s="561">
        <v>3.0227272727272729</v>
      </c>
      <c r="J114" s="561">
        <v>2.6704545454545454</v>
      </c>
      <c r="K114" s="121">
        <f>IF('Products x speed'!E28=0,"",('Products x speed'!E220*10^6/('Products x speed'!E28*$A114)))</f>
        <v>6.25</v>
      </c>
      <c r="L114" s="121">
        <f>IF('Products x speed'!F28=0,"",('Products x speed'!F220*10^6/('Products x speed'!F28*$A114)))</f>
        <v>6</v>
      </c>
      <c r="M114" s="121">
        <f>IF('Products x speed'!G28=0,"",('Products x speed'!G220*10^6/('Products x speed'!G28*$A114)))</f>
        <v>5.6749999999999998</v>
      </c>
      <c r="N114" s="121" t="str">
        <f>IF('Products x speed'!H28=0,"",('Products x speed'!H220*10^6/('Products x speed'!H28*$A114)))</f>
        <v/>
      </c>
      <c r="O114" s="121" t="str">
        <f>IF('Products x speed'!I28=0,"",('Products x speed'!I220*10^6/('Products x speed'!I28*$A114)))</f>
        <v/>
      </c>
      <c r="P114" s="121" t="str">
        <f>IF('Products x speed'!J28=0,"",('Products x speed'!J220*10^6/('Products x speed'!J28*$A114)))</f>
        <v/>
      </c>
      <c r="Q114" s="121" t="str">
        <f>IF('Products x speed'!K28=0,"",('Products x speed'!K220*10^6/('Products x speed'!K28*$A114)))</f>
        <v/>
      </c>
      <c r="R114" s="366" t="str">
        <f>IF('Products x speed'!L28=0,"",('Products x speed'!L220*10^6/('Products x speed'!L28*$A114)))</f>
        <v/>
      </c>
      <c r="S114" s="366" t="str">
        <f>IF('Products x speed'!M28=0,"",('Products x speed'!M220*10^6/('Products x speed'!M28*$A114)))</f>
        <v/>
      </c>
      <c r="T114" s="366" t="str">
        <f>IF('Products x speed'!N28=0,"",('Products x speed'!N220*10^6/('Products x speed'!N28*$A114)))</f>
        <v/>
      </c>
      <c r="U114" s="366" t="str">
        <f>IF('Products x speed'!O28=0,"",('Products x speed'!O220*10^6/('Products x speed'!O28*$A114)))</f>
        <v/>
      </c>
      <c r="V114" s="366" t="str">
        <f>IF('Products x speed'!P28=0,"",('Products x speed'!P220*10^6/('Products x speed'!P28*$A114)))</f>
        <v/>
      </c>
    </row>
    <row r="115" spans="1:23">
      <c r="A115" s="638">
        <v>40</v>
      </c>
      <c r="B115" s="87" t="str">
        <f>'Products x speed'!B29</f>
        <v>40G eSR4</v>
      </c>
      <c r="C115" s="88" t="str">
        <f>'Products x speed'!C29</f>
        <v>300 m</v>
      </c>
      <c r="D115" s="88" t="str">
        <f>'Products x speed'!D29</f>
        <v>QSFP+</v>
      </c>
      <c r="E115" s="560" t="s">
        <v>94</v>
      </c>
      <c r="F115" s="561" t="s">
        <v>94</v>
      </c>
      <c r="G115" s="561" t="s">
        <v>94</v>
      </c>
      <c r="H115" s="561" t="s">
        <v>94</v>
      </c>
      <c r="I115" s="561">
        <v>7.5329776155856303</v>
      </c>
      <c r="J115" s="561">
        <v>4.6144862787768171</v>
      </c>
      <c r="K115" s="121">
        <f>IF('Products x speed'!E29=0,"",('Products x speed'!E221*10^6/('Products x speed'!E29*$A115)))</f>
        <v>2.6666536469780473</v>
      </c>
      <c r="L115" s="121">
        <f>IF('Products x speed'!F29=0,"",('Products x speed'!F221*10^6/('Products x speed'!F29*$A115)))</f>
        <v>2.0249820485065428</v>
      </c>
      <c r="M115" s="121">
        <f>IF('Products x speed'!G29=0,"",('Products x speed'!G221*10^6/('Products x speed'!G29*$A115)))</f>
        <v>1.5962730132310279</v>
      </c>
      <c r="N115" s="121" t="str">
        <f>IF('Products x speed'!H29=0,"",('Products x speed'!H221*10^6/('Products x speed'!H29*$A115)))</f>
        <v/>
      </c>
      <c r="O115" s="121" t="str">
        <f>IF('Products x speed'!I29=0,"",('Products x speed'!I221*10^6/('Products x speed'!I29*$A115)))</f>
        <v/>
      </c>
      <c r="P115" s="121" t="str">
        <f>IF('Products x speed'!J29=0,"",('Products x speed'!J221*10^6/('Products x speed'!J29*$A115)))</f>
        <v/>
      </c>
      <c r="Q115" s="121" t="str">
        <f>IF('Products x speed'!K29=0,"",('Products x speed'!K221*10^6/('Products x speed'!K29*$A115)))</f>
        <v/>
      </c>
      <c r="R115" s="366" t="str">
        <f>IF('Products x speed'!L29=0,"",('Products x speed'!L221*10^6/('Products x speed'!L29*$A115)))</f>
        <v/>
      </c>
      <c r="S115" s="366" t="str">
        <f>IF('Products x speed'!M29=0,"",('Products x speed'!M221*10^6/('Products x speed'!M29*$A115)))</f>
        <v/>
      </c>
      <c r="T115" s="366" t="str">
        <f>IF('Products x speed'!N29=0,"",('Products x speed'!N221*10^6/('Products x speed'!N29*$A115)))</f>
        <v/>
      </c>
      <c r="U115" s="366" t="str">
        <f>IF('Products x speed'!O29=0,"",('Products x speed'!O221*10^6/('Products x speed'!O29*$A115)))</f>
        <v/>
      </c>
      <c r="V115" s="366" t="str">
        <f>IF('Products x speed'!P29=0,"",('Products x speed'!P221*10^6/('Products x speed'!P29*$A115)))</f>
        <v/>
      </c>
    </row>
    <row r="116" spans="1:23">
      <c r="A116" s="638">
        <v>40</v>
      </c>
      <c r="B116" s="87" t="str">
        <f>'Products x speed'!B30</f>
        <v xml:space="preserve">40G PSM4 </v>
      </c>
      <c r="C116" s="88" t="str">
        <f>'Products x speed'!C30</f>
        <v>500 m</v>
      </c>
      <c r="D116" s="88" t="str">
        <f>'Products x speed'!D30</f>
        <v>QSFP+</v>
      </c>
      <c r="E116" s="560" t="s">
        <v>94</v>
      </c>
      <c r="F116" s="561" t="s">
        <v>94</v>
      </c>
      <c r="G116" s="561" t="s">
        <v>94</v>
      </c>
      <c r="H116" s="561" t="s">
        <v>94</v>
      </c>
      <c r="I116" s="561">
        <v>8.3375081428571427</v>
      </c>
      <c r="J116" s="561">
        <v>7.3062785546492055</v>
      </c>
      <c r="K116" s="121">
        <f>IF('Products x speed'!E30=0,"",('Products x speed'!E222*10^6/('Products x speed'!E30*$A116)))</f>
        <v>6.3297671318767739</v>
      </c>
      <c r="L116" s="121">
        <f>IF('Products x speed'!F30=0,"",('Products x speed'!F222*10^6/('Products x speed'!F30*$A116)))</f>
        <v>6.5697637865849687</v>
      </c>
      <c r="M116" s="121">
        <f>IF('Products x speed'!G30=0,"",('Products x speed'!G222*10^6/('Products x speed'!G30*$A116)))</f>
        <v>6.2937704393007472</v>
      </c>
      <c r="N116" s="121" t="str">
        <f>IF('Products x speed'!H30=0,"",('Products x speed'!H222*10^6/('Products x speed'!H30*$A116)))</f>
        <v/>
      </c>
      <c r="O116" s="121" t="str">
        <f>IF('Products x speed'!I30=0,"",('Products x speed'!I222*10^6/('Products x speed'!I30*$A116)))</f>
        <v/>
      </c>
      <c r="P116" s="121" t="str">
        <f>IF('Products x speed'!J30=0,"",('Products x speed'!J222*10^6/('Products x speed'!J30*$A116)))</f>
        <v/>
      </c>
      <c r="Q116" s="121" t="str">
        <f>IF('Products x speed'!K30=0,"",('Products x speed'!K222*10^6/('Products x speed'!K30*$A116)))</f>
        <v/>
      </c>
      <c r="R116" s="366" t="str">
        <f>IF('Products x speed'!L30=0,"",('Products x speed'!L222*10^6/('Products x speed'!L30*$A116)))</f>
        <v/>
      </c>
      <c r="S116" s="366" t="str">
        <f>IF('Products x speed'!M30=0,"",('Products x speed'!M222*10^6/('Products x speed'!M30*$A116)))</f>
        <v/>
      </c>
      <c r="T116" s="366" t="str">
        <f>IF('Products x speed'!N30=0,"",('Products x speed'!N222*10^6/('Products x speed'!N30*$A116)))</f>
        <v/>
      </c>
      <c r="U116" s="366" t="str">
        <f>IF('Products x speed'!O30=0,"",('Products x speed'!O222*10^6/('Products x speed'!O30*$A116)))</f>
        <v/>
      </c>
      <c r="V116" s="366" t="str">
        <f>IF('Products x speed'!P30=0,"",('Products x speed'!P222*10^6/('Products x speed'!P30*$A116)))</f>
        <v/>
      </c>
    </row>
    <row r="117" spans="1:23">
      <c r="A117" s="638">
        <v>40</v>
      </c>
      <c r="B117" s="87" t="str">
        <f>'Products x speed'!B31</f>
        <v>40G (FR)</v>
      </c>
      <c r="C117" s="88" t="str">
        <f>'Products x speed'!C31</f>
        <v>2 km</v>
      </c>
      <c r="D117" s="88" t="str">
        <f>'Products x speed'!D31</f>
        <v>CFP</v>
      </c>
      <c r="E117" s="560" t="s">
        <v>94</v>
      </c>
      <c r="F117" s="561" t="s">
        <v>94</v>
      </c>
      <c r="G117" s="561">
        <v>188.98425314143944</v>
      </c>
      <c r="H117" s="561">
        <v>174.85484962406014</v>
      </c>
      <c r="I117" s="561">
        <v>131.36853256997671</v>
      </c>
      <c r="J117" s="561">
        <v>133.43195681591757</v>
      </c>
      <c r="K117" s="121">
        <f>IF('Products x speed'!E31=0,"",('Products x speed'!E223*10^6/('Products x speed'!E31*$A117)))</f>
        <v>114.24737353420382</v>
      </c>
      <c r="L117" s="121">
        <f>IF('Products x speed'!F31=0,"",('Products x speed'!F223*10^6/('Products x speed'!F31*$A117)))</f>
        <v>131.29203021598681</v>
      </c>
      <c r="M117" s="121" t="str">
        <f>IF('Products x speed'!G31=0,"",('Products x speed'!G223*10^6/('Products x speed'!G31*$A117)))</f>
        <v/>
      </c>
      <c r="N117" s="121" t="str">
        <f>IF('Products x speed'!H31=0,"",('Products x speed'!H223*10^6/('Products x speed'!H31*$A117)))</f>
        <v/>
      </c>
      <c r="O117" s="121" t="str">
        <f>IF('Products x speed'!I31=0,"",('Products x speed'!I223*10^6/('Products x speed'!I31*$A117)))</f>
        <v/>
      </c>
      <c r="P117" s="121" t="str">
        <f>IF('Products x speed'!J31=0,"",('Products x speed'!J223*10^6/('Products x speed'!J31*$A117)))</f>
        <v/>
      </c>
      <c r="Q117" s="121" t="str">
        <f>IF('Products x speed'!K31=0,"",('Products x speed'!K223*10^6/('Products x speed'!K31*$A117)))</f>
        <v/>
      </c>
      <c r="R117" s="366" t="str">
        <f>IF('Products x speed'!L31=0,"",('Products x speed'!L223*10^6/('Products x speed'!L31*$A117)))</f>
        <v/>
      </c>
      <c r="S117" s="366" t="str">
        <f>IF('Products x speed'!M31=0,"",('Products x speed'!M223*10^6/('Products x speed'!M31*$A117)))</f>
        <v/>
      </c>
      <c r="T117" s="366" t="str">
        <f>IF('Products x speed'!N31=0,"",('Products x speed'!N223*10^6/('Products x speed'!N31*$A117)))</f>
        <v/>
      </c>
      <c r="U117" s="366" t="str">
        <f>IF('Products x speed'!O31=0,"",('Products x speed'!O223*10^6/('Products x speed'!O31*$A117)))</f>
        <v/>
      </c>
      <c r="V117" s="366" t="str">
        <f>IF('Products x speed'!P31=0,"",('Products x speed'!P223*10^6/('Products x speed'!P31*$A117)))</f>
        <v/>
      </c>
    </row>
    <row r="118" spans="1:23">
      <c r="A118" s="638">
        <v>40</v>
      </c>
      <c r="B118" s="87" t="str">
        <f>'Products x speed'!B32</f>
        <v>40G (LR4 subspec)</v>
      </c>
      <c r="C118" s="88" t="str">
        <f>'Products x speed'!C32</f>
        <v>2 km</v>
      </c>
      <c r="D118" s="88" t="str">
        <f>'Products x speed'!D32</f>
        <v>QSFP+</v>
      </c>
      <c r="E118" s="560" t="s">
        <v>94</v>
      </c>
      <c r="F118" s="561" t="s">
        <v>94</v>
      </c>
      <c r="G118" s="561">
        <v>22.994880546075084</v>
      </c>
      <c r="H118" s="561">
        <v>16.3</v>
      </c>
      <c r="I118" s="561">
        <v>12.289921790292748</v>
      </c>
      <c r="J118" s="561">
        <v>11.078376873965714</v>
      </c>
      <c r="K118" s="121">
        <f>IF('Products x speed'!E32=0,"",('Products x speed'!E224*10^6/('Products x speed'!E32*$A118)))</f>
        <v>9.440013802372988</v>
      </c>
      <c r="L118" s="121">
        <f>IF('Products x speed'!F32=0,"",('Products x speed'!F224*10^6/('Products x speed'!F32*$A118)))</f>
        <v>8.5881368172711685</v>
      </c>
      <c r="M118" s="121">
        <f>IF('Products x speed'!G32=0,"",('Products x speed'!G224*10^6/('Products x speed'!G32*$A118)))</f>
        <v>7.5921544196364525</v>
      </c>
      <c r="N118" s="121" t="str">
        <f>IF('Products x speed'!H32=0,"",('Products x speed'!H224*10^6/('Products x speed'!H32*$A118)))</f>
        <v/>
      </c>
      <c r="O118" s="121" t="str">
        <f>IF('Products x speed'!I32=0,"",('Products x speed'!I224*10^6/('Products x speed'!I32*$A118)))</f>
        <v/>
      </c>
      <c r="P118" s="121" t="str">
        <f>IF('Products x speed'!J32=0,"",('Products x speed'!J224*10^6/('Products x speed'!J32*$A118)))</f>
        <v/>
      </c>
      <c r="Q118" s="121" t="str">
        <f>IF('Products x speed'!K32=0,"",('Products x speed'!K224*10^6/('Products x speed'!K32*$A118)))</f>
        <v/>
      </c>
      <c r="R118" s="366" t="str">
        <f>IF('Products x speed'!L32=0,"",('Products x speed'!L224*10^6/('Products x speed'!L32*$A118)))</f>
        <v/>
      </c>
      <c r="S118" s="366" t="str">
        <f>IF('Products x speed'!M32=0,"",('Products x speed'!M224*10^6/('Products x speed'!M32*$A118)))</f>
        <v/>
      </c>
      <c r="T118" s="366" t="str">
        <f>IF('Products x speed'!N32=0,"",('Products x speed'!N224*10^6/('Products x speed'!N32*$A118)))</f>
        <v/>
      </c>
      <c r="U118" s="366" t="str">
        <f>IF('Products x speed'!O32=0,"",('Products x speed'!O224*10^6/('Products x speed'!O32*$A118)))</f>
        <v/>
      </c>
      <c r="V118" s="366" t="str">
        <f>IF('Products x speed'!P32=0,"",('Products x speed'!P224*10^6/('Products x speed'!P32*$A118)))</f>
        <v/>
      </c>
    </row>
    <row r="119" spans="1:23">
      <c r="A119" s="638">
        <v>40</v>
      </c>
      <c r="B119" s="87" t="str">
        <f>'Products x speed'!B33</f>
        <v>40G</v>
      </c>
      <c r="C119" s="88" t="str">
        <f>'Products x speed'!C33</f>
        <v>10 km</v>
      </c>
      <c r="D119" s="88" t="str">
        <f>'Products x speed'!D33</f>
        <v>CFP</v>
      </c>
      <c r="E119" s="560">
        <v>80.784136641723492</v>
      </c>
      <c r="F119" s="561">
        <v>77.777449856733526</v>
      </c>
      <c r="G119" s="561">
        <v>52.069595336519832</v>
      </c>
      <c r="H119" s="561">
        <v>45.140192582025676</v>
      </c>
      <c r="I119" s="561">
        <v>36.971624726397984</v>
      </c>
      <c r="J119" s="561">
        <v>29.358141050842292</v>
      </c>
      <c r="K119" s="121">
        <f>IF('Products x speed'!E33=0,"",('Products x speed'!E225*10^6/('Products x speed'!E33*$A119)))</f>
        <v>29.374138267499919</v>
      </c>
      <c r="L119" s="121">
        <f>IF('Products x speed'!F33=0,"",('Products x speed'!F225*10^6/('Products x speed'!F33*$A119)))</f>
        <v>33.77249392830776</v>
      </c>
      <c r="M119" s="121" t="str">
        <f>IF('Products x speed'!G33=0,"",('Products x speed'!G225*10^6/('Products x speed'!G33*$A119)))</f>
        <v/>
      </c>
      <c r="N119" s="121" t="str">
        <f>IF('Products x speed'!H33=0,"",('Products x speed'!H225*10^6/('Products x speed'!H33*$A119)))</f>
        <v/>
      </c>
      <c r="O119" s="121" t="str">
        <f>IF('Products x speed'!I33=0,"",('Products x speed'!I225*10^6/('Products x speed'!I33*$A119)))</f>
        <v/>
      </c>
      <c r="P119" s="121" t="str">
        <f>IF('Products x speed'!J33=0,"",('Products x speed'!J225*10^6/('Products x speed'!J33*$A119)))</f>
        <v/>
      </c>
      <c r="Q119" s="121" t="str">
        <f>IF('Products x speed'!K33=0,"",('Products x speed'!K225*10^6/('Products x speed'!K33*$A119)))</f>
        <v/>
      </c>
      <c r="R119" s="366" t="str">
        <f>IF('Products x speed'!L33=0,"",('Products x speed'!L225*10^6/('Products x speed'!L33*$A119)))</f>
        <v/>
      </c>
      <c r="S119" s="366" t="str">
        <f>IF('Products x speed'!M33=0,"",('Products x speed'!M225*10^6/('Products x speed'!M33*$A119)))</f>
        <v/>
      </c>
      <c r="T119" s="366" t="str">
        <f>IF('Products x speed'!N33=0,"",('Products x speed'!N225*10^6/('Products x speed'!N33*$A119)))</f>
        <v/>
      </c>
      <c r="U119" s="366" t="str">
        <f>IF('Products x speed'!O33=0,"",('Products x speed'!O225*10^6/('Products x speed'!O33*$A119)))</f>
        <v/>
      </c>
      <c r="V119" s="366" t="str">
        <f>IF('Products x speed'!P33=0,"",('Products x speed'!P225*10^6/('Products x speed'!P33*$A119)))</f>
        <v/>
      </c>
    </row>
    <row r="120" spans="1:23">
      <c r="A120" s="638">
        <v>40</v>
      </c>
      <c r="B120" s="87" t="str">
        <f>'Products x speed'!B34</f>
        <v>40G</v>
      </c>
      <c r="C120" s="88" t="str">
        <f>'Products x speed'!C34</f>
        <v>10 km</v>
      </c>
      <c r="D120" s="88" t="str">
        <f>'Products x speed'!D34</f>
        <v>QSFP+</v>
      </c>
      <c r="E120" s="560" t="s">
        <v>94</v>
      </c>
      <c r="F120" s="561" t="s">
        <v>94</v>
      </c>
      <c r="G120" s="561">
        <v>29.975964630225079</v>
      </c>
      <c r="H120" s="561">
        <v>36.096197608539143</v>
      </c>
      <c r="I120" s="561">
        <v>19.706712652216499</v>
      </c>
      <c r="J120" s="561">
        <v>14.650078967418724</v>
      </c>
      <c r="K120" s="121">
        <f>IF('Products x speed'!E34=0,"",('Products x speed'!E226*10^6/('Products x speed'!E34*$A120)))</f>
        <v>10.693185722192586</v>
      </c>
      <c r="L120" s="121">
        <f>IF('Products x speed'!F34=0,"",('Products x speed'!F226*10^6/('Products x speed'!F34*$A120)))</f>
        <v>10.034168127229407</v>
      </c>
      <c r="M120" s="121">
        <f>IF('Products x speed'!G34=0,"",('Products x speed'!G226*10^6/('Products x speed'!G34*$A120)))</f>
        <v>9.0442739467655731</v>
      </c>
      <c r="N120" s="121" t="str">
        <f>IF('Products x speed'!H34=0,"",('Products x speed'!H226*10^6/('Products x speed'!H34*$A120)))</f>
        <v/>
      </c>
      <c r="O120" s="121" t="str">
        <f>IF('Products x speed'!I34=0,"",('Products x speed'!I226*10^6/('Products x speed'!I34*$A120)))</f>
        <v/>
      </c>
      <c r="P120" s="121" t="str">
        <f>IF('Products x speed'!J34=0,"",('Products x speed'!J226*10^6/('Products x speed'!J34*$A120)))</f>
        <v/>
      </c>
      <c r="Q120" s="121" t="str">
        <f>IF('Products x speed'!K34=0,"",('Products x speed'!K226*10^6/('Products x speed'!K34*$A120)))</f>
        <v/>
      </c>
      <c r="R120" s="366" t="str">
        <f>IF('Products x speed'!L34=0,"",('Products x speed'!L226*10^6/('Products x speed'!L34*$A120)))</f>
        <v/>
      </c>
      <c r="S120" s="366" t="str">
        <f>IF('Products x speed'!M34=0,"",('Products x speed'!M226*10^6/('Products x speed'!M34*$A120)))</f>
        <v/>
      </c>
      <c r="T120" s="366" t="str">
        <f>IF('Products x speed'!N34=0,"",('Products x speed'!N226*10^6/('Products x speed'!N34*$A120)))</f>
        <v/>
      </c>
      <c r="U120" s="366" t="str">
        <f>IF('Products x speed'!O34=0,"",('Products x speed'!O226*10^6/('Products x speed'!O34*$A120)))</f>
        <v/>
      </c>
      <c r="V120" s="366" t="str">
        <f>IF('Products x speed'!P34=0,"",('Products x speed'!P226*10^6/('Products x speed'!P34*$A120)))</f>
        <v/>
      </c>
    </row>
    <row r="121" spans="1:23">
      <c r="A121" s="638">
        <v>40</v>
      </c>
      <c r="B121" s="83" t="str">
        <f>'Products x speed'!B35</f>
        <v>40G</v>
      </c>
      <c r="C121" s="84" t="str">
        <f>'Products x speed'!C35</f>
        <v>40 km</v>
      </c>
      <c r="D121" s="84" t="str">
        <f>'Products x speed'!D35</f>
        <v>QSFP+</v>
      </c>
      <c r="E121" s="560" t="s">
        <v>94</v>
      </c>
      <c r="F121" s="561">
        <v>200</v>
      </c>
      <c r="G121" s="561">
        <v>125</v>
      </c>
      <c r="H121" s="561">
        <v>110</v>
      </c>
      <c r="I121" s="561">
        <v>62.5</v>
      </c>
      <c r="J121" s="561">
        <v>52.653694253849253</v>
      </c>
      <c r="K121" s="121">
        <f>IF('Products x speed'!E35=0,"",('Products x speed'!E227*10^6/('Products x speed'!E35*$A121)))</f>
        <v>41.826430810599277</v>
      </c>
      <c r="L121" s="121">
        <f>IF('Products x speed'!F35=0,"",('Products x speed'!F227*10^6/('Products x speed'!F35*$A121)))</f>
        <v>36.480825703225037</v>
      </c>
      <c r="M121" s="121">
        <f>IF('Products x speed'!G35=0,"",('Products x speed'!G227*10^6/('Products x speed'!G35*$A121)))</f>
        <v>31.376270671206207</v>
      </c>
      <c r="N121" s="121" t="str">
        <f>IF('Products x speed'!H35=0,"",('Products x speed'!H227*10^6/('Products x speed'!H35*$A121)))</f>
        <v/>
      </c>
      <c r="O121" s="121" t="str">
        <f>IF('Products x speed'!I35=0,"",('Products x speed'!I227*10^6/('Products x speed'!I35*$A121)))</f>
        <v/>
      </c>
      <c r="P121" s="121" t="str">
        <f>IF('Products x speed'!J35=0,"",('Products x speed'!J227*10^6/('Products x speed'!J35*$A121)))</f>
        <v/>
      </c>
      <c r="Q121" s="121" t="str">
        <f>IF('Products x speed'!K35=0,"",('Products x speed'!K227*10^6/('Products x speed'!K35*$A121)))</f>
        <v/>
      </c>
      <c r="R121" s="366" t="str">
        <f>IF('Products x speed'!L35=0,"",('Products x speed'!L227*10^6/('Products x speed'!L35*$A121)))</f>
        <v/>
      </c>
      <c r="S121" s="366" t="str">
        <f>IF('Products x speed'!M35=0,"",('Products x speed'!M227*10^6/('Products x speed'!M35*$A121)))</f>
        <v/>
      </c>
      <c r="T121" s="366" t="str">
        <f>IF('Products x speed'!N35=0,"",('Products x speed'!N227*10^6/('Products x speed'!N35*$A121)))</f>
        <v/>
      </c>
      <c r="U121" s="366" t="str">
        <f>IF('Products x speed'!O35=0,"",('Products x speed'!O227*10^6/('Products x speed'!O35*$A121)))</f>
        <v/>
      </c>
      <c r="V121" s="366" t="str">
        <f>IF('Products x speed'!P35=0,"",('Products x speed'!P227*10^6/('Products x speed'!P35*$A121)))</f>
        <v/>
      </c>
    </row>
    <row r="122" spans="1:23" s="176" customFormat="1">
      <c r="A122" s="639">
        <v>50</v>
      </c>
      <c r="B122" s="87" t="str">
        <f>'Products x speed'!B36</f>
        <v xml:space="preserve">50G </v>
      </c>
      <c r="C122" s="88" t="s">
        <v>34</v>
      </c>
      <c r="D122" s="88" t="s">
        <v>42</v>
      </c>
      <c r="E122" s="558" t="s">
        <v>94</v>
      </c>
      <c r="F122" s="559" t="s">
        <v>94</v>
      </c>
      <c r="G122" s="559" t="s">
        <v>94</v>
      </c>
      <c r="H122" s="559" t="s">
        <v>94</v>
      </c>
      <c r="I122" s="559" t="s">
        <v>94</v>
      </c>
      <c r="J122" s="559" t="s">
        <v>94</v>
      </c>
      <c r="K122" s="119" t="str">
        <f>IF('Products x speed'!E36=0,"",('Products x speed'!E228*10^6/('Products x speed'!E36*$A122)))</f>
        <v/>
      </c>
      <c r="L122" s="119" t="str">
        <f>IF('Products x speed'!F36=0,"",('Products x speed'!F228*10^6/('Products x speed'!F36*$A122)))</f>
        <v/>
      </c>
      <c r="M122" s="119" t="str">
        <f>IF('Products x speed'!G36=0,"",('Products x speed'!G228*10^6/('Products x speed'!G36*$A122)))</f>
        <v/>
      </c>
      <c r="N122" s="119" t="str">
        <f>IF('Products x speed'!H36=0,"",('Products x speed'!H228*10^6/('Products x speed'!H36*$A122)))</f>
        <v/>
      </c>
      <c r="O122" s="119" t="str">
        <f>IF('Products x speed'!I36=0,"",('Products x speed'!I228*10^6/('Products x speed'!I36*$A122)))</f>
        <v/>
      </c>
      <c r="P122" s="119" t="str">
        <f>IF('Products x speed'!J36=0,"",('Products x speed'!J228*10^6/('Products x speed'!J36*$A122)))</f>
        <v/>
      </c>
      <c r="Q122" s="119" t="str">
        <f>IF('Products x speed'!K36=0,"",('Products x speed'!K228*10^6/('Products x speed'!K36*$A122)))</f>
        <v/>
      </c>
      <c r="R122" s="378" t="str">
        <f>IF('Products x speed'!L36=0,"",('Products x speed'!L228*10^6/('Products x speed'!L36*$A122)))</f>
        <v/>
      </c>
      <c r="S122" s="378" t="str">
        <f>IF('Products x speed'!M36=0,"",('Products x speed'!M228*10^6/('Products x speed'!M36*$A122)))</f>
        <v/>
      </c>
      <c r="T122" s="378" t="str">
        <f>IF('Products x speed'!N36=0,"",('Products x speed'!N228*10^6/('Products x speed'!N36*$A122)))</f>
        <v/>
      </c>
      <c r="U122" s="378" t="str">
        <f>IF('Products x speed'!O36=0,"",('Products x speed'!O228*10^6/('Products x speed'!O36*$A122)))</f>
        <v/>
      </c>
      <c r="V122" s="378" t="str">
        <f>IF('Products x speed'!P36=0,"",('Products x speed'!P228*10^6/('Products x speed'!P36*$A122)))</f>
        <v/>
      </c>
      <c r="W122" s="113"/>
    </row>
    <row r="123" spans="1:23" s="176" customFormat="1">
      <c r="A123" s="639">
        <v>50</v>
      </c>
      <c r="B123" s="87" t="str">
        <f>'Products x speed'!B37</f>
        <v xml:space="preserve">50G </v>
      </c>
      <c r="C123" s="88" t="s">
        <v>47</v>
      </c>
      <c r="D123" s="328" t="s">
        <v>42</v>
      </c>
      <c r="E123" s="560" t="s">
        <v>94</v>
      </c>
      <c r="F123" s="561" t="s">
        <v>94</v>
      </c>
      <c r="G123" s="561" t="s">
        <v>94</v>
      </c>
      <c r="H123" s="561" t="s">
        <v>94</v>
      </c>
      <c r="I123" s="561" t="s">
        <v>94</v>
      </c>
      <c r="J123" s="561" t="s">
        <v>94</v>
      </c>
      <c r="K123" s="121" t="str">
        <f>IF('Products x speed'!E37=0,"",('Products x speed'!E229*10^6/('Products x speed'!E37*$A123)))</f>
        <v/>
      </c>
      <c r="L123" s="121" t="str">
        <f>IF('Products x speed'!F37=0,"",('Products x speed'!F229*10^6/('Products x speed'!F37*$A123)))</f>
        <v/>
      </c>
      <c r="M123" s="121" t="str">
        <f>IF('Products x speed'!G37=0,"",('Products x speed'!G229*10^6/('Products x speed'!G37*$A123)))</f>
        <v/>
      </c>
      <c r="N123" s="121" t="str">
        <f>IF('Products x speed'!H37=0,"",('Products x speed'!H229*10^6/('Products x speed'!H37*$A123)))</f>
        <v/>
      </c>
      <c r="O123" s="121" t="str">
        <f>IF('Products x speed'!I37=0,"",('Products x speed'!I229*10^6/('Products x speed'!I37*$A123)))</f>
        <v/>
      </c>
      <c r="P123" s="121" t="str">
        <f>IF('Products x speed'!J37=0,"",('Products x speed'!J229*10^6/('Products x speed'!J37*$A123)))</f>
        <v/>
      </c>
      <c r="Q123" s="121" t="str">
        <f>IF('Products x speed'!K37=0,"",('Products x speed'!K229*10^6/('Products x speed'!K37*$A123)))</f>
        <v/>
      </c>
      <c r="R123" s="366" t="str">
        <f>IF('Products x speed'!L37=0,"",('Products x speed'!L229*10^6/('Products x speed'!L37*$A123)))</f>
        <v/>
      </c>
      <c r="S123" s="366" t="str">
        <f>IF('Products x speed'!M37=0,"",('Products x speed'!M229*10^6/('Products x speed'!M37*$A123)))</f>
        <v/>
      </c>
      <c r="T123" s="366" t="str">
        <f>IF('Products x speed'!N37=0,"",('Products x speed'!N229*10^6/('Products x speed'!N37*$A123)))</f>
        <v/>
      </c>
      <c r="U123" s="366" t="str">
        <f>IF('Products x speed'!O37=0,"",('Products x speed'!O229*10^6/('Products x speed'!O37*$A123)))</f>
        <v/>
      </c>
      <c r="V123" s="366" t="str">
        <f>IF('Products x speed'!P37=0,"",('Products x speed'!P229*10^6/('Products x speed'!P37*$A123)))</f>
        <v/>
      </c>
      <c r="W123" s="113"/>
    </row>
    <row r="124" spans="1:23" s="176" customFormat="1">
      <c r="A124" s="639">
        <v>50</v>
      </c>
      <c r="B124" s="87" t="str">
        <f>'Products x speed'!B38</f>
        <v xml:space="preserve">50G </v>
      </c>
      <c r="C124" s="88" t="s">
        <v>50</v>
      </c>
      <c r="D124" s="88" t="s">
        <v>42</v>
      </c>
      <c r="E124" s="560" t="s">
        <v>94</v>
      </c>
      <c r="F124" s="561" t="s">
        <v>94</v>
      </c>
      <c r="G124" s="561" t="s">
        <v>94</v>
      </c>
      <c r="H124" s="561" t="s">
        <v>94</v>
      </c>
      <c r="I124" s="561" t="s">
        <v>94</v>
      </c>
      <c r="J124" s="561" t="s">
        <v>94</v>
      </c>
      <c r="K124" s="121" t="str">
        <f>IF('Products x speed'!E38=0,"",('Products x speed'!E230*10^6/('Products x speed'!E38*$A124)))</f>
        <v/>
      </c>
      <c r="L124" s="121" t="str">
        <f>IF('Products x speed'!F38=0,"",('Products x speed'!F230*10^6/('Products x speed'!F38*$A124)))</f>
        <v/>
      </c>
      <c r="M124" s="121" t="str">
        <f>IF('Products x speed'!G38=0,"",('Products x speed'!G230*10^6/('Products x speed'!G38*$A124)))</f>
        <v/>
      </c>
      <c r="N124" s="121" t="str">
        <f>IF('Products x speed'!H38=0,"",('Products x speed'!H230*10^6/('Products x speed'!H38*$A124)))</f>
        <v/>
      </c>
      <c r="O124" s="121" t="str">
        <f>IF('Products x speed'!I38=0,"",('Products x speed'!I230*10^6/('Products x speed'!I38*$A124)))</f>
        <v/>
      </c>
      <c r="P124" s="121" t="str">
        <f>IF('Products x speed'!J38=0,"",('Products x speed'!J230*10^6/('Products x speed'!J38*$A124)))</f>
        <v/>
      </c>
      <c r="Q124" s="121" t="str">
        <f>IF('Products x speed'!K38=0,"",('Products x speed'!K230*10^6/('Products x speed'!K38*$A124)))</f>
        <v/>
      </c>
      <c r="R124" s="366" t="str">
        <f>IF('Products x speed'!L38=0,"",('Products x speed'!L230*10^6/('Products x speed'!L38*$A124)))</f>
        <v/>
      </c>
      <c r="S124" s="366" t="str">
        <f>IF('Products x speed'!M38=0,"",('Products x speed'!M230*10^6/('Products x speed'!M38*$A124)))</f>
        <v/>
      </c>
      <c r="T124" s="366" t="str">
        <f>IF('Products x speed'!N38=0,"",('Products x speed'!N230*10^6/('Products x speed'!N38*$A124)))</f>
        <v/>
      </c>
      <c r="U124" s="366" t="str">
        <f>IF('Products x speed'!O38=0,"",('Products x speed'!O230*10^6/('Products x speed'!O38*$A124)))</f>
        <v/>
      </c>
      <c r="V124" s="366" t="str">
        <f>IF('Products x speed'!P38=0,"",('Products x speed'!P230*10^6/('Products x speed'!P38*$A124)))</f>
        <v/>
      </c>
      <c r="W124" s="113"/>
    </row>
    <row r="125" spans="1:23" s="176" customFormat="1">
      <c r="A125" s="639">
        <v>50</v>
      </c>
      <c r="B125" s="87" t="str">
        <f>'Products x speed'!B39</f>
        <v xml:space="preserve">50G </v>
      </c>
      <c r="C125" s="328" t="s">
        <v>55</v>
      </c>
      <c r="D125" s="88" t="s">
        <v>42</v>
      </c>
      <c r="E125" s="560" t="s">
        <v>94</v>
      </c>
      <c r="F125" s="561" t="s">
        <v>94</v>
      </c>
      <c r="G125" s="561" t="s">
        <v>94</v>
      </c>
      <c r="H125" s="561" t="s">
        <v>94</v>
      </c>
      <c r="I125" s="561" t="s">
        <v>94</v>
      </c>
      <c r="J125" s="561" t="s">
        <v>94</v>
      </c>
      <c r="K125" s="121" t="str">
        <f>IF('Products x speed'!E39=0,"",('Products x speed'!E231*10^6/('Products x speed'!E39*50)))</f>
        <v/>
      </c>
      <c r="L125" s="121" t="str">
        <f>IF('Products x speed'!F39=0,"",('Products x speed'!F231*10^6/('Products x speed'!F39*50)))</f>
        <v/>
      </c>
      <c r="M125" s="121" t="str">
        <f>IF('Products x speed'!G39=0,"",('Products x speed'!G231*10^6/('Products x speed'!G39*50)))</f>
        <v/>
      </c>
      <c r="N125" s="121" t="str">
        <f>IF('Products x speed'!H39=0,"",('Products x speed'!H231*10^6/('Products x speed'!H39*50)))</f>
        <v/>
      </c>
      <c r="O125" s="121" t="str">
        <f>IF('Products x speed'!I39=0,"",('Products x speed'!I231*10^6/('Products x speed'!I39*50)))</f>
        <v/>
      </c>
      <c r="P125" s="121" t="str">
        <f>IF('Products x speed'!J39=0,"",('Products x speed'!J231*10^6/('Products x speed'!J39*50)))</f>
        <v/>
      </c>
      <c r="Q125" s="121" t="str">
        <f>IF('Products x speed'!K39=0,"",('Products x speed'!K231*10^6/('Products x speed'!K39*50)))</f>
        <v/>
      </c>
      <c r="R125" s="366" t="str">
        <f>IF('Products x speed'!L39=0,"",('Products x speed'!L231*10^6/('Products x speed'!L39*50)))</f>
        <v/>
      </c>
      <c r="S125" s="366" t="str">
        <f>IF('Products x speed'!M39=0,"",('Products x speed'!M231*10^6/('Products x speed'!M39*50)))</f>
        <v/>
      </c>
      <c r="T125" s="366" t="str">
        <f>IF('Products x speed'!N39=0,"",('Products x speed'!N231*10^6/('Products x speed'!N39*50)))</f>
        <v/>
      </c>
      <c r="U125" s="366" t="str">
        <f>IF('Products x speed'!O39=0,"",('Products x speed'!O231*10^6/('Products x speed'!O39*50)))</f>
        <v/>
      </c>
      <c r="V125" s="366" t="str">
        <f>IF('Products x speed'!P39=0,"",('Products x speed'!P231*10^6/('Products x speed'!P39*50)))</f>
        <v/>
      </c>
      <c r="W125" s="113"/>
    </row>
    <row r="126" spans="1:23" s="176" customFormat="1">
      <c r="A126" s="639">
        <v>50</v>
      </c>
      <c r="B126" s="83" t="str">
        <f>'Products x speed'!B40</f>
        <v xml:space="preserve">50G </v>
      </c>
      <c r="C126" s="495" t="s">
        <v>57</v>
      </c>
      <c r="D126" s="84" t="s">
        <v>42</v>
      </c>
      <c r="E126" s="562" t="s">
        <v>94</v>
      </c>
      <c r="F126" s="563" t="s">
        <v>94</v>
      </c>
      <c r="G126" s="563" t="s">
        <v>94</v>
      </c>
      <c r="H126" s="563" t="s">
        <v>94</v>
      </c>
      <c r="I126" s="563" t="s">
        <v>94</v>
      </c>
      <c r="J126" s="563" t="s">
        <v>94</v>
      </c>
      <c r="K126" s="123" t="str">
        <f>IF('Products x speed'!E40=0,"",('Products x speed'!E232*10^6/('Products x speed'!E40*50)))</f>
        <v/>
      </c>
      <c r="L126" s="123" t="str">
        <f>IF('Products x speed'!F40=0,"",('Products x speed'!F232*10^6/('Products x speed'!F40*50)))</f>
        <v/>
      </c>
      <c r="M126" s="123" t="str">
        <f>IF('Products x speed'!G40=0,"",('Products x speed'!G232*10^6/('Products x speed'!G40*50)))</f>
        <v/>
      </c>
      <c r="N126" s="123" t="str">
        <f>IF('Products x speed'!H40=0,"",('Products x speed'!H232*10^6/('Products x speed'!H40*50)))</f>
        <v/>
      </c>
      <c r="O126" s="123" t="str">
        <f>IF('Products x speed'!I40=0,"",('Products x speed'!I232*10^6/('Products x speed'!I40*50)))</f>
        <v/>
      </c>
      <c r="P126" s="123" t="str">
        <f>IF('Products x speed'!J40=0,"",('Products x speed'!J232*10^6/('Products x speed'!J40*50)))</f>
        <v/>
      </c>
      <c r="Q126" s="123" t="str">
        <f>IF('Products x speed'!K40=0,"",('Products x speed'!K232*10^6/('Products x speed'!K40*50)))</f>
        <v/>
      </c>
      <c r="R126" s="379" t="str">
        <f>IF('Products x speed'!L40=0,"",('Products x speed'!L232*10^6/('Products x speed'!L40*50)))</f>
        <v/>
      </c>
      <c r="S126" s="379" t="str">
        <f>IF('Products x speed'!M40=0,"",('Products x speed'!M232*10^6/('Products x speed'!M40*50)))</f>
        <v/>
      </c>
      <c r="T126" s="379" t="str">
        <f>IF('Products x speed'!N40=0,"",('Products x speed'!N232*10^6/('Products x speed'!N40*50)))</f>
        <v/>
      </c>
      <c r="U126" s="379" t="str">
        <f>IF('Products x speed'!O40=0,"",('Products x speed'!O232*10^6/('Products x speed'!O40*50)))</f>
        <v/>
      </c>
      <c r="V126" s="379" t="str">
        <f>IF('Products x speed'!P40=0,"",('Products x speed'!P232*10^6/('Products x speed'!P40*50)))</f>
        <v/>
      </c>
      <c r="W126" s="113"/>
    </row>
    <row r="127" spans="1:23">
      <c r="A127" s="638">
        <v>100</v>
      </c>
      <c r="B127" s="87" t="str">
        <f>'Products x speed'!B41</f>
        <v>100G SR4</v>
      </c>
      <c r="C127" s="88" t="str">
        <f>'Products x speed'!C41</f>
        <v>100 m</v>
      </c>
      <c r="D127" s="88" t="str">
        <f>'Products x speed'!D41</f>
        <v>CFP</v>
      </c>
      <c r="E127" s="560" t="s">
        <v>94</v>
      </c>
      <c r="F127" s="561" t="s">
        <v>94</v>
      </c>
      <c r="G127" s="561">
        <v>23.897826358525922</v>
      </c>
      <c r="H127" s="561">
        <v>18.815171215351814</v>
      </c>
      <c r="I127" s="561">
        <v>18.039118145620023</v>
      </c>
      <c r="J127" s="561">
        <v>17.02889970674488</v>
      </c>
      <c r="K127" s="121">
        <f>IF('Products x speed'!E41=0,"",('Products x speed'!E233*10^6/('Products x speed'!E41*$A127)))</f>
        <v>14.227039686825053</v>
      </c>
      <c r="L127" s="368">
        <f>IF('Products x speed'!F41=0,"",('Products x speed'!F233*10^6/('Products x speed'!F41*$A127)))</f>
        <v>12.733986691740203</v>
      </c>
      <c r="M127" s="368">
        <f>IF('Products x speed'!G41=0,"",('Products x speed'!G233*10^6/('Products x speed'!G41*$A127)))</f>
        <v>10.189069493521796</v>
      </c>
      <c r="N127" s="368" t="str">
        <f>IF('Products x speed'!H41=0,"",('Products x speed'!H233*10^6/('Products x speed'!H41*$A127)))</f>
        <v/>
      </c>
      <c r="O127" s="368" t="str">
        <f>IF('Products x speed'!I41=0,"",('Products x speed'!I233*10^6/('Products x speed'!I41*$A127)))</f>
        <v/>
      </c>
      <c r="P127" s="368" t="str">
        <f>IF('Products x speed'!J41=0,"",('Products x speed'!J233*10^6/('Products x speed'!J41*$A127)))</f>
        <v/>
      </c>
      <c r="Q127" s="368" t="str">
        <f>IF('Products x speed'!K41=0,"",('Products x speed'!K233*10^6/('Products x speed'!K41*$A127)))</f>
        <v/>
      </c>
      <c r="R127" s="366" t="str">
        <f>IF('Products x speed'!L41=0,"",('Products x speed'!L233*10^6/('Products x speed'!L41*$A127)))</f>
        <v/>
      </c>
      <c r="S127" s="366" t="str">
        <f>IF('Products x speed'!M41=0,"",('Products x speed'!M233*10^6/('Products x speed'!M41*$A127)))</f>
        <v/>
      </c>
      <c r="T127" s="366" t="str">
        <f>IF('Products x speed'!N41=0,"",('Products x speed'!N233*10^6/('Products x speed'!N41*$A127)))</f>
        <v/>
      </c>
      <c r="U127" s="366" t="str">
        <f>IF('Products x speed'!O41=0,"",('Products x speed'!O233*10^6/('Products x speed'!O41*$A127)))</f>
        <v/>
      </c>
      <c r="V127" s="366" t="str">
        <f>IF('Products x speed'!P41=0,"",('Products x speed'!P233*10^6/('Products x speed'!P41*$A127)))</f>
        <v/>
      </c>
    </row>
    <row r="128" spans="1:23">
      <c r="A128" s="638">
        <v>100</v>
      </c>
      <c r="B128" s="87" t="str">
        <f>'Products x speed'!B42</f>
        <v>100G SR4</v>
      </c>
      <c r="C128" s="88" t="str">
        <f>'Products x speed'!C42</f>
        <v>100 m</v>
      </c>
      <c r="D128" s="88" t="str">
        <f>'Products x speed'!D42</f>
        <v>CFP2/4</v>
      </c>
      <c r="E128" s="560" t="s">
        <v>94</v>
      </c>
      <c r="F128" s="561" t="s">
        <v>94</v>
      </c>
      <c r="G128" s="561" t="s">
        <v>94</v>
      </c>
      <c r="H128" s="561" t="s">
        <v>94</v>
      </c>
      <c r="I128" s="561" t="s">
        <v>94</v>
      </c>
      <c r="J128" s="561">
        <v>13.44281603659357</v>
      </c>
      <c r="K128" s="121">
        <f>IF('Products x speed'!E42=0,"",('Products x speed'!E234*10^6/('Products x speed'!E42*$A128)))</f>
        <v>12.047629951912068</v>
      </c>
      <c r="L128" s="368">
        <f>IF('Products x speed'!F42=0,"",('Products x speed'!F234*10^6/('Products x speed'!F42*$A128)))</f>
        <v>10.92608197443808</v>
      </c>
      <c r="M128" s="368">
        <f>IF('Products x speed'!G42=0,"",('Products x speed'!G234*10^6/('Products x speed'!G42*$A128)))</f>
        <v>10.040468400000002</v>
      </c>
      <c r="N128" s="368" t="str">
        <f>IF('Products x speed'!H42=0,"",('Products x speed'!H234*10^6/('Products x speed'!H42*$A128)))</f>
        <v/>
      </c>
      <c r="O128" s="368" t="str">
        <f>IF('Products x speed'!I42=0,"",('Products x speed'!I234*10^6/('Products x speed'!I42*$A128)))</f>
        <v/>
      </c>
      <c r="P128" s="368" t="str">
        <f>IF('Products x speed'!J42=0,"",('Products x speed'!J234*10^6/('Products x speed'!J42*$A128)))</f>
        <v/>
      </c>
      <c r="Q128" s="368" t="str">
        <f>IF('Products x speed'!K42=0,"",('Products x speed'!K234*10^6/('Products x speed'!K42*$A128)))</f>
        <v/>
      </c>
      <c r="R128" s="366" t="str">
        <f>IF('Products x speed'!L42=0,"",('Products x speed'!L234*10^6/('Products x speed'!L42*$A128)))</f>
        <v/>
      </c>
      <c r="S128" s="366" t="str">
        <f>IF('Products x speed'!M42=0,"",('Products x speed'!M234*10^6/('Products x speed'!M42*$A128)))</f>
        <v/>
      </c>
      <c r="T128" s="366" t="str">
        <f>IF('Products x speed'!N42=0,"",('Products x speed'!N234*10^6/('Products x speed'!N42*$A128)))</f>
        <v/>
      </c>
      <c r="U128" s="366" t="str">
        <f>IF('Products x speed'!O42=0,"",('Products x speed'!O234*10^6/('Products x speed'!O42*$A128)))</f>
        <v/>
      </c>
      <c r="V128" s="366" t="str">
        <f>IF('Products x speed'!P42=0,"",('Products x speed'!P234*10^6/('Products x speed'!P42*$A128)))</f>
        <v/>
      </c>
    </row>
    <row r="129" spans="1:22">
      <c r="A129" s="638">
        <v>100</v>
      </c>
      <c r="B129" s="87" t="str">
        <f>'Products x speed'!B43</f>
        <v>100G SR4</v>
      </c>
      <c r="C129" s="88" t="str">
        <f>'Products x speed'!C43</f>
        <v>100 m</v>
      </c>
      <c r="D129" s="88" t="str">
        <f>'Products x speed'!D43</f>
        <v>QSFP28</v>
      </c>
      <c r="E129" s="560" t="s">
        <v>94</v>
      </c>
      <c r="F129" s="561" t="s">
        <v>94</v>
      </c>
      <c r="G129" s="561" t="s">
        <v>94</v>
      </c>
      <c r="H129" s="561" t="s">
        <v>94</v>
      </c>
      <c r="I129" s="561">
        <v>9.5</v>
      </c>
      <c r="J129" s="561">
        <v>8.2501787283914449</v>
      </c>
      <c r="K129" s="368">
        <f>IF('Products x speed'!E43=0,"",('Products x speed'!E235*10^6/('Products x speed'!E43*$A129)))</f>
        <v>2.5809426618771827</v>
      </c>
      <c r="L129" s="368">
        <f>IF('Products x speed'!F43=0,"",('Products x speed'!F235*10^6/('Products x speed'!F43*$A129)))</f>
        <v>1.8202277386466108</v>
      </c>
      <c r="M129" s="368">
        <f>IF('Products x speed'!G43=0,"",('Products x speed'!G235*10^6/('Products x speed'!G43*$A129)))</f>
        <v>1.1354682982085136</v>
      </c>
      <c r="N129" s="368" t="str">
        <f>IF('Products x speed'!H43=0,"",('Products x speed'!H235*10^6/('Products x speed'!H43*$A129)))</f>
        <v/>
      </c>
      <c r="O129" s="368" t="str">
        <f>IF('Products x speed'!I43=0,"",('Products x speed'!I235*10^6/('Products x speed'!I43*$A129)))</f>
        <v/>
      </c>
      <c r="P129" s="368" t="str">
        <f>IF('Products x speed'!J43=0,"",('Products x speed'!J235*10^6/('Products x speed'!J43*$A129)))</f>
        <v/>
      </c>
      <c r="Q129" s="368" t="str">
        <f>IF('Products x speed'!K43=0,"",('Products x speed'!K235*10^6/('Products x speed'!K43*$A129)))</f>
        <v/>
      </c>
      <c r="R129" s="366" t="str">
        <f>IF('Products x speed'!L43=0,"",('Products x speed'!L235*10^6/('Products x speed'!L43*$A129)))</f>
        <v/>
      </c>
      <c r="S129" s="366" t="str">
        <f>IF('Products x speed'!M43=0,"",('Products x speed'!M235*10^6/('Products x speed'!M43*$A129)))</f>
        <v/>
      </c>
      <c r="T129" s="366" t="str">
        <f>IF('Products x speed'!N43=0,"",('Products x speed'!N235*10^6/('Products x speed'!N43*$A129)))</f>
        <v/>
      </c>
      <c r="U129" s="366" t="str">
        <f>IF('Products x speed'!O43=0,"",('Products x speed'!O235*10^6/('Products x speed'!O43*$A129)))</f>
        <v/>
      </c>
      <c r="V129" s="366" t="str">
        <f>IF('Products x speed'!P43=0,"",('Products x speed'!P235*10^6/('Products x speed'!P43*$A129)))</f>
        <v/>
      </c>
    </row>
    <row r="130" spans="1:22">
      <c r="A130" s="638">
        <v>100</v>
      </c>
      <c r="B130" s="87" t="str">
        <f>'Products x speed'!B44</f>
        <v>100G SR2</v>
      </c>
      <c r="C130" s="88" t="str">
        <f>'Products x speed'!C44</f>
        <v>100 m</v>
      </c>
      <c r="D130" s="88" t="str">
        <f>'Products x speed'!D44</f>
        <v>All</v>
      </c>
      <c r="E130" s="560" t="s">
        <v>94</v>
      </c>
      <c r="F130" s="561" t="s">
        <v>94</v>
      </c>
      <c r="G130" s="561" t="s">
        <v>94</v>
      </c>
      <c r="H130" s="561" t="s">
        <v>94</v>
      </c>
      <c r="I130" s="561" t="s">
        <v>94</v>
      </c>
      <c r="J130" s="561" t="s">
        <v>94</v>
      </c>
      <c r="K130" s="368" t="str">
        <f>IF('Products x speed'!E44=0,"",('Products x speed'!E236*10^6/('Products x speed'!E44*$A130)))</f>
        <v/>
      </c>
      <c r="L130" s="368" t="str">
        <f>IF('Products x speed'!F44=0,"",('Products x speed'!F236*10^6/('Products x speed'!F44*$A130)))</f>
        <v/>
      </c>
      <c r="M130" s="368" t="str">
        <f>IF('Products x speed'!G44=0,"",('Products x speed'!G236*10^6/('Products x speed'!G44*$A130)))</f>
        <v/>
      </c>
      <c r="N130" s="368" t="str">
        <f>IF('Products x speed'!H44=0,"",('Products x speed'!H236*10^6/('Products x speed'!H44*$A130)))</f>
        <v/>
      </c>
      <c r="O130" s="368" t="str">
        <f>IF('Products x speed'!I44=0,"",('Products x speed'!I236*10^6/('Products x speed'!I44*$A130)))</f>
        <v/>
      </c>
      <c r="P130" s="368" t="str">
        <f>IF('Products x speed'!J44=0,"",('Products x speed'!J236*10^6/('Products x speed'!J44*$A130)))</f>
        <v/>
      </c>
      <c r="Q130" s="368" t="str">
        <f>IF('Products x speed'!K44=0,"",('Products x speed'!K236*10^6/('Products x speed'!K44*$A130)))</f>
        <v/>
      </c>
      <c r="R130" s="366" t="str">
        <f>IF('Products x speed'!L44=0,"",('Products x speed'!L236*10^6/('Products x speed'!L44*$A130)))</f>
        <v/>
      </c>
      <c r="S130" s="366" t="str">
        <f>IF('Products x speed'!M44=0,"",('Products x speed'!M236*10^6/('Products x speed'!M44*$A130)))</f>
        <v/>
      </c>
      <c r="T130" s="366" t="str">
        <f>IF('Products x speed'!N44=0,"",('Products x speed'!N236*10^6/('Products x speed'!N44*$A130)))</f>
        <v/>
      </c>
      <c r="U130" s="366" t="str">
        <f>IF('Products x speed'!O44=0,"",('Products x speed'!O236*10^6/('Products x speed'!O44*$A130)))</f>
        <v/>
      </c>
      <c r="V130" s="366" t="str">
        <f>IF('Products x speed'!P44=0,"",('Products x speed'!P236*10^6/('Products x speed'!P44*$A130)))</f>
        <v/>
      </c>
    </row>
    <row r="131" spans="1:22">
      <c r="A131" s="638">
        <v>100</v>
      </c>
      <c r="B131" s="87" t="str">
        <f>'Products x speed'!B45</f>
        <v>100G MM Duplex</v>
      </c>
      <c r="C131" s="88" t="str">
        <f>'Products x speed'!C45</f>
        <v>100 - 300 m</v>
      </c>
      <c r="D131" s="88" t="str">
        <f>'Products x speed'!D45</f>
        <v>QSFP28</v>
      </c>
      <c r="E131" s="560"/>
      <c r="F131" s="561"/>
      <c r="G131" s="561"/>
      <c r="H131" s="561"/>
      <c r="I131" s="561" t="s">
        <v>94</v>
      </c>
      <c r="J131" s="561" t="s">
        <v>94</v>
      </c>
      <c r="K131" s="368" t="str">
        <f>IF('Products x speed'!E45=0,"",('Products x speed'!E237*10^6/('Products x speed'!E45*$A131)))</f>
        <v/>
      </c>
      <c r="L131" s="368" t="str">
        <f>IF('Products x speed'!F45=0,"",('Products x speed'!F237*10^6/('Products x speed'!F45*$A131)))</f>
        <v/>
      </c>
      <c r="M131" s="368">
        <f>IF('Products x speed'!G45=0,"",('Products x speed'!G237*10^6/('Products x speed'!G45*$A131)))</f>
        <v>1.7</v>
      </c>
      <c r="N131" s="368" t="str">
        <f>IF('Products x speed'!H45=0,"",('Products x speed'!H237*10^6/('Products x speed'!H45*$A131)))</f>
        <v/>
      </c>
      <c r="O131" s="368" t="str">
        <f>IF('Products x speed'!I45=0,"",('Products x speed'!I237*10^6/('Products x speed'!I45*$A131)))</f>
        <v/>
      </c>
      <c r="P131" s="368" t="str">
        <f>IF('Products x speed'!J45=0,"",('Products x speed'!J237*10^6/('Products x speed'!J45*$A131)))</f>
        <v/>
      </c>
      <c r="Q131" s="368" t="str">
        <f>IF('Products x speed'!K45=0,"",('Products x speed'!K237*10^6/('Products x speed'!K45*$A131)))</f>
        <v/>
      </c>
      <c r="R131" s="366" t="str">
        <f>IF('Products x speed'!L45=0,"",('Products x speed'!L237*10^6/('Products x speed'!L45*$A131)))</f>
        <v/>
      </c>
      <c r="S131" s="366" t="str">
        <f>IF('Products x speed'!M45=0,"",('Products x speed'!M237*10^6/('Products x speed'!M45*$A131)))</f>
        <v/>
      </c>
      <c r="T131" s="366" t="str">
        <f>IF('Products x speed'!N45=0,"",('Products x speed'!N237*10^6/('Products x speed'!N45*$A131)))</f>
        <v/>
      </c>
      <c r="U131" s="366" t="str">
        <f>IF('Products x speed'!O45=0,"",('Products x speed'!O237*10^6/('Products x speed'!O45*$A131)))</f>
        <v/>
      </c>
      <c r="V131" s="366" t="str">
        <f>IF('Products x speed'!P45=0,"",('Products x speed'!P237*10^6/('Products x speed'!P45*$A131)))</f>
        <v/>
      </c>
    </row>
    <row r="132" spans="1:22">
      <c r="A132" s="638">
        <v>100</v>
      </c>
      <c r="B132" s="87" t="str">
        <f>'Products x speed'!B46</f>
        <v>100G eSR4</v>
      </c>
      <c r="C132" s="88" t="str">
        <f>'Products x speed'!C46</f>
        <v>300 m</v>
      </c>
      <c r="D132" s="88" t="str">
        <f>'Products x speed'!D46</f>
        <v>QSFP28</v>
      </c>
      <c r="E132" s="560"/>
      <c r="F132" s="561"/>
      <c r="G132" s="561"/>
      <c r="H132" s="561"/>
      <c r="I132" s="561" t="s">
        <v>94</v>
      </c>
      <c r="J132" s="561" t="s">
        <v>94</v>
      </c>
      <c r="K132" s="368" t="str">
        <f>IF('Products x speed'!E46=0,"",('Products x speed'!E238*10^6/('Products x speed'!E46*$A132)))</f>
        <v/>
      </c>
      <c r="L132" s="368" t="str">
        <f>IF('Products x speed'!F46=0,"",('Products x speed'!F238*10^6/('Products x speed'!F46*$A132)))</f>
        <v/>
      </c>
      <c r="M132" s="368">
        <f>IF('Products x speed'!G46=0,"",('Products x speed'!G238*10^6/('Products x speed'!G46*$A132)))</f>
        <v>1.7</v>
      </c>
      <c r="N132" s="368" t="str">
        <f>IF('Products x speed'!H46=0,"",('Products x speed'!H238*10^6/('Products x speed'!H46*$A132)))</f>
        <v/>
      </c>
      <c r="O132" s="368" t="str">
        <f>IF('Products x speed'!I46=0,"",('Products x speed'!I238*10^6/('Products x speed'!I46*$A132)))</f>
        <v/>
      </c>
      <c r="P132" s="368" t="str">
        <f>IF('Products x speed'!J46=0,"",('Products x speed'!J238*10^6/('Products x speed'!J46*$A132)))</f>
        <v/>
      </c>
      <c r="Q132" s="368" t="str">
        <f>IF('Products x speed'!K46=0,"",('Products x speed'!K238*10^6/('Products x speed'!K46*$A132)))</f>
        <v/>
      </c>
      <c r="R132" s="366" t="str">
        <f>IF('Products x speed'!L46=0,"",('Products x speed'!L238*10^6/('Products x speed'!L46*$A132)))</f>
        <v/>
      </c>
      <c r="S132" s="366" t="str">
        <f>IF('Products x speed'!M46=0,"",('Products x speed'!M238*10^6/('Products x speed'!M46*$A132)))</f>
        <v/>
      </c>
      <c r="T132" s="366" t="str">
        <f>IF('Products x speed'!N46=0,"",('Products x speed'!N238*10^6/('Products x speed'!N46*$A132)))</f>
        <v/>
      </c>
      <c r="U132" s="366" t="str">
        <f>IF('Products x speed'!O46=0,"",('Products x speed'!O238*10^6/('Products x speed'!O46*$A132)))</f>
        <v/>
      </c>
      <c r="V132" s="366" t="str">
        <f>IF('Products x speed'!P46=0,"",('Products x speed'!P238*10^6/('Products x speed'!P46*$A132)))</f>
        <v/>
      </c>
    </row>
    <row r="133" spans="1:22">
      <c r="A133" s="638">
        <v>100</v>
      </c>
      <c r="B133" s="87" t="str">
        <f>'Products x speed'!B47</f>
        <v>100G PSM4</v>
      </c>
      <c r="C133" s="88" t="str">
        <f>'Products x speed'!C47</f>
        <v>500 m</v>
      </c>
      <c r="D133" s="88" t="str">
        <f>'Products x speed'!D47</f>
        <v>QSFP28</v>
      </c>
      <c r="E133" s="560" t="s">
        <v>94</v>
      </c>
      <c r="F133" s="561" t="s">
        <v>94</v>
      </c>
      <c r="G133" s="561" t="s">
        <v>94</v>
      </c>
      <c r="H133" s="561" t="s">
        <v>94</v>
      </c>
      <c r="I133" s="561">
        <v>0</v>
      </c>
      <c r="J133" s="561">
        <v>0</v>
      </c>
      <c r="K133" s="368">
        <f>IF('Products x speed'!E47=0,"",('Products x speed'!E239*10^6/('Products x speed'!E47*$A133)))</f>
        <v>3.3741687156790023</v>
      </c>
      <c r="L133" s="368">
        <f>IF('Products x speed'!F47=0,"",('Products x speed'!F239*10^6/('Products x speed'!F47*$A133)))</f>
        <v>2.2265569307558186</v>
      </c>
      <c r="M133" s="368">
        <f>IF('Products x speed'!G47=0,"",('Products x speed'!G239*10^6/('Products x speed'!G47*$A133)))</f>
        <v>1.8802033788894266</v>
      </c>
      <c r="N133" s="368" t="str">
        <f>IF('Products x speed'!H47=0,"",('Products x speed'!H239*10^6/('Products x speed'!H47*$A133)))</f>
        <v/>
      </c>
      <c r="O133" s="368" t="str">
        <f>IF('Products x speed'!I47=0,"",('Products x speed'!I239*10^6/('Products x speed'!I47*$A133)))</f>
        <v/>
      </c>
      <c r="P133" s="368" t="str">
        <f>IF('Products x speed'!J47=0,"",('Products x speed'!J239*10^6/('Products x speed'!J47*$A133)))</f>
        <v/>
      </c>
      <c r="Q133" s="368" t="str">
        <f>IF('Products x speed'!K47=0,"",('Products x speed'!K239*10^6/('Products x speed'!K47*$A133)))</f>
        <v/>
      </c>
      <c r="R133" s="366" t="str">
        <f>IF('Products x speed'!L47=0,"",('Products x speed'!L239*10^6/('Products x speed'!L47*$A133)))</f>
        <v/>
      </c>
      <c r="S133" s="366" t="str">
        <f>IF('Products x speed'!M47=0,"",('Products x speed'!M239*10^6/('Products x speed'!M47*$A133)))</f>
        <v/>
      </c>
      <c r="T133" s="366" t="str">
        <f>IF('Products x speed'!N47=0,"",('Products x speed'!N239*10^6/('Products x speed'!N47*$A133)))</f>
        <v/>
      </c>
      <c r="U133" s="366" t="str">
        <f>IF('Products x speed'!O47=0,"",('Products x speed'!O239*10^6/('Products x speed'!O47*$A133)))</f>
        <v/>
      </c>
      <c r="V133" s="366" t="str">
        <f>IF('Products x speed'!P47=0,"",('Products x speed'!P239*10^6/('Products x speed'!P47*$A133)))</f>
        <v/>
      </c>
    </row>
    <row r="134" spans="1:22">
      <c r="A134" s="638">
        <v>100</v>
      </c>
      <c r="B134" s="87" t="str">
        <f>'Products x speed'!B48</f>
        <v>100G DR</v>
      </c>
      <c r="C134" s="88" t="str">
        <f>'Products x speed'!C48</f>
        <v>500m</v>
      </c>
      <c r="D134" s="88" t="str">
        <f>'Products x speed'!D48</f>
        <v>QSFP28</v>
      </c>
      <c r="E134" s="560" t="s">
        <v>94</v>
      </c>
      <c r="F134" s="561" t="s">
        <v>94</v>
      </c>
      <c r="G134" s="561" t="s">
        <v>94</v>
      </c>
      <c r="H134" s="561" t="s">
        <v>94</v>
      </c>
      <c r="I134" s="561" t="s">
        <v>94</v>
      </c>
      <c r="J134" s="561" t="s">
        <v>94</v>
      </c>
      <c r="K134" s="368" t="str">
        <f>IF('Products x speed'!E48=0,"",('Products x speed'!E240*10^6/('Products x speed'!E48*$A134)))</f>
        <v/>
      </c>
      <c r="L134" s="368" t="str">
        <f>IF('Products x speed'!F48=0,"",('Products x speed'!F240*10^6/('Products x speed'!F48*$A134)))</f>
        <v/>
      </c>
      <c r="M134" s="368" t="str">
        <f>IF('Products x speed'!G48=0,"",('Products x speed'!G240*10^6/('Products x speed'!G48*$A134)))</f>
        <v/>
      </c>
      <c r="N134" s="368" t="str">
        <f>IF('Products x speed'!H48=0,"",('Products x speed'!H240*10^6/('Products x speed'!H48*$A134)))</f>
        <v/>
      </c>
      <c r="O134" s="368" t="str">
        <f>IF('Products x speed'!I48=0,"",('Products x speed'!I240*10^6/('Products x speed'!I48*$A134)))</f>
        <v/>
      </c>
      <c r="P134" s="368" t="str">
        <f>IF('Products x speed'!J48=0,"",('Products x speed'!J240*10^6/('Products x speed'!J48*$A134)))</f>
        <v/>
      </c>
      <c r="Q134" s="368" t="str">
        <f>IF('Products x speed'!K48=0,"",('Products x speed'!K240*10^6/('Products x speed'!K48*$A134)))</f>
        <v/>
      </c>
      <c r="R134" s="366" t="str">
        <f>IF('Products x speed'!L48=0,"",('Products x speed'!L240*10^6/('Products x speed'!L48*$A134)))</f>
        <v/>
      </c>
      <c r="S134" s="366" t="str">
        <f>IF('Products x speed'!M48=0,"",('Products x speed'!M240*10^6/('Products x speed'!M48*$A134)))</f>
        <v/>
      </c>
      <c r="T134" s="366" t="str">
        <f>IF('Products x speed'!N48=0,"",('Products x speed'!N240*10^6/('Products x speed'!N48*$A134)))</f>
        <v/>
      </c>
      <c r="U134" s="366" t="str">
        <f>IF('Products x speed'!O48=0,"",('Products x speed'!O240*10^6/('Products x speed'!O48*$A134)))</f>
        <v/>
      </c>
      <c r="V134" s="366" t="str">
        <f>IF('Products x speed'!P48=0,"",('Products x speed'!P240*10^6/('Products x speed'!P48*$A134)))</f>
        <v/>
      </c>
    </row>
    <row r="135" spans="1:22">
      <c r="A135" s="638">
        <v>100</v>
      </c>
      <c r="B135" s="87" t="str">
        <f>'Products x speed'!B49</f>
        <v>100G CWDM4-subspec</v>
      </c>
      <c r="C135" s="88" t="str">
        <f>'Products x speed'!C49</f>
        <v>500 m</v>
      </c>
      <c r="D135" s="88" t="str">
        <f>'Products x speed'!D49</f>
        <v>QSFP28</v>
      </c>
      <c r="E135" s="560" t="s">
        <v>94</v>
      </c>
      <c r="F135" s="561" t="s">
        <v>94</v>
      </c>
      <c r="G135" s="561" t="s">
        <v>94</v>
      </c>
      <c r="H135" s="561" t="s">
        <v>94</v>
      </c>
      <c r="I135" s="561" t="s">
        <v>94</v>
      </c>
      <c r="J135" s="561" t="s">
        <v>94</v>
      </c>
      <c r="K135" s="368">
        <f>IF('Products x speed'!E49=0,"",('Products x speed'!E241*10^6/('Products x speed'!E49*$A135)))</f>
        <v>6.25</v>
      </c>
      <c r="L135" s="368">
        <f>IF('Products x speed'!F49=0,"",('Products x speed'!F241*10^6/('Products x speed'!F49*$A135)))</f>
        <v>4.5</v>
      </c>
      <c r="M135" s="368">
        <f>IF('Products x speed'!G49=0,"",('Products x speed'!G241*10^6/('Products x speed'!G49*$A135)))</f>
        <v>2.8</v>
      </c>
      <c r="N135" s="368" t="str">
        <f>IF('Products x speed'!H49=0,"",('Products x speed'!H241*10^6/('Products x speed'!H49*$A135)))</f>
        <v/>
      </c>
      <c r="O135" s="368" t="str">
        <f>IF('Products x speed'!I49=0,"",('Products x speed'!I241*10^6/('Products x speed'!I49*$A135)))</f>
        <v/>
      </c>
      <c r="P135" s="368" t="str">
        <f>IF('Products x speed'!J49=0,"",('Products x speed'!J241*10^6/('Products x speed'!J49*$A135)))</f>
        <v/>
      </c>
      <c r="Q135" s="368" t="str">
        <f>IF('Products x speed'!K49=0,"",('Products x speed'!K241*10^6/('Products x speed'!K49*$A135)))</f>
        <v/>
      </c>
      <c r="R135" s="366" t="str">
        <f>IF('Products x speed'!L49=0,"",('Products x speed'!L241*10^6/('Products x speed'!L49*$A135)))</f>
        <v/>
      </c>
      <c r="S135" s="366" t="str">
        <f>IF('Products x speed'!M49=0,"",('Products x speed'!M241*10^6/('Products x speed'!M49*$A135)))</f>
        <v/>
      </c>
      <c r="T135" s="366" t="str">
        <f>IF('Products x speed'!N49=0,"",('Products x speed'!N241*10^6/('Products x speed'!N49*$A135)))</f>
        <v/>
      </c>
      <c r="U135" s="366" t="str">
        <f>IF('Products x speed'!O49=0,"",('Products x speed'!O241*10^6/('Products x speed'!O49*$A135)))</f>
        <v/>
      </c>
      <c r="V135" s="366" t="str">
        <f>IF('Products x speed'!P49=0,"",('Products x speed'!P241*10^6/('Products x speed'!P49*$A135)))</f>
        <v/>
      </c>
    </row>
    <row r="136" spans="1:22">
      <c r="A136" s="638">
        <v>100</v>
      </c>
      <c r="B136" s="87" t="str">
        <f>'Products x speed'!B50</f>
        <v>100G CWDM4</v>
      </c>
      <c r="C136" s="88" t="str">
        <f>'Products x speed'!C50</f>
        <v>2 km</v>
      </c>
      <c r="D136" s="88" t="str">
        <f>'Products x speed'!D50</f>
        <v>QSFP28</v>
      </c>
      <c r="E136" s="560" t="s">
        <v>94</v>
      </c>
      <c r="F136" s="561" t="s">
        <v>94</v>
      </c>
      <c r="G136" s="561" t="s">
        <v>94</v>
      </c>
      <c r="H136" s="561" t="s">
        <v>94</v>
      </c>
      <c r="I136" s="561" t="s">
        <v>94</v>
      </c>
      <c r="J136" s="561">
        <v>14</v>
      </c>
      <c r="K136" s="121">
        <f>IF('Products x speed'!E50=0,"",('Products x speed'!E242*10^6/('Products x speed'!E50*$A136)))</f>
        <v>8.25</v>
      </c>
      <c r="L136" s="368">
        <f>IF('Products x speed'!F50=0,"",('Products x speed'!F242*10^6/('Products x speed'!F50*$A136)))</f>
        <v>6.5</v>
      </c>
      <c r="M136" s="368">
        <f>IF('Products x speed'!G50=0,"",('Products x speed'!G242*10^6/('Products x speed'!G50*$A136)))</f>
        <v>4.9000000000000004</v>
      </c>
      <c r="N136" s="368" t="str">
        <f>IF('Products x speed'!H50=0,"",('Products x speed'!H242*10^6/('Products x speed'!H50*$A136)))</f>
        <v/>
      </c>
      <c r="O136" s="368" t="str">
        <f>IF('Products x speed'!I50=0,"",('Products x speed'!I242*10^6/('Products x speed'!I50*$A136)))</f>
        <v/>
      </c>
      <c r="P136" s="368" t="str">
        <f>IF('Products x speed'!J50=0,"",('Products x speed'!J242*10^6/('Products x speed'!J50*$A136)))</f>
        <v/>
      </c>
      <c r="Q136" s="368" t="str">
        <f>IF('Products x speed'!K50=0,"",('Products x speed'!K242*10^6/('Products x speed'!K50*$A136)))</f>
        <v/>
      </c>
      <c r="R136" s="366" t="str">
        <f>IF('Products x speed'!L50=0,"",('Products x speed'!L242*10^6/('Products x speed'!L50*$A136)))</f>
        <v/>
      </c>
      <c r="S136" s="366" t="str">
        <f>IF('Products x speed'!M50=0,"",('Products x speed'!M242*10^6/('Products x speed'!M50*$A136)))</f>
        <v/>
      </c>
      <c r="T136" s="366" t="str">
        <f>IF('Products x speed'!N50=0,"",('Products x speed'!N242*10^6/('Products x speed'!N50*$A136)))</f>
        <v/>
      </c>
      <c r="U136" s="366" t="str">
        <f>IF('Products x speed'!O50=0,"",('Products x speed'!O242*10^6/('Products x speed'!O50*$A136)))</f>
        <v/>
      </c>
      <c r="V136" s="366" t="str">
        <f>IF('Products x speed'!P50=0,"",('Products x speed'!P242*10^6/('Products x speed'!P50*$A136)))</f>
        <v/>
      </c>
    </row>
    <row r="137" spans="1:22">
      <c r="A137" s="638">
        <v>100</v>
      </c>
      <c r="B137" s="87" t="str">
        <f>'Products x speed'!B51</f>
        <v>100G FR, DR+</v>
      </c>
      <c r="C137" s="88" t="str">
        <f>'Products x speed'!C51</f>
        <v>2 km</v>
      </c>
      <c r="D137" s="88" t="str">
        <f>'Products x speed'!D51</f>
        <v>QSFP28</v>
      </c>
      <c r="E137" s="560" t="s">
        <v>94</v>
      </c>
      <c r="F137" s="561" t="s">
        <v>94</v>
      </c>
      <c r="G137" s="561" t="s">
        <v>94</v>
      </c>
      <c r="H137" s="561" t="s">
        <v>94</v>
      </c>
      <c r="I137" s="561" t="s">
        <v>94</v>
      </c>
      <c r="J137" s="561" t="s">
        <v>94</v>
      </c>
      <c r="K137" s="121" t="str">
        <f>IF('Products x speed'!E51=0,"",('Products x speed'!E243*10^6/('Products x speed'!E51*$A137)))</f>
        <v/>
      </c>
      <c r="L137" s="368" t="str">
        <f>IF('Products x speed'!F51=0,"",('Products x speed'!F243*10^6/('Products x speed'!F51*$A137)))</f>
        <v/>
      </c>
      <c r="M137" s="368">
        <f>IF('Products x speed'!G51=0,"",('Products x speed'!G243*10^6/('Products x speed'!G51*$A137)))</f>
        <v>4</v>
      </c>
      <c r="N137" s="368" t="str">
        <f>IF('Products x speed'!H51=0,"",('Products x speed'!H243*10^6/('Products x speed'!H51*$A137)))</f>
        <v/>
      </c>
      <c r="O137" s="368" t="str">
        <f>IF('Products x speed'!I51=0,"",('Products x speed'!I243*10^6/('Products x speed'!I51*$A137)))</f>
        <v/>
      </c>
      <c r="P137" s="368" t="str">
        <f>IF('Products x speed'!J51=0,"",('Products x speed'!J243*10^6/('Products x speed'!J51*$A137)))</f>
        <v/>
      </c>
      <c r="Q137" s="368" t="str">
        <f>IF('Products x speed'!K51=0,"",('Products x speed'!K243*10^6/('Products x speed'!K51*$A137)))</f>
        <v/>
      </c>
      <c r="R137" s="366" t="str">
        <f>IF('Products x speed'!L51=0,"",('Products x speed'!L243*10^6/('Products x speed'!L51*$A137)))</f>
        <v/>
      </c>
      <c r="S137" s="366" t="str">
        <f>IF('Products x speed'!M51=0,"",('Products x speed'!M243*10^6/('Products x speed'!M51*$A137)))</f>
        <v/>
      </c>
      <c r="T137" s="366" t="str">
        <f>IF('Products x speed'!N51=0,"",('Products x speed'!N243*10^6/('Products x speed'!N51*$A137)))</f>
        <v/>
      </c>
      <c r="U137" s="366" t="str">
        <f>IF('Products x speed'!O51=0,"",('Products x speed'!O243*10^6/('Products x speed'!O51*$A137)))</f>
        <v/>
      </c>
      <c r="V137" s="366" t="str">
        <f>IF('Products x speed'!P51=0,"",('Products x speed'!P243*10^6/('Products x speed'!P51*$A137)))</f>
        <v/>
      </c>
    </row>
    <row r="138" spans="1:22">
      <c r="A138" s="638">
        <v>100</v>
      </c>
      <c r="B138" s="87" t="str">
        <f>'Products x speed'!B52</f>
        <v>100G LR4</v>
      </c>
      <c r="C138" s="88" t="str">
        <f>'Products x speed'!C52</f>
        <v>10 km</v>
      </c>
      <c r="D138" s="88" t="str">
        <f>'Products x speed'!D52</f>
        <v>CFP</v>
      </c>
      <c r="E138" s="560">
        <v>262.22519083969468</v>
      </c>
      <c r="F138" s="561">
        <v>223.61202964182792</v>
      </c>
      <c r="G138" s="561">
        <v>136.50492489270385</v>
      </c>
      <c r="H138" s="561">
        <v>101.78582887438024</v>
      </c>
      <c r="I138" s="561">
        <v>68.921181122138364</v>
      </c>
      <c r="J138" s="561">
        <v>47.323499987345386</v>
      </c>
      <c r="K138" s="121">
        <f>IF('Products x speed'!E52=0,"",('Products x speed'!E244*10^6/('Products x speed'!E52*$A138)))</f>
        <v>35.278709620331334</v>
      </c>
      <c r="L138" s="368">
        <f>IF('Products x speed'!F52=0,"",('Products x speed'!F244*10^6/('Products x speed'!F52*$A138)))</f>
        <v>27.680701132780364</v>
      </c>
      <c r="M138" s="368">
        <f>IF('Products x speed'!G52=0,"",('Products x speed'!G244*10^6/('Products x speed'!G52*$A138)))</f>
        <v>21.03933055221113</v>
      </c>
      <c r="N138" s="368" t="str">
        <f>IF('Products x speed'!H52=0,"",('Products x speed'!H244*10^6/('Products x speed'!H52*$A138)))</f>
        <v/>
      </c>
      <c r="O138" s="368" t="str">
        <f>IF('Products x speed'!I52=0,"",('Products x speed'!I244*10^6/('Products x speed'!I52*$A138)))</f>
        <v/>
      </c>
      <c r="P138" s="368" t="str">
        <f>IF('Products x speed'!J52=0,"",('Products x speed'!J244*10^6/('Products x speed'!J52*$A138)))</f>
        <v/>
      </c>
      <c r="Q138" s="368" t="str">
        <f>IF('Products x speed'!K52=0,"",('Products x speed'!K244*10^6/('Products x speed'!K52*$A138)))</f>
        <v/>
      </c>
      <c r="R138" s="366" t="str">
        <f>IF('Products x speed'!L52=0,"",('Products x speed'!L244*10^6/('Products x speed'!L52*$A138)))</f>
        <v/>
      </c>
      <c r="S138" s="366" t="str">
        <f>IF('Products x speed'!M52=0,"",('Products x speed'!M244*10^6/('Products x speed'!M52*$A138)))</f>
        <v/>
      </c>
      <c r="T138" s="366" t="str">
        <f>IF('Products x speed'!N52=0,"",('Products x speed'!N244*10^6/('Products x speed'!N52*$A138)))</f>
        <v/>
      </c>
      <c r="U138" s="366" t="str">
        <f>IF('Products x speed'!O52=0,"",('Products x speed'!O244*10^6/('Products x speed'!O52*$A138)))</f>
        <v/>
      </c>
      <c r="V138" s="366" t="str">
        <f>IF('Products x speed'!P52=0,"",('Products x speed'!P244*10^6/('Products x speed'!P52*$A138)))</f>
        <v/>
      </c>
    </row>
    <row r="139" spans="1:22">
      <c r="A139" s="638">
        <v>100</v>
      </c>
      <c r="B139" s="87" t="str">
        <f>'Products x speed'!B53</f>
        <v>100G LR4</v>
      </c>
      <c r="C139" s="88" t="str">
        <f>'Products x speed'!C53</f>
        <v>10 km</v>
      </c>
      <c r="D139" s="328" t="str">
        <f>'Products x speed'!D53</f>
        <v>CFP2/4</v>
      </c>
      <c r="E139" s="560" t="s">
        <v>94</v>
      </c>
      <c r="F139" s="561" t="s">
        <v>94</v>
      </c>
      <c r="G139" s="561" t="s">
        <v>94</v>
      </c>
      <c r="H139" s="561">
        <v>123.08948069241012</v>
      </c>
      <c r="I139" s="561">
        <v>58.038538159350431</v>
      </c>
      <c r="J139" s="561">
        <v>43.04984187973956</v>
      </c>
      <c r="K139" s="121">
        <f>IF('Products x speed'!E53=0,"",('Products x speed'!E245*10^6/('Products x speed'!E53*$A139)))</f>
        <v>28.825268681316725</v>
      </c>
      <c r="L139" s="368">
        <f>IF('Products x speed'!F53=0,"",('Products x speed'!F245*10^6/('Products x speed'!F53*$A139)))</f>
        <v>21.403307221126155</v>
      </c>
      <c r="M139" s="368">
        <f>IF('Products x speed'!G53=0,"",('Products x speed'!G245*10^6/('Products x speed'!G53*$A139)))</f>
        <v>13.715324877705047</v>
      </c>
      <c r="N139" s="368" t="str">
        <f>IF('Products x speed'!H53=0,"",('Products x speed'!H245*10^6/('Products x speed'!H53*$A139)))</f>
        <v/>
      </c>
      <c r="O139" s="368" t="str">
        <f>IF('Products x speed'!I53=0,"",('Products x speed'!I245*10^6/('Products x speed'!I53*$A139)))</f>
        <v/>
      </c>
      <c r="P139" s="368" t="str">
        <f>IF('Products x speed'!J53=0,"",('Products x speed'!J245*10^6/('Products x speed'!J53*$A139)))</f>
        <v/>
      </c>
      <c r="Q139" s="368" t="str">
        <f>IF('Products x speed'!K53=0,"",('Products x speed'!K245*10^6/('Products x speed'!K53*$A139)))</f>
        <v/>
      </c>
      <c r="R139" s="366" t="str">
        <f>IF('Products x speed'!L53=0,"",('Products x speed'!L245*10^6/('Products x speed'!L53*$A139)))</f>
        <v/>
      </c>
      <c r="S139" s="366" t="str">
        <f>IF('Products x speed'!M53=0,"",('Products x speed'!M245*10^6/('Products x speed'!M53*$A139)))</f>
        <v/>
      </c>
      <c r="T139" s="366" t="str">
        <f>IF('Products x speed'!N53=0,"",('Products x speed'!N245*10^6/('Products x speed'!N53*$A139)))</f>
        <v/>
      </c>
      <c r="U139" s="366" t="str">
        <f>IF('Products x speed'!O53=0,"",('Products x speed'!O245*10^6/('Products x speed'!O53*$A139)))</f>
        <v/>
      </c>
      <c r="V139" s="366" t="str">
        <f>IF('Products x speed'!P53=0,"",('Products x speed'!P245*10^6/('Products x speed'!P53*$A139)))</f>
        <v/>
      </c>
    </row>
    <row r="140" spans="1:22">
      <c r="A140" s="638">
        <v>100</v>
      </c>
      <c r="B140" s="87" t="str">
        <f>'Products x speed'!B54</f>
        <v>100G LR4 and LR1</v>
      </c>
      <c r="C140" s="88" t="str">
        <f>'Products x speed'!C54</f>
        <v>10 km</v>
      </c>
      <c r="D140" s="88" t="str">
        <f>'Products x speed'!D54</f>
        <v>QSFP28</v>
      </c>
      <c r="E140" s="560" t="s">
        <v>94</v>
      </c>
      <c r="F140" s="561" t="s">
        <v>94</v>
      </c>
      <c r="G140" s="561" t="s">
        <v>94</v>
      </c>
      <c r="H140" s="561" t="s">
        <v>94</v>
      </c>
      <c r="I140" s="561" t="s">
        <v>94</v>
      </c>
      <c r="J140" s="561">
        <v>27.779039760536037</v>
      </c>
      <c r="K140" s="121">
        <f>IF('Products x speed'!E54=0,"",('Products x speed'!E246*10^6/('Products x speed'!E54*$A140)))</f>
        <v>19.381501024552811</v>
      </c>
      <c r="L140" s="368">
        <f>IF('Products x speed'!F54=0,"",('Products x speed'!F246*10^6/('Products x speed'!F54*$A140)))</f>
        <v>12</v>
      </c>
      <c r="M140" s="368">
        <f>IF('Products x speed'!G54=0,"",('Products x speed'!G246*10^6/('Products x speed'!G54*$A140)))</f>
        <v>8.3383281288172864</v>
      </c>
      <c r="N140" s="368" t="str">
        <f>IF('Products x speed'!H54=0,"",('Products x speed'!H246*10^6/('Products x speed'!H54*$A140)))</f>
        <v/>
      </c>
      <c r="O140" s="368" t="str">
        <f>IF('Products x speed'!I54=0,"",('Products x speed'!I246*10^6/('Products x speed'!I54*$A140)))</f>
        <v/>
      </c>
      <c r="P140" s="368" t="str">
        <f>IF('Products x speed'!J54=0,"",('Products x speed'!J246*10^6/('Products x speed'!J54*$A140)))</f>
        <v/>
      </c>
      <c r="Q140" s="368" t="str">
        <f>IF('Products x speed'!K54=0,"",('Products x speed'!K246*10^6/('Products x speed'!K54*$A140)))</f>
        <v/>
      </c>
      <c r="R140" s="366" t="str">
        <f>IF('Products x speed'!L54=0,"",('Products x speed'!L246*10^6/('Products x speed'!L54*$A140)))</f>
        <v/>
      </c>
      <c r="S140" s="366" t="str">
        <f>IF('Products x speed'!M54=0,"",('Products x speed'!M246*10^6/('Products x speed'!M54*$A140)))</f>
        <v/>
      </c>
      <c r="T140" s="366" t="str">
        <f>IF('Products x speed'!N54=0,"",('Products x speed'!N246*10^6/('Products x speed'!N54*$A140)))</f>
        <v/>
      </c>
      <c r="U140" s="366" t="str">
        <f>IF('Products x speed'!O54=0,"",('Products x speed'!O246*10^6/('Products x speed'!O54*$A140)))</f>
        <v/>
      </c>
      <c r="V140" s="366" t="str">
        <f>IF('Products x speed'!P54=0,"",('Products x speed'!P246*10^6/('Products x speed'!P54*$A140)))</f>
        <v/>
      </c>
    </row>
    <row r="141" spans="1:22">
      <c r="A141" s="638">
        <v>100</v>
      </c>
      <c r="B141" s="87" t="str">
        <f>'Products x speed'!B55</f>
        <v>100G 4WDM10</v>
      </c>
      <c r="C141" s="88" t="str">
        <f>'Products x speed'!C55</f>
        <v>10 km</v>
      </c>
      <c r="D141" s="88" t="str">
        <f>'Products x speed'!D55</f>
        <v>QSFP28</v>
      </c>
      <c r="E141" s="560" t="s">
        <v>94</v>
      </c>
      <c r="F141" s="561" t="s">
        <v>94</v>
      </c>
      <c r="G141" s="561" t="s">
        <v>94</v>
      </c>
      <c r="H141" s="561" t="s">
        <v>94</v>
      </c>
      <c r="I141" s="561" t="s">
        <v>94</v>
      </c>
      <c r="J141" s="561" t="s">
        <v>94</v>
      </c>
      <c r="K141" s="121" t="str">
        <f>IF('Products x speed'!E55=0,"",('Products x speed'!E247*10^6/('Products x speed'!E55*$A141)))</f>
        <v/>
      </c>
      <c r="L141" s="368">
        <f>IF('Products x speed'!F55=0,"",('Products x speed'!F247*10^6/('Products x speed'!F55*$A141)))</f>
        <v>5</v>
      </c>
      <c r="M141" s="368">
        <f>IF('Products x speed'!G55=0,"",('Products x speed'!G247*10^6/('Products x speed'!G55*$A141)))</f>
        <v>3</v>
      </c>
      <c r="N141" s="368" t="str">
        <f>IF('Products x speed'!H55=0,"",('Products x speed'!H247*10^6/('Products x speed'!H55*$A141)))</f>
        <v/>
      </c>
      <c r="O141" s="368" t="str">
        <f>IF('Products x speed'!I55=0,"",('Products x speed'!I247*10^6/('Products x speed'!I55*$A141)))</f>
        <v/>
      </c>
      <c r="P141" s="368" t="str">
        <f>IF('Products x speed'!J55=0,"",('Products x speed'!J247*10^6/('Products x speed'!J55*$A141)))</f>
        <v/>
      </c>
      <c r="Q141" s="368" t="str">
        <f>IF('Products x speed'!K55=0,"",('Products x speed'!K247*10^6/('Products x speed'!K55*$A141)))</f>
        <v/>
      </c>
      <c r="R141" s="366" t="str">
        <f>IF('Products x speed'!L55=0,"",('Products x speed'!L247*10^6/('Products x speed'!L55*$A141)))</f>
        <v/>
      </c>
      <c r="S141" s="366" t="str">
        <f>IF('Products x speed'!M55=0,"",('Products x speed'!M247*10^6/('Products x speed'!M55*$A141)))</f>
        <v/>
      </c>
      <c r="T141" s="366" t="str">
        <f>IF('Products x speed'!N55=0,"",('Products x speed'!N247*10^6/('Products x speed'!N55*$A141)))</f>
        <v/>
      </c>
      <c r="U141" s="366" t="str">
        <f>IF('Products x speed'!O55=0,"",('Products x speed'!O247*10^6/('Products x speed'!O55*$A141)))</f>
        <v/>
      </c>
      <c r="V141" s="366" t="str">
        <f>IF('Products x speed'!P55=0,"",('Products x speed'!P247*10^6/('Products x speed'!P55*$A141)))</f>
        <v/>
      </c>
    </row>
    <row r="142" spans="1:22">
      <c r="A142" s="638">
        <v>100</v>
      </c>
      <c r="B142" s="87" t="str">
        <f>'Products x speed'!B56</f>
        <v>100G 4WDM20</v>
      </c>
      <c r="C142" s="88" t="str">
        <f>'Products x speed'!C56</f>
        <v>20 km</v>
      </c>
      <c r="D142" s="88" t="str">
        <f>'Products x speed'!D56</f>
        <v>QSFP28</v>
      </c>
      <c r="E142" s="560"/>
      <c r="F142" s="561"/>
      <c r="G142" s="561"/>
      <c r="H142" s="561"/>
      <c r="I142" s="561" t="s">
        <v>94</v>
      </c>
      <c r="J142" s="561" t="s">
        <v>94</v>
      </c>
      <c r="K142" s="121" t="str">
        <f>IF('Products x speed'!E56=0,"",('Products x speed'!E248*10^6/('Products x speed'!E56*$A142)))</f>
        <v/>
      </c>
      <c r="L142" s="368" t="str">
        <f>IF('Products x speed'!F56=0,"",('Products x speed'!F248*10^6/('Products x speed'!F56*$A142)))</f>
        <v/>
      </c>
      <c r="M142" s="368" t="str">
        <f>IF('Products x speed'!G56=0,"",('Products x speed'!G248*10^6/('Products x speed'!G56*$A142)))</f>
        <v/>
      </c>
      <c r="N142" s="368" t="str">
        <f>IF('Products x speed'!H56=0,"",('Products x speed'!H248*10^6/('Products x speed'!H56*$A142)))</f>
        <v/>
      </c>
      <c r="O142" s="368" t="str">
        <f>IF('Products x speed'!I56=0,"",('Products x speed'!I248*10^6/('Products x speed'!I56*$A142)))</f>
        <v/>
      </c>
      <c r="P142" s="368" t="str">
        <f>IF('Products x speed'!J56=0,"",('Products x speed'!J248*10^6/('Products x speed'!J56*$A142)))</f>
        <v/>
      </c>
      <c r="Q142" s="368" t="str">
        <f>IF('Products x speed'!K56=0,"",('Products x speed'!K248*10^6/('Products x speed'!K56*$A142)))</f>
        <v/>
      </c>
      <c r="R142" s="366" t="str">
        <f>IF('Products x speed'!L56=0,"",('Products x speed'!L248*10^6/('Products x speed'!L56*$A142)))</f>
        <v/>
      </c>
      <c r="S142" s="366" t="str">
        <f>IF('Products x speed'!M56=0,"",('Products x speed'!M248*10^6/('Products x speed'!M56*$A142)))</f>
        <v/>
      </c>
      <c r="T142" s="366" t="str">
        <f>IF('Products x speed'!N56=0,"",('Products x speed'!N248*10^6/('Products x speed'!N56*$A142)))</f>
        <v/>
      </c>
      <c r="U142" s="366" t="str">
        <f>IF('Products x speed'!O56=0,"",('Products x speed'!O248*10^6/('Products x speed'!O56*$A142)))</f>
        <v/>
      </c>
      <c r="V142" s="366" t="str">
        <f>IF('Products x speed'!P56=0,"",('Products x speed'!P248*10^6/('Products x speed'!P56*$A142)))</f>
        <v/>
      </c>
    </row>
    <row r="143" spans="1:22">
      <c r="A143" s="638">
        <v>100</v>
      </c>
      <c r="B143" s="87" t="str">
        <f>'Products x speed'!B57</f>
        <v>100G ER4-Lite</v>
      </c>
      <c r="C143" s="88" t="str">
        <f>'Products x speed'!C57</f>
        <v>30 km</v>
      </c>
      <c r="D143" s="88" t="str">
        <f>'Products x speed'!D57</f>
        <v>QSFP28</v>
      </c>
      <c r="E143" s="560"/>
      <c r="F143" s="561"/>
      <c r="G143" s="561"/>
      <c r="H143" s="561"/>
      <c r="I143" s="561" t="s">
        <v>94</v>
      </c>
      <c r="J143" s="561" t="s">
        <v>94</v>
      </c>
      <c r="K143" s="121" t="str">
        <f>IF('Products x speed'!E57=0,"",('Products x speed'!E249*10^6/('Products x speed'!E57*$A143)))</f>
        <v/>
      </c>
      <c r="L143" s="368">
        <f>IF('Products x speed'!F57=0,"",('Products x speed'!F249*10^6/('Products x speed'!F57*$A143)))</f>
        <v>34.872423945044162</v>
      </c>
      <c r="M143" s="368">
        <f>IF('Products x speed'!G57=0,"",('Products x speed'!G249*10^6/('Products x speed'!G57*$A143)))</f>
        <v>31.132837037037035</v>
      </c>
      <c r="N143" s="368" t="str">
        <f>IF('Products x speed'!H57=0,"",('Products x speed'!H249*10^6/('Products x speed'!H57*$A143)))</f>
        <v/>
      </c>
      <c r="O143" s="368" t="str">
        <f>IF('Products x speed'!I57=0,"",('Products x speed'!I249*10^6/('Products x speed'!I57*$A143)))</f>
        <v/>
      </c>
      <c r="P143" s="368" t="str">
        <f>IF('Products x speed'!J57=0,"",('Products x speed'!J249*10^6/('Products x speed'!J57*$A143)))</f>
        <v/>
      </c>
      <c r="Q143" s="368" t="str">
        <f>IF('Products x speed'!K57=0,"",('Products x speed'!K249*10^6/('Products x speed'!K57*$A143)))</f>
        <v/>
      </c>
      <c r="R143" s="366" t="str">
        <f>IF('Products x speed'!L57=0,"",('Products x speed'!L249*10^6/('Products x speed'!L57*$A143)))</f>
        <v/>
      </c>
      <c r="S143" s="366" t="str">
        <f>IF('Products x speed'!M57=0,"",('Products x speed'!M249*10^6/('Products x speed'!M57*$A143)))</f>
        <v/>
      </c>
      <c r="T143" s="366" t="str">
        <f>IF('Products x speed'!N57=0,"",('Products x speed'!N249*10^6/('Products x speed'!N57*$A143)))</f>
        <v/>
      </c>
      <c r="U143" s="366" t="str">
        <f>IF('Products x speed'!O57=0,"",('Products x speed'!O249*10^6/('Products x speed'!O57*$A143)))</f>
        <v/>
      </c>
      <c r="V143" s="366" t="str">
        <f>IF('Products x speed'!P57=0,"",('Products x speed'!P249*10^6/('Products x speed'!P57*$A143)))</f>
        <v/>
      </c>
    </row>
    <row r="144" spans="1:22">
      <c r="A144" s="638">
        <v>100</v>
      </c>
      <c r="B144" s="87" t="str">
        <f>'Products x speed'!B58</f>
        <v>100G ER4</v>
      </c>
      <c r="C144" s="88" t="str">
        <f>'Products x speed'!C58</f>
        <v>40 km</v>
      </c>
      <c r="D144" s="88" t="str">
        <f>'Products x speed'!D58</f>
        <v>QSFP28</v>
      </c>
      <c r="E144" s="560"/>
      <c r="F144" s="561"/>
      <c r="G144" s="561"/>
      <c r="H144" s="561"/>
      <c r="I144" s="561" t="s">
        <v>94</v>
      </c>
      <c r="J144" s="561" t="s">
        <v>94</v>
      </c>
      <c r="K144" s="121">
        <f>IF('Products x speed'!E58=0,"",('Products x speed'!E250*10^6/('Products x speed'!E58*$A144)))</f>
        <v>89.923604525403434</v>
      </c>
      <c r="L144" s="368">
        <f>IF('Products x speed'!F58=0,"",('Products x speed'!F250*10^6/('Products x speed'!F58*$A144)))</f>
        <v>66.754855675304157</v>
      </c>
      <c r="M144" s="368">
        <f>IF('Products x speed'!G58=0,"",('Products x speed'!G250*10^6/('Products x speed'!G58*$A144)))</f>
        <v>49.399288403201147</v>
      </c>
      <c r="N144" s="368" t="str">
        <f>IF('Products x speed'!H58=0,"",('Products x speed'!H250*10^6/('Products x speed'!H58*$A144)))</f>
        <v/>
      </c>
      <c r="O144" s="368" t="str">
        <f>IF('Products x speed'!I58=0,"",('Products x speed'!I250*10^6/('Products x speed'!I58*$A144)))</f>
        <v/>
      </c>
      <c r="P144" s="368" t="str">
        <f>IF('Products x speed'!J58=0,"",('Products x speed'!J250*10^6/('Products x speed'!J58*$A144)))</f>
        <v/>
      </c>
      <c r="Q144" s="368" t="str">
        <f>IF('Products x speed'!K58=0,"",('Products x speed'!K250*10^6/('Products x speed'!K58*$A144)))</f>
        <v/>
      </c>
      <c r="R144" s="366" t="str">
        <f>IF('Products x speed'!L58=0,"",('Products x speed'!L250*10^6/('Products x speed'!L58*$A144)))</f>
        <v/>
      </c>
      <c r="S144" s="366" t="str">
        <f>IF('Products x speed'!M58=0,"",('Products x speed'!M250*10^6/('Products x speed'!M58*$A144)))</f>
        <v/>
      </c>
      <c r="T144" s="366" t="str">
        <f>IF('Products x speed'!N58=0,"",('Products x speed'!N250*10^6/('Products x speed'!N58*$A144)))</f>
        <v/>
      </c>
      <c r="U144" s="366" t="str">
        <f>IF('Products x speed'!O58=0,"",('Products x speed'!O250*10^6/('Products x speed'!O58*$A144)))</f>
        <v/>
      </c>
      <c r="V144" s="366" t="str">
        <f>IF('Products x speed'!P58=0,"",('Products x speed'!P250*10^6/('Products x speed'!P58*$A144)))</f>
        <v/>
      </c>
    </row>
    <row r="145" spans="1:22">
      <c r="A145" s="638">
        <v>100</v>
      </c>
      <c r="B145" s="87" t="str">
        <f>'Products x speed'!B59</f>
        <v>100G ZR4</v>
      </c>
      <c r="C145" s="88" t="str">
        <f>'Products x speed'!C59</f>
        <v>80 km</v>
      </c>
      <c r="D145" s="88" t="str">
        <f>'Products x speed'!D59</f>
        <v>QSFP28</v>
      </c>
      <c r="E145" s="560" t="s">
        <v>94</v>
      </c>
      <c r="F145" s="561" t="s">
        <v>94</v>
      </c>
      <c r="G145" s="561" t="s">
        <v>94</v>
      </c>
      <c r="H145" s="561" t="s">
        <v>94</v>
      </c>
      <c r="I145" s="561" t="s">
        <v>94</v>
      </c>
      <c r="J145" s="561">
        <v>78.003211991434696</v>
      </c>
      <c r="K145" s="121" t="str">
        <f>IF('Products x speed'!E59=0,"",('Products x speed'!E251*10^6/('Products x speed'!E59*$A145)))</f>
        <v/>
      </c>
      <c r="L145" s="368" t="str">
        <f>IF('Products x speed'!F59=0,"",('Products x speed'!F251*10^6/('Products x speed'!F59*$A145)))</f>
        <v/>
      </c>
      <c r="M145" s="368" t="str">
        <f>IF('Products x speed'!G59=0,"",('Products x speed'!G251*10^6/('Products x speed'!G59*$A145)))</f>
        <v/>
      </c>
      <c r="N145" s="368" t="str">
        <f>IF('Products x speed'!H59=0,"",('Products x speed'!H251*10^6/('Products x speed'!H59*$A145)))</f>
        <v/>
      </c>
      <c r="O145" s="368" t="str">
        <f>IF('Products x speed'!I59=0,"",('Products x speed'!I251*10^6/('Products x speed'!I59*$A145)))</f>
        <v/>
      </c>
      <c r="P145" s="368" t="str">
        <f>IF('Products x speed'!J59=0,"",('Products x speed'!J251*10^6/('Products x speed'!J59*$A145)))</f>
        <v/>
      </c>
      <c r="Q145" s="368" t="str">
        <f>IF('Products x speed'!K59=0,"",('Products x speed'!K251*10^6/('Products x speed'!K59*$A145)))</f>
        <v/>
      </c>
      <c r="R145" s="366" t="str">
        <f>IF('Products x speed'!L59=0,"",('Products x speed'!L251*10^6/('Products x speed'!L59*$A145)))</f>
        <v/>
      </c>
      <c r="S145" s="366" t="str">
        <f>IF('Products x speed'!M59=0,"",('Products x speed'!M251*10^6/('Products x speed'!M59*$A145)))</f>
        <v/>
      </c>
      <c r="T145" s="366" t="str">
        <f>IF('Products x speed'!N59=0,"",('Products x speed'!N251*10^6/('Products x speed'!N59*$A145)))</f>
        <v/>
      </c>
      <c r="U145" s="366" t="str">
        <f>IF('Products x speed'!O59=0,"",('Products x speed'!O251*10^6/('Products x speed'!O59*$A145)))</f>
        <v/>
      </c>
      <c r="V145" s="366" t="str">
        <f>IF('Products x speed'!P59=0,"",('Products x speed'!P251*10^6/('Products x speed'!P59*$A145)))</f>
        <v/>
      </c>
    </row>
    <row r="146" spans="1:22" ht="15.45" customHeight="1">
      <c r="A146" s="638">
        <v>200</v>
      </c>
      <c r="B146" s="79" t="str">
        <f>'Products x speed'!B60</f>
        <v>200G SR4</v>
      </c>
      <c r="C146" s="80" t="str">
        <f>'Products x speed'!C60</f>
        <v>100 m</v>
      </c>
      <c r="D146" s="81" t="str">
        <f>'Products x speed'!D60</f>
        <v>QSFP56</v>
      </c>
      <c r="E146" s="559" t="s">
        <v>94</v>
      </c>
      <c r="F146" s="559" t="s">
        <v>94</v>
      </c>
      <c r="G146" s="559" t="s">
        <v>94</v>
      </c>
      <c r="H146" s="559" t="s">
        <v>94</v>
      </c>
      <c r="I146" s="559" t="s">
        <v>94</v>
      </c>
      <c r="J146" s="559" t="s">
        <v>94</v>
      </c>
      <c r="K146" s="357" t="str">
        <f>IF('Products x speed'!E60=0,"",('Products x speed'!E252*10^6/('Products x speed'!E60*$A146)))</f>
        <v/>
      </c>
      <c r="L146" s="378" t="str">
        <f>IF('Products x speed'!F60=0,"",('Products x speed'!F252*10^6/('Products x speed'!F60*$A146)))</f>
        <v/>
      </c>
      <c r="M146" s="378">
        <f>IF('Products x speed'!G60=0,"",('Products x speed'!G252*10^6/('Products x speed'!G60*$A146)))</f>
        <v>3.5</v>
      </c>
      <c r="N146" s="378" t="str">
        <f>IF('Products x speed'!H60=0,"",('Products x speed'!H252*10^6/('Products x speed'!H60*$A146)))</f>
        <v/>
      </c>
      <c r="O146" s="378" t="str">
        <f>IF('Products x speed'!I60=0,"",('Products x speed'!I252*10^6/('Products x speed'!I60*$A146)))</f>
        <v/>
      </c>
      <c r="P146" s="378" t="str">
        <f>IF('Products x speed'!J60=0,"",('Products x speed'!J252*10^6/('Products x speed'!J60*$A146)))</f>
        <v/>
      </c>
      <c r="Q146" s="378" t="str">
        <f>IF('Products x speed'!K60=0,"",('Products x speed'!K252*10^6/('Products x speed'!K60*$A146)))</f>
        <v/>
      </c>
      <c r="R146" s="378" t="str">
        <f>IF('Products x speed'!L60=0,"",('Products x speed'!L252*10^6/('Products x speed'!L60*$A146)))</f>
        <v/>
      </c>
      <c r="S146" s="378" t="str">
        <f>IF('Products x speed'!M60=0,"",('Products x speed'!M252*10^6/('Products x speed'!M60*$A146)))</f>
        <v/>
      </c>
      <c r="T146" s="378" t="str">
        <f>IF('Products x speed'!N60=0,"",('Products x speed'!N252*10^6/('Products x speed'!N60*$A146)))</f>
        <v/>
      </c>
      <c r="U146" s="378" t="str">
        <f>IF('Products x speed'!O60=0,"",('Products x speed'!O252*10^6/('Products x speed'!O60*$A146)))</f>
        <v/>
      </c>
      <c r="V146" s="378" t="str">
        <f>IF('Products x speed'!P60=0,"",('Products x speed'!P252*10^6/('Products x speed'!P60*$A146)))</f>
        <v/>
      </c>
    </row>
    <row r="147" spans="1:22" ht="15.45" customHeight="1">
      <c r="A147" s="638">
        <v>200</v>
      </c>
      <c r="B147" s="87" t="str">
        <f>'Products x speed'!B61</f>
        <v>200G DR</v>
      </c>
      <c r="C147" s="88" t="str">
        <f>'Products x speed'!C61</f>
        <v>500 m</v>
      </c>
      <c r="D147" s="89" t="str">
        <f>'Products x speed'!D61</f>
        <v>TBD</v>
      </c>
      <c r="E147" s="561" t="s">
        <v>94</v>
      </c>
      <c r="F147" s="561" t="s">
        <v>94</v>
      </c>
      <c r="G147" s="561" t="s">
        <v>94</v>
      </c>
      <c r="H147" s="561" t="s">
        <v>94</v>
      </c>
      <c r="I147" s="561" t="s">
        <v>94</v>
      </c>
      <c r="J147" s="561" t="s">
        <v>94</v>
      </c>
      <c r="K147" s="365" t="str">
        <f>IF('Products x speed'!E61=0,"",('Products x speed'!E253*10^6/('Products x speed'!E61*$A147)))</f>
        <v/>
      </c>
      <c r="L147" s="366" t="str">
        <f>IF('Products x speed'!F61=0,"",('Products x speed'!F253*10^6/('Products x speed'!F61*$A147)))</f>
        <v/>
      </c>
      <c r="M147" s="366" t="str">
        <f>IF('Products x speed'!G61=0,"",('Products x speed'!G253*10^6/('Products x speed'!G61*$A147)))</f>
        <v/>
      </c>
      <c r="N147" s="366" t="str">
        <f>IF('Products x speed'!H61=0,"",('Products x speed'!H253*10^6/('Products x speed'!H61*$A147)))</f>
        <v/>
      </c>
      <c r="O147" s="366" t="str">
        <f>IF('Products x speed'!I61=0,"",('Products x speed'!I253*10^6/('Products x speed'!I61*$A147)))</f>
        <v/>
      </c>
      <c r="P147" s="366" t="str">
        <f>IF('Products x speed'!J61=0,"",('Products x speed'!J253*10^6/('Products x speed'!J61*$A147)))</f>
        <v/>
      </c>
      <c r="Q147" s="366" t="str">
        <f>IF('Products x speed'!K61=0,"",('Products x speed'!K253*10^6/('Products x speed'!K61*$A147)))</f>
        <v/>
      </c>
      <c r="R147" s="366" t="str">
        <f>IF('Products x speed'!L61=0,"",('Products x speed'!L253*10^6/('Products x speed'!L61*$A147)))</f>
        <v/>
      </c>
      <c r="S147" s="366" t="str">
        <f>IF('Products x speed'!M61=0,"",('Products x speed'!M253*10^6/('Products x speed'!M61*$A147)))</f>
        <v/>
      </c>
      <c r="T147" s="366" t="str">
        <f>IF('Products x speed'!N61=0,"",('Products x speed'!N253*10^6/('Products x speed'!N61*$A147)))</f>
        <v/>
      </c>
      <c r="U147" s="366" t="str">
        <f>IF('Products x speed'!O61=0,"",('Products x speed'!O253*10^6/('Products x speed'!O61*$A147)))</f>
        <v/>
      </c>
      <c r="V147" s="366" t="str">
        <f>IF('Products x speed'!P61=0,"",('Products x speed'!P253*10^6/('Products x speed'!P61*$A147)))</f>
        <v/>
      </c>
    </row>
    <row r="148" spans="1:22" ht="15.45" customHeight="1">
      <c r="A148" s="638">
        <v>200</v>
      </c>
      <c r="B148" s="87" t="str">
        <f>'Products x speed'!B62</f>
        <v>200G FR4</v>
      </c>
      <c r="C148" s="88" t="str">
        <f>'Products x speed'!C62</f>
        <v>3 km</v>
      </c>
      <c r="D148" s="89" t="str">
        <f>'Products x speed'!D62</f>
        <v>QSFP56</v>
      </c>
      <c r="E148" s="561" t="s">
        <v>94</v>
      </c>
      <c r="F148" s="561" t="s">
        <v>94</v>
      </c>
      <c r="G148" s="561" t="s">
        <v>94</v>
      </c>
      <c r="H148" s="561" t="s">
        <v>94</v>
      </c>
      <c r="I148" s="561" t="s">
        <v>94</v>
      </c>
      <c r="J148" s="561" t="s">
        <v>94</v>
      </c>
      <c r="K148" s="365" t="str">
        <f>IF('Products x speed'!E62=0,"",('Products x speed'!E254*10^6/('Products x speed'!E62*$A148)))</f>
        <v/>
      </c>
      <c r="L148" s="366" t="str">
        <f>IF('Products x speed'!F62=0,"",('Products x speed'!F254*10^6/('Products x speed'!F62*$A148)))</f>
        <v/>
      </c>
      <c r="M148" s="366">
        <f>IF('Products x speed'!G62=0,"",('Products x speed'!G254*10^6/('Products x speed'!G62*$A148)))</f>
        <v>7.5</v>
      </c>
      <c r="N148" s="366" t="str">
        <f>IF('Products x speed'!H62=0,"",('Products x speed'!H254*10^6/('Products x speed'!H62*$A148)))</f>
        <v/>
      </c>
      <c r="O148" s="366" t="str">
        <f>IF('Products x speed'!I62=0,"",('Products x speed'!I254*10^6/('Products x speed'!I62*$A148)))</f>
        <v/>
      </c>
      <c r="P148" s="366" t="str">
        <f>IF('Products x speed'!J62=0,"",('Products x speed'!J254*10^6/('Products x speed'!J62*$A148)))</f>
        <v/>
      </c>
      <c r="Q148" s="366" t="str">
        <f>IF('Products x speed'!K62=0,"",('Products x speed'!K254*10^6/('Products x speed'!K62*$A148)))</f>
        <v/>
      </c>
      <c r="R148" s="366" t="str">
        <f>IF('Products x speed'!L62=0,"",('Products x speed'!L254*10^6/('Products x speed'!L62*$A148)))</f>
        <v/>
      </c>
      <c r="S148" s="366" t="str">
        <f>IF('Products x speed'!M62=0,"",('Products x speed'!M254*10^6/('Products x speed'!M62*$A148)))</f>
        <v/>
      </c>
      <c r="T148" s="366" t="str">
        <f>IF('Products x speed'!N62=0,"",('Products x speed'!N254*10^6/('Products x speed'!N62*$A148)))</f>
        <v/>
      </c>
      <c r="U148" s="366" t="str">
        <f>IF('Products x speed'!O62=0,"",('Products x speed'!O254*10^6/('Products x speed'!O62*$A148)))</f>
        <v/>
      </c>
      <c r="V148" s="366" t="str">
        <f>IF('Products x speed'!P62=0,"",('Products x speed'!P254*10^6/('Products x speed'!P62*$A148)))</f>
        <v/>
      </c>
    </row>
    <row r="149" spans="1:22" ht="15.45" customHeight="1">
      <c r="A149" s="638">
        <v>200</v>
      </c>
      <c r="B149" s="87" t="str">
        <f>'Products x speed'!B63</f>
        <v>200G LR</v>
      </c>
      <c r="C149" s="88" t="str">
        <f>'Products x speed'!C63</f>
        <v>10 km</v>
      </c>
      <c r="D149" s="89" t="str">
        <f>'Products x speed'!D63</f>
        <v>TBD</v>
      </c>
      <c r="E149" s="561" t="s">
        <v>94</v>
      </c>
      <c r="F149" s="561" t="s">
        <v>94</v>
      </c>
      <c r="G149" s="561" t="s">
        <v>94</v>
      </c>
      <c r="H149" s="561" t="s">
        <v>94</v>
      </c>
      <c r="I149" s="561" t="s">
        <v>94</v>
      </c>
      <c r="J149" s="561" t="s">
        <v>94</v>
      </c>
      <c r="K149" s="365" t="str">
        <f>IF('Products x speed'!E63=0,"",('Products x speed'!E255*10^6/('Products x speed'!E63*$A149)))</f>
        <v/>
      </c>
      <c r="L149" s="366" t="str">
        <f>IF('Products x speed'!F63=0,"",('Products x speed'!F255*10^6/('Products x speed'!F63*$A149)))</f>
        <v/>
      </c>
      <c r="M149" s="366" t="str">
        <f>IF('Products x speed'!G63=0,"",('Products x speed'!G255*10^6/('Products x speed'!G63*$A149)))</f>
        <v/>
      </c>
      <c r="N149" s="366" t="str">
        <f>IF('Products x speed'!H63=0,"",('Products x speed'!H255*10^6/('Products x speed'!H63*$A149)))</f>
        <v/>
      </c>
      <c r="O149" s="366" t="str">
        <f>IF('Products x speed'!I63=0,"",('Products x speed'!I255*10^6/('Products x speed'!I63*$A149)))</f>
        <v/>
      </c>
      <c r="P149" s="366" t="str">
        <f>IF('Products x speed'!J63=0,"",('Products x speed'!J255*10^6/('Products x speed'!J63*$A149)))</f>
        <v/>
      </c>
      <c r="Q149" s="366" t="str">
        <f>IF('Products x speed'!K63=0,"",('Products x speed'!K255*10^6/('Products x speed'!K63*$A149)))</f>
        <v/>
      </c>
      <c r="R149" s="366" t="str">
        <f>IF('Products x speed'!L63=0,"",('Products x speed'!L255*10^6/('Products x speed'!L63*$A149)))</f>
        <v/>
      </c>
      <c r="S149" s="366" t="str">
        <f>IF('Products x speed'!M63=0,"",('Products x speed'!M255*10^6/('Products x speed'!M63*$A149)))</f>
        <v/>
      </c>
      <c r="T149" s="366" t="str">
        <f>IF('Products x speed'!N63=0,"",('Products x speed'!N255*10^6/('Products x speed'!N63*$A149)))</f>
        <v/>
      </c>
      <c r="U149" s="366" t="str">
        <f>IF('Products x speed'!O63=0,"",('Products x speed'!O255*10^6/('Products x speed'!O63*$A149)))</f>
        <v/>
      </c>
      <c r="V149" s="366" t="str">
        <f>IF('Products x speed'!P63=0,"",('Products x speed'!P255*10^6/('Products x speed'!P63*$A149)))</f>
        <v/>
      </c>
    </row>
    <row r="150" spans="1:22" ht="15.45" customHeight="1">
      <c r="A150" s="638">
        <v>200</v>
      </c>
      <c r="B150" s="83" t="str">
        <f>'Products x speed'!B64</f>
        <v>200G ER4</v>
      </c>
      <c r="C150" s="84" t="str">
        <f>'Products x speed'!C64</f>
        <v>40 km</v>
      </c>
      <c r="D150" s="85" t="str">
        <f>'Products x speed'!D64</f>
        <v>TBD</v>
      </c>
      <c r="E150" s="563" t="s">
        <v>94</v>
      </c>
      <c r="F150" s="563" t="s">
        <v>94</v>
      </c>
      <c r="G150" s="563" t="s">
        <v>94</v>
      </c>
      <c r="H150" s="563" t="s">
        <v>94</v>
      </c>
      <c r="I150" s="563" t="s">
        <v>94</v>
      </c>
      <c r="J150" s="563" t="s">
        <v>94</v>
      </c>
      <c r="K150" s="358" t="str">
        <f>IF('Products x speed'!E64=0,"",('Products x speed'!E256*10^6/('Products x speed'!E64*$A150)))</f>
        <v/>
      </c>
      <c r="L150" s="379" t="str">
        <f>IF('Products x speed'!F64=0,"",('Products x speed'!F256*10^6/('Products x speed'!F64*$A150)))</f>
        <v/>
      </c>
      <c r="M150" s="379" t="str">
        <f>IF('Products x speed'!G64=0,"",('Products x speed'!G256*10^6/('Products x speed'!G64*$A150)))</f>
        <v/>
      </c>
      <c r="N150" s="379" t="str">
        <f>IF('Products x speed'!H64=0,"",('Products x speed'!H256*10^6/('Products x speed'!H64*$A150)))</f>
        <v/>
      </c>
      <c r="O150" s="379" t="str">
        <f>IF('Products x speed'!I64=0,"",('Products x speed'!I256*10^6/('Products x speed'!I64*$A150)))</f>
        <v/>
      </c>
      <c r="P150" s="379" t="str">
        <f>IF('Products x speed'!J64=0,"",('Products x speed'!J256*10^6/('Products x speed'!J64*$A150)))</f>
        <v/>
      </c>
      <c r="Q150" s="379" t="str">
        <f>IF('Products x speed'!K64=0,"",('Products x speed'!K256*10^6/('Products x speed'!K64*$A150)))</f>
        <v/>
      </c>
      <c r="R150" s="379" t="str">
        <f>IF('Products x speed'!L64=0,"",('Products x speed'!L256*10^6/('Products x speed'!L64*$A150)))</f>
        <v/>
      </c>
      <c r="S150" s="379" t="str">
        <f>IF('Products x speed'!M64=0,"",('Products x speed'!M256*10^6/('Products x speed'!M64*$A150)))</f>
        <v/>
      </c>
      <c r="T150" s="379" t="str">
        <f>IF('Products x speed'!N64=0,"",('Products x speed'!N256*10^6/('Products x speed'!N64*$A150)))</f>
        <v/>
      </c>
      <c r="U150" s="379" t="str">
        <f>IF('Products x speed'!O64=0,"",('Products x speed'!O256*10^6/('Products x speed'!O64*$A150)))</f>
        <v/>
      </c>
      <c r="V150" s="379" t="str">
        <f>IF('Products x speed'!P64=0,"",('Products x speed'!P256*10^6/('Products x speed'!P64*$A150)))</f>
        <v/>
      </c>
    </row>
    <row r="151" spans="1:22" ht="15.45" customHeight="1">
      <c r="A151" s="638">
        <v>400</v>
      </c>
      <c r="B151" s="79" t="str">
        <f>'Products x speed'!B65</f>
        <v>2x200 (400G-SR8)</v>
      </c>
      <c r="C151" s="80" t="str">
        <f>'Products x speed'!C65</f>
        <v>100 m</v>
      </c>
      <c r="D151" s="81" t="str">
        <f>'Products x speed'!D65</f>
        <v>OSFP, QSFP-DD</v>
      </c>
      <c r="E151" s="559" t="s">
        <v>94</v>
      </c>
      <c r="F151" s="559" t="s">
        <v>94</v>
      </c>
      <c r="G151" s="559" t="s">
        <v>94</v>
      </c>
      <c r="H151" s="559" t="s">
        <v>94</v>
      </c>
      <c r="I151" s="559" t="s">
        <v>94</v>
      </c>
      <c r="J151" s="559" t="s">
        <v>94</v>
      </c>
      <c r="K151" s="357" t="str">
        <f>IF('Products x speed'!E65=0,"",('Products x speed'!E257*10^6/('Products x speed'!E65*$A151)))</f>
        <v/>
      </c>
      <c r="L151" s="378" t="str">
        <f>IF('Products x speed'!F65=0,"",('Products x speed'!F257*10^6/('Products x speed'!F65*$A151)))</f>
        <v/>
      </c>
      <c r="M151" s="378">
        <f>IF('Products x speed'!G65=0,"",('Products x speed'!G257*10^6/('Products x speed'!G65*$A151)))</f>
        <v>1.61</v>
      </c>
      <c r="N151" s="378" t="str">
        <f>IF('Products x speed'!H65=0,"",('Products x speed'!H257*10^6/('Products x speed'!H65*$A151)))</f>
        <v/>
      </c>
      <c r="O151" s="378" t="str">
        <f>IF('Products x speed'!I65=0,"",('Products x speed'!I257*10^6/('Products x speed'!I65*$A151)))</f>
        <v/>
      </c>
      <c r="P151" s="378" t="str">
        <f>IF('Products x speed'!J65=0,"",('Products x speed'!J257*10^6/('Products x speed'!J65*$A151)))</f>
        <v/>
      </c>
      <c r="Q151" s="378" t="str">
        <f>IF('Products x speed'!K65=0,"",('Products x speed'!K257*10^6/('Products x speed'!K65*$A151)))</f>
        <v/>
      </c>
      <c r="R151" s="378" t="str">
        <f>IF('Products x speed'!L65=0,"",('Products x speed'!L257*10^6/('Products x speed'!L65*$A151)))</f>
        <v/>
      </c>
      <c r="S151" s="378" t="str">
        <f>IF('Products x speed'!M65=0,"",('Products x speed'!M257*10^6/('Products x speed'!M65*$A151)))</f>
        <v/>
      </c>
      <c r="T151" s="378" t="str">
        <f>IF('Products x speed'!N65=0,"",('Products x speed'!N257*10^6/('Products x speed'!N65*$A151)))</f>
        <v/>
      </c>
      <c r="U151" s="378" t="str">
        <f>IF('Products x speed'!O65=0,"",('Products x speed'!O257*10^6/('Products x speed'!O65*$A151)))</f>
        <v/>
      </c>
      <c r="V151" s="378" t="str">
        <f>IF('Products x speed'!P65=0,"",('Products x speed'!P257*10^6/('Products x speed'!P65*$A151)))</f>
        <v/>
      </c>
    </row>
    <row r="152" spans="1:22" ht="15.45" customHeight="1">
      <c r="A152" s="638">
        <v>400</v>
      </c>
      <c r="B152" s="87" t="str">
        <f>'Products x speed'!B66</f>
        <v>400G SR4.2</v>
      </c>
      <c r="C152" s="88" t="str">
        <f>'Products x speed'!C66</f>
        <v>100 m</v>
      </c>
      <c r="D152" s="89" t="str">
        <f>'Products x speed'!D66</f>
        <v>OSFP, QSFP-DD</v>
      </c>
      <c r="E152" s="561" t="s">
        <v>94</v>
      </c>
      <c r="F152" s="561" t="s">
        <v>94</v>
      </c>
      <c r="G152" s="561" t="s">
        <v>94</v>
      </c>
      <c r="H152" s="561" t="s">
        <v>94</v>
      </c>
      <c r="I152" s="561" t="s">
        <v>94</v>
      </c>
      <c r="J152" s="561" t="s">
        <v>94</v>
      </c>
      <c r="K152" s="365" t="str">
        <f>IF('Products x speed'!E66=0,"",('Products x speed'!E258*10^6/('Products x speed'!E66*$A152)))</f>
        <v/>
      </c>
      <c r="L152" s="366" t="str">
        <f>IF('Products x speed'!F66=0,"",('Products x speed'!F258*10^6/('Products x speed'!F66*$A152)))</f>
        <v/>
      </c>
      <c r="M152" s="366" t="str">
        <f>IF('Products x speed'!G66=0,"",('Products x speed'!G258*10^6/('Products x speed'!G66*$A152)))</f>
        <v/>
      </c>
      <c r="N152" s="366" t="str">
        <f>IF('Products x speed'!H66=0,"",('Products x speed'!H258*10^6/('Products x speed'!H66*$A152)))</f>
        <v/>
      </c>
      <c r="O152" s="366" t="str">
        <f>IF('Products x speed'!I66=0,"",('Products x speed'!I258*10^6/('Products x speed'!I66*$A152)))</f>
        <v/>
      </c>
      <c r="P152" s="366" t="str">
        <f>IF('Products x speed'!J66=0,"",('Products x speed'!J258*10^6/('Products x speed'!J66*$A152)))</f>
        <v/>
      </c>
      <c r="Q152" s="366" t="str">
        <f>IF('Products x speed'!K66=0,"",('Products x speed'!K258*10^6/('Products x speed'!K66*$A152)))</f>
        <v/>
      </c>
      <c r="R152" s="366" t="str">
        <f>IF('Products x speed'!L66=0,"",('Products x speed'!L258*10^6/('Products x speed'!L66*$A152)))</f>
        <v/>
      </c>
      <c r="S152" s="366" t="str">
        <f>IF('Products x speed'!M66=0,"",('Products x speed'!M258*10^6/('Products x speed'!M66*$A152)))</f>
        <v/>
      </c>
      <c r="T152" s="366" t="str">
        <f>IF('Products x speed'!N66=0,"",('Products x speed'!N258*10^6/('Products x speed'!N66*$A152)))</f>
        <v/>
      </c>
      <c r="U152" s="366" t="str">
        <f>IF('Products x speed'!O66=0,"",('Products x speed'!O258*10^6/('Products x speed'!O66*$A152)))</f>
        <v/>
      </c>
      <c r="V152" s="366" t="str">
        <f>IF('Products x speed'!P66=0,"",('Products x speed'!P258*10^6/('Products x speed'!P66*$A152)))</f>
        <v/>
      </c>
    </row>
    <row r="153" spans="1:22" ht="15.45" customHeight="1">
      <c r="A153" s="638">
        <v>400</v>
      </c>
      <c r="B153" s="87" t="str">
        <f>'Products x speed'!B67</f>
        <v>400G DR4</v>
      </c>
      <c r="C153" s="88" t="str">
        <f>'Products x speed'!C67</f>
        <v>500 m</v>
      </c>
      <c r="D153" s="89" t="str">
        <f>'Products x speed'!D67</f>
        <v>OSFP, QSFP-DD, QSFP112</v>
      </c>
      <c r="E153" s="561" t="s">
        <v>94</v>
      </c>
      <c r="F153" s="561" t="s">
        <v>94</v>
      </c>
      <c r="G153" s="561" t="s">
        <v>94</v>
      </c>
      <c r="H153" s="561" t="s">
        <v>94</v>
      </c>
      <c r="I153" s="561" t="s">
        <v>94</v>
      </c>
      <c r="J153" s="561" t="s">
        <v>94</v>
      </c>
      <c r="K153" s="365" t="str">
        <f>IF('Products x speed'!E67=0,"",('Products x speed'!E259*10^6/('Products x speed'!E67*$A153)))</f>
        <v/>
      </c>
      <c r="L153" s="366" t="str">
        <f>IF('Products x speed'!F67=0,"",('Products x speed'!F259*10^6/('Products x speed'!F67*$A153)))</f>
        <v/>
      </c>
      <c r="M153" s="366">
        <f>IF('Products x speed'!G67=0,"",('Products x speed'!G259*10^6/('Products x speed'!G67*$A153)))</f>
        <v>2.75</v>
      </c>
      <c r="N153" s="366" t="str">
        <f>IF('Products x speed'!H67=0,"",('Products x speed'!H259*10^6/('Products x speed'!H67*$A153)))</f>
        <v/>
      </c>
      <c r="O153" s="366" t="str">
        <f>IF('Products x speed'!I67=0,"",('Products x speed'!I259*10^6/('Products x speed'!I67*$A153)))</f>
        <v/>
      </c>
      <c r="P153" s="366" t="str">
        <f>IF('Products x speed'!J67=0,"",('Products x speed'!J259*10^6/('Products x speed'!J67*$A153)))</f>
        <v/>
      </c>
      <c r="Q153" s="366" t="str">
        <f>IF('Products x speed'!K67=0,"",('Products x speed'!K259*10^6/('Products x speed'!K67*$A153)))</f>
        <v/>
      </c>
      <c r="R153" s="366" t="str">
        <f>IF('Products x speed'!L67=0,"",('Products x speed'!L259*10^6/('Products x speed'!L67*$A153)))</f>
        <v/>
      </c>
      <c r="S153" s="366" t="str">
        <f>IF('Products x speed'!M67=0,"",('Products x speed'!M259*10^6/('Products x speed'!M67*$A153)))</f>
        <v/>
      </c>
      <c r="T153" s="366" t="str">
        <f>IF('Products x speed'!N67=0,"",('Products x speed'!N259*10^6/('Products x speed'!N67*$A153)))</f>
        <v/>
      </c>
      <c r="U153" s="366" t="str">
        <f>IF('Products x speed'!O67=0,"",('Products x speed'!O259*10^6/('Products x speed'!O67*$A153)))</f>
        <v/>
      </c>
      <c r="V153" s="366" t="str">
        <f>IF('Products x speed'!P67=0,"",('Products x speed'!P259*10^6/('Products x speed'!P67*$A153)))</f>
        <v/>
      </c>
    </row>
    <row r="154" spans="1:22" ht="15.45" customHeight="1">
      <c r="A154" s="638">
        <v>400</v>
      </c>
      <c r="B154" s="87" t="str">
        <f>'Products x speed'!B68</f>
        <v>2x(200G FR4)</v>
      </c>
      <c r="C154" s="88" t="str">
        <f>'Products x speed'!C68</f>
        <v>2 km</v>
      </c>
      <c r="D154" s="89" t="str">
        <f>'Products x speed'!D68</f>
        <v>OSFP</v>
      </c>
      <c r="E154" s="561" t="s">
        <v>94</v>
      </c>
      <c r="F154" s="561" t="s">
        <v>94</v>
      </c>
      <c r="G154" s="561" t="s">
        <v>94</v>
      </c>
      <c r="H154" s="561" t="s">
        <v>94</v>
      </c>
      <c r="I154" s="561" t="s">
        <v>94</v>
      </c>
      <c r="J154" s="561" t="s">
        <v>94</v>
      </c>
      <c r="K154" s="365" t="str">
        <f>IF('Products x speed'!E68=0,"",('Products x speed'!E260*10^6/('Products x speed'!E68*$A154)))</f>
        <v/>
      </c>
      <c r="L154" s="366" t="str">
        <f>IF('Products x speed'!F68=0,"",('Products x speed'!F260*10^6/('Products x speed'!F68*$A154)))</f>
        <v/>
      </c>
      <c r="M154" s="366">
        <f>IF('Products x speed'!G68=0,"",('Products x speed'!G260*10^6/('Products x speed'!G68*$A154)))</f>
        <v>4.625</v>
      </c>
      <c r="N154" s="366" t="str">
        <f>IF('Products x speed'!H68=0,"",('Products x speed'!H260*10^6/('Products x speed'!H68*$A154)))</f>
        <v/>
      </c>
      <c r="O154" s="366" t="str">
        <f>IF('Products x speed'!I68=0,"",('Products x speed'!I260*10^6/('Products x speed'!I68*$A154)))</f>
        <v/>
      </c>
      <c r="P154" s="366" t="str">
        <f>IF('Products x speed'!J68=0,"",('Products x speed'!J260*10^6/('Products x speed'!J68*$A154)))</f>
        <v/>
      </c>
      <c r="Q154" s="366" t="str">
        <f>IF('Products x speed'!K68=0,"",('Products x speed'!K260*10^6/('Products x speed'!K68*$A154)))</f>
        <v/>
      </c>
      <c r="R154" s="366" t="str">
        <f>IF('Products x speed'!L68=0,"",('Products x speed'!L260*10^6/('Products x speed'!L68*$A154)))</f>
        <v/>
      </c>
      <c r="S154" s="366" t="str">
        <f>IF('Products x speed'!M68=0,"",('Products x speed'!M260*10^6/('Products x speed'!M68*$A154)))</f>
        <v/>
      </c>
      <c r="T154" s="366" t="str">
        <f>IF('Products x speed'!N68=0,"",('Products x speed'!N260*10^6/('Products x speed'!N68*$A154)))</f>
        <v/>
      </c>
      <c r="U154" s="366" t="str">
        <f>IF('Products x speed'!O68=0,"",('Products x speed'!O260*10^6/('Products x speed'!O68*$A154)))</f>
        <v/>
      </c>
      <c r="V154" s="366" t="str">
        <f>IF('Products x speed'!P68=0,"",('Products x speed'!P260*10^6/('Products x speed'!P68*$A154)))</f>
        <v/>
      </c>
    </row>
    <row r="155" spans="1:22" ht="15.45" customHeight="1">
      <c r="A155" s="638">
        <v>400</v>
      </c>
      <c r="B155" s="87" t="str">
        <f>'Products x speed'!B69</f>
        <v>400G FR4</v>
      </c>
      <c r="C155" s="88" t="str">
        <f>'Products x speed'!C69</f>
        <v>2 km</v>
      </c>
      <c r="D155" s="89" t="str">
        <f>'Products x speed'!D69</f>
        <v>OSFP, QSFP-DD, QSFP112</v>
      </c>
      <c r="E155" s="561" t="s">
        <v>94</v>
      </c>
      <c r="F155" s="561" t="s">
        <v>94</v>
      </c>
      <c r="G155" s="561" t="s">
        <v>94</v>
      </c>
      <c r="H155" s="561" t="s">
        <v>94</v>
      </c>
      <c r="I155" s="561" t="s">
        <v>94</v>
      </c>
      <c r="J155" s="561" t="s">
        <v>94</v>
      </c>
      <c r="K155" s="365" t="str">
        <f>IF('Products x speed'!E69=0,"",('Products x speed'!E261*10^6/('Products x speed'!E69*$A155)))</f>
        <v/>
      </c>
      <c r="L155" s="366">
        <f>IF('Products x speed'!F69=0,"",('Products x speed'!F261*10^6/('Products x speed'!F69*$A155)))</f>
        <v>29.035714285714285</v>
      </c>
      <c r="M155" s="366">
        <f>IF('Products x speed'!G69=0,"",('Products x speed'!G261*10^6/('Products x speed'!G69*$A155)))</f>
        <v>5</v>
      </c>
      <c r="N155" s="366" t="str">
        <f>IF('Products x speed'!H69=0,"",('Products x speed'!H261*10^6/('Products x speed'!H69*$A155)))</f>
        <v/>
      </c>
      <c r="O155" s="366" t="str">
        <f>IF('Products x speed'!I69=0,"",('Products x speed'!I261*10^6/('Products x speed'!I69*$A155)))</f>
        <v/>
      </c>
      <c r="P155" s="366" t="str">
        <f>IF('Products x speed'!J69=0,"",('Products x speed'!J261*10^6/('Products x speed'!J69*$A155)))</f>
        <v/>
      </c>
      <c r="Q155" s="366" t="str">
        <f>IF('Products x speed'!K69=0,"",('Products x speed'!K261*10^6/('Products x speed'!K69*$A155)))</f>
        <v/>
      </c>
      <c r="R155" s="366" t="str">
        <f>IF('Products x speed'!L69=0,"",('Products x speed'!L261*10^6/('Products x speed'!L69*$A155)))</f>
        <v/>
      </c>
      <c r="S155" s="366" t="str">
        <f>IF('Products x speed'!M69=0,"",('Products x speed'!M261*10^6/('Products x speed'!M69*$A155)))</f>
        <v/>
      </c>
      <c r="T155" s="366" t="str">
        <f>IF('Products x speed'!N69=0,"",('Products x speed'!N261*10^6/('Products x speed'!N69*$A155)))</f>
        <v/>
      </c>
      <c r="U155" s="366" t="str">
        <f>IF('Products x speed'!O69=0,"",('Products x speed'!O261*10^6/('Products x speed'!O69*$A155)))</f>
        <v/>
      </c>
      <c r="V155" s="366" t="str">
        <f>IF('Products x speed'!P69=0,"",('Products x speed'!P261*10^6/('Products x speed'!P69*$A155)))</f>
        <v/>
      </c>
    </row>
    <row r="156" spans="1:22" ht="15.45" customHeight="1">
      <c r="A156" s="638">
        <v>400</v>
      </c>
      <c r="B156" s="87" t="str">
        <f>'Products x speed'!B70</f>
        <v>400G LR8, LR4</v>
      </c>
      <c r="C156" s="88" t="str">
        <f>'Products x speed'!C70</f>
        <v>10 km</v>
      </c>
      <c r="D156" s="89" t="str">
        <f>'Products x speed'!D70</f>
        <v>OSFP, QSFP-DD, QSFP112</v>
      </c>
      <c r="E156" s="561" t="s">
        <v>94</v>
      </c>
      <c r="F156" s="561" t="s">
        <v>94</v>
      </c>
      <c r="G156" s="561" t="s">
        <v>94</v>
      </c>
      <c r="H156" s="561" t="s">
        <v>94</v>
      </c>
      <c r="I156" s="561" t="s">
        <v>94</v>
      </c>
      <c r="J156" s="561" t="s">
        <v>94</v>
      </c>
      <c r="K156" s="365" t="str">
        <f>IF('Products x speed'!E70=0,"",('Products x speed'!E262*10^6/('Products x speed'!E70*$A156)))</f>
        <v/>
      </c>
      <c r="L156" s="366">
        <f>IF('Products x speed'!F70=0,"",('Products x speed'!F262*10^6/('Products x speed'!F70*$A156)))</f>
        <v>38.628048780487802</v>
      </c>
      <c r="M156" s="366">
        <f>IF('Products x speed'!G70=0,"",('Products x speed'!G262*10^6/('Products x speed'!G70*$A156)))</f>
        <v>20</v>
      </c>
      <c r="N156" s="366" t="str">
        <f>IF('Products x speed'!H70=0,"",('Products x speed'!H262*10^6/('Products x speed'!H70*$A156)))</f>
        <v/>
      </c>
      <c r="O156" s="366" t="str">
        <f>IF('Products x speed'!I70=0,"",('Products x speed'!I262*10^6/('Products x speed'!I70*$A156)))</f>
        <v/>
      </c>
      <c r="P156" s="366" t="str">
        <f>IF('Products x speed'!J70=0,"",('Products x speed'!J262*10^6/('Products x speed'!J70*$A156)))</f>
        <v/>
      </c>
      <c r="Q156" s="366" t="str">
        <f>IF('Products x speed'!K70=0,"",('Products x speed'!K262*10^6/('Products x speed'!K70*$A156)))</f>
        <v/>
      </c>
      <c r="R156" s="366" t="str">
        <f>IF('Products x speed'!L70=0,"",('Products x speed'!L262*10^6/('Products x speed'!L70*$A156)))</f>
        <v/>
      </c>
      <c r="S156" s="366" t="str">
        <f>IF('Products x speed'!M70=0,"",('Products x speed'!M262*10^6/('Products x speed'!M70*$A156)))</f>
        <v/>
      </c>
      <c r="T156" s="366" t="str">
        <f>IF('Products x speed'!N70=0,"",('Products x speed'!N262*10^6/('Products x speed'!N70*$A156)))</f>
        <v/>
      </c>
      <c r="U156" s="366" t="str">
        <f>IF('Products x speed'!O70=0,"",('Products x speed'!O262*10^6/('Products x speed'!O70*$A156)))</f>
        <v/>
      </c>
      <c r="V156" s="366" t="str">
        <f>IF('Products x speed'!P70=0,"",('Products x speed'!P262*10^6/('Products x speed'!P70*$A156)))</f>
        <v/>
      </c>
    </row>
    <row r="157" spans="1:22" ht="15.45" customHeight="1">
      <c r="A157" s="638">
        <v>400</v>
      </c>
      <c r="B157" s="83" t="str">
        <f>'Products x speed'!B71</f>
        <v>400G ER4</v>
      </c>
      <c r="C157" s="84" t="str">
        <f>'Products x speed'!C71</f>
        <v>40 km</v>
      </c>
      <c r="D157" s="85" t="str">
        <f>'Products x speed'!D71</f>
        <v>TBD</v>
      </c>
      <c r="E157" s="563" t="s">
        <v>94</v>
      </c>
      <c r="F157" s="563" t="s">
        <v>94</v>
      </c>
      <c r="G157" s="563" t="s">
        <v>94</v>
      </c>
      <c r="H157" s="563" t="s">
        <v>94</v>
      </c>
      <c r="I157" s="563" t="s">
        <v>94</v>
      </c>
      <c r="J157" s="563" t="s">
        <v>94</v>
      </c>
      <c r="K157" s="358" t="str">
        <f>IF('Products x speed'!E71=0,"",('Products x speed'!E263*10^6/('Products x speed'!E71*$A157)))</f>
        <v/>
      </c>
      <c r="L157" s="379" t="str">
        <f>IF('Products x speed'!F71=0,"",('Products x speed'!F263*10^6/('Products x speed'!F71*$A157)))</f>
        <v/>
      </c>
      <c r="M157" s="379" t="str">
        <f>IF('Products x speed'!G71=0,"",('Products x speed'!G263*10^6/('Products x speed'!G71*$A157)))</f>
        <v/>
      </c>
      <c r="N157" s="379" t="str">
        <f>IF('Products x speed'!H71=0,"",('Products x speed'!H263*10^6/('Products x speed'!H71*$A157)))</f>
        <v/>
      </c>
      <c r="O157" s="379" t="str">
        <f>IF('Products x speed'!I71=0,"",('Products x speed'!I263*10^6/('Products x speed'!I71*$A157)))</f>
        <v/>
      </c>
      <c r="P157" s="379" t="str">
        <f>IF('Products x speed'!J71=0,"",('Products x speed'!J263*10^6/('Products x speed'!J71*$A157)))</f>
        <v/>
      </c>
      <c r="Q157" s="379" t="str">
        <f>IF('Products x speed'!K71=0,"",('Products x speed'!K263*10^6/('Products x speed'!K71*$A157)))</f>
        <v/>
      </c>
      <c r="R157" s="379" t="str">
        <f>IF('Products x speed'!L71=0,"",('Products x speed'!L263*10^6/('Products x speed'!L71*$A157)))</f>
        <v/>
      </c>
      <c r="S157" s="379" t="str">
        <f>IF('Products x speed'!M71=0,"",('Products x speed'!M263*10^6/('Products x speed'!M71*$A157)))</f>
        <v/>
      </c>
      <c r="T157" s="379" t="str">
        <f>IF('Products x speed'!N71=0,"",('Products x speed'!N263*10^6/('Products x speed'!N71*$A157)))</f>
        <v/>
      </c>
      <c r="U157" s="379" t="str">
        <f>IF('Products x speed'!O71=0,"",('Products x speed'!O263*10^6/('Products x speed'!O71*$A157)))</f>
        <v/>
      </c>
      <c r="V157" s="379" t="str">
        <f>IF('Products x speed'!P71=0,"",('Products x speed'!P263*10^6/('Products x speed'!P71*$A157)))</f>
        <v/>
      </c>
    </row>
    <row r="158" spans="1:22" ht="15.45" customHeight="1">
      <c r="A158" s="638">
        <v>800</v>
      </c>
      <c r="B158" s="79" t="str">
        <f>'Products x speed'!B72</f>
        <v>800G SR8</v>
      </c>
      <c r="C158" s="80" t="str">
        <f>'Products x speed'!C72</f>
        <v>50 m</v>
      </c>
      <c r="D158" s="81" t="str">
        <f>'Products x speed'!D72</f>
        <v>OSFP, QSFP-DD800</v>
      </c>
      <c r="E158" s="559" t="s">
        <v>94</v>
      </c>
      <c r="F158" s="559" t="s">
        <v>94</v>
      </c>
      <c r="G158" s="559" t="s">
        <v>94</v>
      </c>
      <c r="H158" s="559" t="s">
        <v>94</v>
      </c>
      <c r="I158" s="559" t="s">
        <v>94</v>
      </c>
      <c r="J158" s="559" t="s">
        <v>94</v>
      </c>
      <c r="K158" s="357" t="str">
        <f>IF('Products x speed'!E72=0,"",('Products x speed'!E264*10^6/('Products x speed'!E72*$A158)))</f>
        <v/>
      </c>
      <c r="L158" s="378" t="str">
        <f>IF('Products x speed'!F72=0,"",('Products x speed'!F264*10^6/('Products x speed'!F72*$A158)))</f>
        <v/>
      </c>
      <c r="M158" s="378" t="str">
        <f>IF('Products x speed'!G72=0,"",('Products x speed'!G264*10^6/('Products x speed'!G72*$A158)))</f>
        <v/>
      </c>
      <c r="N158" s="378" t="str">
        <f>IF('Products x speed'!H72=0,"",('Products x speed'!H264*10^6/('Products x speed'!H72*$A158)))</f>
        <v/>
      </c>
      <c r="O158" s="378" t="str">
        <f>IF('Products x speed'!I72=0,"",('Products x speed'!I264*10^6/('Products x speed'!I72*$A158)))</f>
        <v/>
      </c>
      <c r="P158" s="378" t="str">
        <f>IF('Products x speed'!J72=0,"",('Products x speed'!J264*10^6/('Products x speed'!J72*$A158)))</f>
        <v/>
      </c>
      <c r="Q158" s="378" t="str">
        <f>IF('Products x speed'!K72=0,"",('Products x speed'!K264*10^6/('Products x speed'!K72*$A158)))</f>
        <v/>
      </c>
      <c r="R158" s="378" t="str">
        <f>IF('Products x speed'!L72=0,"",('Products x speed'!L264*10^6/('Products x speed'!L72*$A158)))</f>
        <v/>
      </c>
      <c r="S158" s="378" t="str">
        <f>IF('Products x speed'!M72=0,"",('Products x speed'!M264*10^6/('Products x speed'!M72*$A158)))</f>
        <v/>
      </c>
      <c r="T158" s="378" t="str">
        <f>IF('Products x speed'!N72=0,"",('Products x speed'!N264*10^6/('Products x speed'!N72*$A158)))</f>
        <v/>
      </c>
      <c r="U158" s="378" t="str">
        <f>IF('Products x speed'!O72=0,"",('Products x speed'!O264*10^6/('Products x speed'!O72*$A158)))</f>
        <v/>
      </c>
      <c r="V158" s="378" t="str">
        <f>IF('Products x speed'!P72=0,"",('Products x speed'!P264*10^6/('Products x speed'!P72*$A158)))</f>
        <v/>
      </c>
    </row>
    <row r="159" spans="1:22" ht="15.45" customHeight="1">
      <c r="A159" s="638">
        <v>800</v>
      </c>
      <c r="B159" s="87" t="str">
        <f>'Products x speed'!B73</f>
        <v>800G DR8, DR4</v>
      </c>
      <c r="C159" s="88" t="str">
        <f>'Products x speed'!C73</f>
        <v>500 m</v>
      </c>
      <c r="D159" s="89" t="str">
        <f>'Products x speed'!D73</f>
        <v>OSFP, QSFP-DD800</v>
      </c>
      <c r="E159" s="561" t="s">
        <v>94</v>
      </c>
      <c r="F159" s="561" t="s">
        <v>94</v>
      </c>
      <c r="G159" s="561" t="s">
        <v>94</v>
      </c>
      <c r="H159" s="561" t="s">
        <v>94</v>
      </c>
      <c r="I159" s="561" t="s">
        <v>94</v>
      </c>
      <c r="J159" s="561" t="s">
        <v>94</v>
      </c>
      <c r="K159" s="365" t="str">
        <f>IF('Products x speed'!E73=0,"",('Products x speed'!E265*10^6/('Products x speed'!E73*$A159)))</f>
        <v/>
      </c>
      <c r="L159" s="366" t="str">
        <f>IF('Products x speed'!F73=0,"",('Products x speed'!F265*10^6/('Products x speed'!F73*$A159)))</f>
        <v/>
      </c>
      <c r="M159" s="366" t="str">
        <f>IF('Products x speed'!G73=0,"",('Products x speed'!G265*10^6/('Products x speed'!G73*$A159)))</f>
        <v/>
      </c>
      <c r="N159" s="366" t="str">
        <f>IF('Products x speed'!H73=0,"",('Products x speed'!H265*10^6/('Products x speed'!H73*$A159)))</f>
        <v/>
      </c>
      <c r="O159" s="366" t="str">
        <f>IF('Products x speed'!I73=0,"",('Products x speed'!I265*10^6/('Products x speed'!I73*$A159)))</f>
        <v/>
      </c>
      <c r="P159" s="366" t="str">
        <f>IF('Products x speed'!J73=0,"",('Products x speed'!J265*10^6/('Products x speed'!J73*$A159)))</f>
        <v/>
      </c>
      <c r="Q159" s="366" t="str">
        <f>IF('Products x speed'!K73=0,"",('Products x speed'!K265*10^6/('Products x speed'!K73*$A159)))</f>
        <v/>
      </c>
      <c r="R159" s="366" t="str">
        <f>IF('Products x speed'!L73=0,"",('Products x speed'!L265*10^6/('Products x speed'!L73*$A159)))</f>
        <v/>
      </c>
      <c r="S159" s="366" t="str">
        <f>IF('Products x speed'!M73=0,"",('Products x speed'!M265*10^6/('Products x speed'!M73*$A159)))</f>
        <v/>
      </c>
      <c r="T159" s="366" t="str">
        <f>IF('Products x speed'!N73=0,"",('Products x speed'!N265*10^6/('Products x speed'!N73*$A159)))</f>
        <v/>
      </c>
      <c r="U159" s="366" t="str">
        <f>IF('Products x speed'!O73=0,"",('Products x speed'!O265*10^6/('Products x speed'!O73*$A159)))</f>
        <v/>
      </c>
      <c r="V159" s="366" t="str">
        <f>IF('Products x speed'!P73=0,"",('Products x speed'!P265*10^6/('Products x speed'!P73*$A159)))</f>
        <v/>
      </c>
    </row>
    <row r="160" spans="1:22" ht="15.45" customHeight="1">
      <c r="A160" s="638">
        <v>800</v>
      </c>
      <c r="B160" s="87" t="str">
        <f>'Products x speed'!B74</f>
        <v>2x(400G FR4), 800G FR4</v>
      </c>
      <c r="C160" s="88" t="str">
        <f>'Products x speed'!C74</f>
        <v>2 km</v>
      </c>
      <c r="D160" s="89" t="str">
        <f>'Products x speed'!D74</f>
        <v>OSFP, QSFP-DD800</v>
      </c>
      <c r="E160" s="561" t="s">
        <v>94</v>
      </c>
      <c r="F160" s="561" t="s">
        <v>94</v>
      </c>
      <c r="G160" s="561" t="s">
        <v>94</v>
      </c>
      <c r="H160" s="561" t="s">
        <v>94</v>
      </c>
      <c r="I160" s="561" t="s">
        <v>94</v>
      </c>
      <c r="J160" s="561" t="s">
        <v>94</v>
      </c>
      <c r="K160" s="365" t="str">
        <f>IF('Products x speed'!E74=0,"",('Products x speed'!E266*10^6/('Products x speed'!E74*$A160)))</f>
        <v/>
      </c>
      <c r="L160" s="366" t="str">
        <f>IF('Products x speed'!F74=0,"",('Products x speed'!F266*10^6/('Products x speed'!F74*$A160)))</f>
        <v/>
      </c>
      <c r="M160" s="366" t="str">
        <f>IF('Products x speed'!G74=0,"",('Products x speed'!G266*10^6/('Products x speed'!G74*$A160)))</f>
        <v/>
      </c>
      <c r="N160" s="366" t="str">
        <f>IF('Products x speed'!H74=0,"",('Products x speed'!H266*10^6/('Products x speed'!H74*$A160)))</f>
        <v/>
      </c>
      <c r="O160" s="366" t="str">
        <f>IF('Products x speed'!I74=0,"",('Products x speed'!I266*10^6/('Products x speed'!I74*$A160)))</f>
        <v/>
      </c>
      <c r="P160" s="366" t="str">
        <f>IF('Products x speed'!J74=0,"",('Products x speed'!J266*10^6/('Products x speed'!J74*$A160)))</f>
        <v/>
      </c>
      <c r="Q160" s="366" t="str">
        <f>IF('Products x speed'!K74=0,"",('Products x speed'!K266*10^6/('Products x speed'!K74*$A160)))</f>
        <v/>
      </c>
      <c r="R160" s="366" t="str">
        <f>IF('Products x speed'!L74=0,"",('Products x speed'!L266*10^6/('Products x speed'!L74*$A160)))</f>
        <v/>
      </c>
      <c r="S160" s="366" t="str">
        <f>IF('Products x speed'!M74=0,"",('Products x speed'!M266*10^6/('Products x speed'!M74*$A160)))</f>
        <v/>
      </c>
      <c r="T160" s="366" t="str">
        <f>IF('Products x speed'!N74=0,"",('Products x speed'!N266*10^6/('Products x speed'!N74*$A160)))</f>
        <v/>
      </c>
      <c r="U160" s="366" t="str">
        <f>IF('Products x speed'!O74=0,"",('Products x speed'!O266*10^6/('Products x speed'!O74*$A160)))</f>
        <v/>
      </c>
      <c r="V160" s="366" t="str">
        <f>IF('Products x speed'!P74=0,"",('Products x speed'!P266*10^6/('Products x speed'!P74*$A160)))</f>
        <v/>
      </c>
    </row>
    <row r="161" spans="1:22" ht="15.45" customHeight="1">
      <c r="A161" s="638">
        <v>800</v>
      </c>
      <c r="B161" s="87" t="str">
        <f>'Products x speed'!B75</f>
        <v>800G LR8, LR4</v>
      </c>
      <c r="C161" s="88" t="str">
        <f>'Products x speed'!C75</f>
        <v>6, 10 km</v>
      </c>
      <c r="D161" s="89" t="str">
        <f>'Products x speed'!D75</f>
        <v>TBD</v>
      </c>
      <c r="E161" s="561" t="s">
        <v>94</v>
      </c>
      <c r="F161" s="561" t="s">
        <v>94</v>
      </c>
      <c r="G161" s="561" t="s">
        <v>94</v>
      </c>
      <c r="H161" s="561" t="s">
        <v>94</v>
      </c>
      <c r="I161" s="561" t="s">
        <v>94</v>
      </c>
      <c r="J161" s="561" t="s">
        <v>94</v>
      </c>
      <c r="K161" s="365" t="str">
        <f>IF('Products x speed'!E75=0,"",('Products x speed'!E267*10^6/('Products x speed'!E75*$A161)))</f>
        <v/>
      </c>
      <c r="L161" s="366" t="str">
        <f>IF('Products x speed'!F75=0,"",('Products x speed'!F267*10^6/('Products x speed'!F75*$A161)))</f>
        <v/>
      </c>
      <c r="M161" s="366" t="str">
        <f>IF('Products x speed'!G75=0,"",('Products x speed'!G267*10^6/('Products x speed'!G75*$A161)))</f>
        <v/>
      </c>
      <c r="N161" s="366" t="str">
        <f>IF('Products x speed'!H75=0,"",('Products x speed'!H267*10^6/('Products x speed'!H75*$A161)))</f>
        <v/>
      </c>
      <c r="O161" s="366" t="str">
        <f>IF('Products x speed'!I75=0,"",('Products x speed'!I267*10^6/('Products x speed'!I75*$A161)))</f>
        <v/>
      </c>
      <c r="P161" s="366" t="str">
        <f>IF('Products x speed'!J75=0,"",('Products x speed'!J267*10^6/('Products x speed'!J75*$A161)))</f>
        <v/>
      </c>
      <c r="Q161" s="366" t="str">
        <f>IF('Products x speed'!K75=0,"",('Products x speed'!K267*10^6/('Products x speed'!K75*$A161)))</f>
        <v/>
      </c>
      <c r="R161" s="366" t="str">
        <f>IF('Products x speed'!L75=0,"",('Products x speed'!L267*10^6/('Products x speed'!L75*$A161)))</f>
        <v/>
      </c>
      <c r="S161" s="366" t="str">
        <f>IF('Products x speed'!M75=0,"",('Products x speed'!M267*10^6/('Products x speed'!M75*$A161)))</f>
        <v/>
      </c>
      <c r="T161" s="366" t="str">
        <f>IF('Products x speed'!N75=0,"",('Products x speed'!N267*10^6/('Products x speed'!N75*$A161)))</f>
        <v/>
      </c>
      <c r="U161" s="366" t="str">
        <f>IF('Products x speed'!O75=0,"",('Products x speed'!O267*10^6/('Products x speed'!O75*$A161)))</f>
        <v/>
      </c>
      <c r="V161" s="366" t="str">
        <f>IF('Products x speed'!P75=0,"",('Products x speed'!P267*10^6/('Products x speed'!P75*$A161)))</f>
        <v/>
      </c>
    </row>
    <row r="162" spans="1:22" ht="15.45" customHeight="1">
      <c r="A162" s="638">
        <v>800</v>
      </c>
      <c r="B162" s="87" t="str">
        <f>'Products x speed'!B76</f>
        <v>800G ZRlite</v>
      </c>
      <c r="C162" s="88" t="str">
        <f>'Products x speed'!C76</f>
        <v>10 km, 20 km</v>
      </c>
      <c r="D162" s="89" t="str">
        <f>'Products x speed'!D76</f>
        <v>TBD</v>
      </c>
      <c r="E162" s="561" t="s">
        <v>94</v>
      </c>
      <c r="F162" s="561" t="s">
        <v>94</v>
      </c>
      <c r="G162" s="561" t="s">
        <v>94</v>
      </c>
      <c r="H162" s="561" t="s">
        <v>94</v>
      </c>
      <c r="I162" s="561" t="s">
        <v>94</v>
      </c>
      <c r="J162" s="561" t="s">
        <v>94</v>
      </c>
      <c r="K162" s="365" t="str">
        <f>IF('Products x speed'!E76=0,"",('Products x speed'!E268*10^6/('Products x speed'!E76*$A162)))</f>
        <v/>
      </c>
      <c r="L162" s="366" t="str">
        <f>IF('Products x speed'!F76=0,"",('Products x speed'!F268*10^6/('Products x speed'!F76*$A162)))</f>
        <v/>
      </c>
      <c r="M162" s="366" t="str">
        <f>IF('Products x speed'!G76=0,"",('Products x speed'!G268*10^6/('Products x speed'!G76*$A162)))</f>
        <v/>
      </c>
      <c r="N162" s="366" t="str">
        <f>IF('Products x speed'!H76=0,"",('Products x speed'!H268*10^6/('Products x speed'!H76*$A162)))</f>
        <v/>
      </c>
      <c r="O162" s="366" t="str">
        <f>IF('Products x speed'!I76=0,"",('Products x speed'!I268*10^6/('Products x speed'!I76*$A162)))</f>
        <v/>
      </c>
      <c r="P162" s="366" t="str">
        <f>IF('Products x speed'!J76=0,"",('Products x speed'!J268*10^6/('Products x speed'!J76*$A162)))</f>
        <v/>
      </c>
      <c r="Q162" s="366" t="str">
        <f>IF('Products x speed'!K76=0,"",('Products x speed'!K268*10^6/('Products x speed'!K76*$A162)))</f>
        <v/>
      </c>
      <c r="R162" s="366" t="str">
        <f>IF('Products x speed'!L76=0,"",('Products x speed'!L268*10^6/('Products x speed'!L76*$A162)))</f>
        <v/>
      </c>
      <c r="S162" s="366" t="str">
        <f>IF('Products x speed'!M76=0,"",('Products x speed'!M268*10^6/('Products x speed'!M76*$A162)))</f>
        <v/>
      </c>
      <c r="T162" s="366" t="str">
        <f>IF('Products x speed'!N76=0,"",('Products x speed'!N268*10^6/('Products x speed'!N76*$A162)))</f>
        <v/>
      </c>
      <c r="U162" s="366" t="str">
        <f>IF('Products x speed'!O76=0,"",('Products x speed'!O268*10^6/('Products x speed'!O76*$A162)))</f>
        <v/>
      </c>
      <c r="V162" s="366" t="str">
        <f>IF('Products x speed'!P76=0,"",('Products x speed'!P268*10^6/('Products x speed'!P76*$A162)))</f>
        <v/>
      </c>
    </row>
    <row r="163" spans="1:22" ht="15.45" customHeight="1">
      <c r="A163" s="638">
        <v>800</v>
      </c>
      <c r="B163" s="83" t="str">
        <f>'Products x speed'!B77</f>
        <v>800G ER4</v>
      </c>
      <c r="C163" s="84" t="str">
        <f>'Products x speed'!C77</f>
        <v>40 km</v>
      </c>
      <c r="D163" s="85" t="str">
        <f>'Products x speed'!D77</f>
        <v>TBD</v>
      </c>
      <c r="E163" s="563" t="s">
        <v>94</v>
      </c>
      <c r="F163" s="563" t="s">
        <v>94</v>
      </c>
      <c r="G163" s="563" t="s">
        <v>94</v>
      </c>
      <c r="H163" s="563" t="s">
        <v>94</v>
      </c>
      <c r="I163" s="563" t="s">
        <v>94</v>
      </c>
      <c r="J163" s="563" t="s">
        <v>94</v>
      </c>
      <c r="K163" s="358" t="str">
        <f>IF('Products x speed'!E77=0,"",('Products x speed'!E269*10^6/('Products x speed'!E77*$A163)))</f>
        <v/>
      </c>
      <c r="L163" s="379" t="str">
        <f>IF('Products x speed'!F77=0,"",('Products x speed'!F269*10^6/('Products x speed'!F77*$A163)))</f>
        <v/>
      </c>
      <c r="M163" s="379" t="str">
        <f>IF('Products x speed'!G77=0,"",('Products x speed'!G269*10^6/('Products x speed'!G77*$A163)))</f>
        <v/>
      </c>
      <c r="N163" s="379" t="str">
        <f>IF('Products x speed'!H77=0,"",('Products x speed'!H269*10^6/('Products x speed'!H77*$A163)))</f>
        <v/>
      </c>
      <c r="O163" s="379" t="str">
        <f>IF('Products x speed'!I77=0,"",('Products x speed'!I269*10^6/('Products x speed'!I77*$A163)))</f>
        <v/>
      </c>
      <c r="P163" s="379" t="str">
        <f>IF('Products x speed'!J77=0,"",('Products x speed'!J269*10^6/('Products x speed'!J77*$A163)))</f>
        <v/>
      </c>
      <c r="Q163" s="379" t="str">
        <f>IF('Products x speed'!K77=0,"",('Products x speed'!K269*10^6/('Products x speed'!K77*$A163)))</f>
        <v/>
      </c>
      <c r="R163" s="379" t="str">
        <f>IF('Products x speed'!L77=0,"",('Products x speed'!L269*10^6/('Products x speed'!L77*$A163)))</f>
        <v/>
      </c>
      <c r="S163" s="379" t="str">
        <f>IF('Products x speed'!M77=0,"",('Products x speed'!M269*10^6/('Products x speed'!M77*$A163)))</f>
        <v/>
      </c>
      <c r="T163" s="379" t="str">
        <f>IF('Products x speed'!N77=0,"",('Products x speed'!N269*10^6/('Products x speed'!N77*$A163)))</f>
        <v/>
      </c>
      <c r="U163" s="379" t="str">
        <f>IF('Products x speed'!O77=0,"",('Products x speed'!O269*10^6/('Products x speed'!O77*$A163)))</f>
        <v/>
      </c>
      <c r="V163" s="379" t="str">
        <f>IF('Products x speed'!P77=0,"",('Products x speed'!P269*10^6/('Products x speed'!P77*$A163)))</f>
        <v/>
      </c>
    </row>
    <row r="164" spans="1:22" ht="15.45" customHeight="1">
      <c r="A164" s="638">
        <v>1600</v>
      </c>
      <c r="B164" s="79" t="str">
        <f>'Products x speed'!B78</f>
        <v>1.6T SR16</v>
      </c>
      <c r="C164" s="80" t="str">
        <f>'Products x speed'!C78</f>
        <v>100 m</v>
      </c>
      <c r="D164" s="81" t="str">
        <f>'Products x speed'!D78</f>
        <v>OSFP-XD and TBD</v>
      </c>
      <c r="E164" s="559" t="s">
        <v>94</v>
      </c>
      <c r="F164" s="559" t="s">
        <v>94</v>
      </c>
      <c r="G164" s="559" t="s">
        <v>94</v>
      </c>
      <c r="H164" s="559" t="s">
        <v>94</v>
      </c>
      <c r="I164" s="559" t="s">
        <v>94</v>
      </c>
      <c r="J164" s="559" t="s">
        <v>94</v>
      </c>
      <c r="K164" s="357" t="str">
        <f>IF('Products x speed'!E78=0,"",('Products x speed'!E270*10^6/('Products x speed'!E78*$A164)))</f>
        <v/>
      </c>
      <c r="L164" s="378" t="str">
        <f>IF('Products x speed'!F78=0,"",('Products x speed'!F270*10^6/('Products x speed'!F78*$A164)))</f>
        <v/>
      </c>
      <c r="M164" s="378" t="str">
        <f>IF('Products x speed'!G78=0,"",('Products x speed'!G270*10^6/('Products x speed'!G78*$A164)))</f>
        <v/>
      </c>
      <c r="N164" s="378" t="str">
        <f>IF('Products x speed'!H78=0,"",('Products x speed'!H270*10^6/('Products x speed'!H78*$A164)))</f>
        <v/>
      </c>
      <c r="O164" s="378" t="str">
        <f>IF('Products x speed'!I78=0,"",('Products x speed'!I270*10^6/('Products x speed'!I78*$A164)))</f>
        <v/>
      </c>
      <c r="P164" s="378" t="str">
        <f>IF('Products x speed'!J78=0,"",('Products x speed'!J270*10^6/('Products x speed'!J78*$A164)))</f>
        <v/>
      </c>
      <c r="Q164" s="378" t="str">
        <f>IF('Products x speed'!K78=0,"",('Products x speed'!K270*10^6/('Products x speed'!K78*$A164)))</f>
        <v/>
      </c>
      <c r="R164" s="378" t="str">
        <f>IF('Products x speed'!L78=0,"",('Products x speed'!L270*10^6/('Products x speed'!L78*$A164)))</f>
        <v/>
      </c>
      <c r="S164" s="378" t="str">
        <f>IF('Products x speed'!M78=0,"",('Products x speed'!M270*10^6/('Products x speed'!M78*$A164)))</f>
        <v/>
      </c>
      <c r="T164" s="378" t="str">
        <f>IF('Products x speed'!N78=0,"",('Products x speed'!N270*10^6/('Products x speed'!N78*$A164)))</f>
        <v/>
      </c>
      <c r="U164" s="378" t="str">
        <f>IF('Products x speed'!O78=0,"",('Products x speed'!O270*10^6/('Products x speed'!O78*$A164)))</f>
        <v/>
      </c>
      <c r="V164" s="378" t="str">
        <f>IF('Products x speed'!P78=0,"",('Products x speed'!P270*10^6/('Products x speed'!P78*$A164)))</f>
        <v/>
      </c>
    </row>
    <row r="165" spans="1:22" ht="15.45" customHeight="1">
      <c r="A165" s="638">
        <v>1600</v>
      </c>
      <c r="B165" s="87" t="str">
        <f>'Products x speed'!B79</f>
        <v>1.6T DR8</v>
      </c>
      <c r="C165" s="88" t="str">
        <f>'Products x speed'!C79</f>
        <v>500 m</v>
      </c>
      <c r="D165" s="89" t="str">
        <f>'Products x speed'!D79</f>
        <v>OSFP-XD and TBD</v>
      </c>
      <c r="E165" s="561" t="s">
        <v>94</v>
      </c>
      <c r="F165" s="561" t="s">
        <v>94</v>
      </c>
      <c r="G165" s="561" t="s">
        <v>94</v>
      </c>
      <c r="H165" s="561" t="s">
        <v>94</v>
      </c>
      <c r="I165" s="561" t="s">
        <v>94</v>
      </c>
      <c r="J165" s="561" t="s">
        <v>94</v>
      </c>
      <c r="K165" s="365" t="str">
        <f>IF('Products x speed'!E79=0,"",('Products x speed'!E271*10^6/('Products x speed'!E79*$A165)))</f>
        <v/>
      </c>
      <c r="L165" s="366" t="str">
        <f>IF('Products x speed'!F79=0,"",('Products x speed'!F271*10^6/('Products x speed'!F79*$A165)))</f>
        <v/>
      </c>
      <c r="M165" s="366" t="str">
        <f>IF('Products x speed'!G79=0,"",('Products x speed'!G271*10^6/('Products x speed'!G79*$A165)))</f>
        <v/>
      </c>
      <c r="N165" s="366" t="str">
        <f>IF('Products x speed'!H79=0,"",('Products x speed'!H271*10^6/('Products x speed'!H79*$A165)))</f>
        <v/>
      </c>
      <c r="O165" s="366" t="str">
        <f>IF('Products x speed'!I79=0,"",('Products x speed'!I271*10^6/('Products x speed'!I79*$A165)))</f>
        <v/>
      </c>
      <c r="P165" s="366" t="str">
        <f>IF('Products x speed'!J79=0,"",('Products x speed'!J271*10^6/('Products x speed'!J79*$A165)))</f>
        <v/>
      </c>
      <c r="Q165" s="366" t="str">
        <f>IF('Products x speed'!K79=0,"",('Products x speed'!K271*10^6/('Products x speed'!K79*$A165)))</f>
        <v/>
      </c>
      <c r="R165" s="366" t="str">
        <f>IF('Products x speed'!L79=0,"",('Products x speed'!L271*10^6/('Products x speed'!L79*$A165)))</f>
        <v/>
      </c>
      <c r="S165" s="366" t="str">
        <f>IF('Products x speed'!M79=0,"",('Products x speed'!M271*10^6/('Products x speed'!M79*$A165)))</f>
        <v/>
      </c>
      <c r="T165" s="366" t="str">
        <f>IF('Products x speed'!N79=0,"",('Products x speed'!N271*10^6/('Products x speed'!N79*$A165)))</f>
        <v/>
      </c>
      <c r="U165" s="366" t="str">
        <f>IF('Products x speed'!O79=0,"",('Products x speed'!O271*10^6/('Products x speed'!O79*$A165)))</f>
        <v/>
      </c>
      <c r="V165" s="366" t="str">
        <f>IF('Products x speed'!P79=0,"",('Products x speed'!P271*10^6/('Products x speed'!P79*$A165)))</f>
        <v/>
      </c>
    </row>
    <row r="166" spans="1:22" ht="15.45" customHeight="1">
      <c r="A166" s="638">
        <v>1600</v>
      </c>
      <c r="B166" s="87" t="str">
        <f>'Products x speed'!B80</f>
        <v>1.6T FR8</v>
      </c>
      <c r="C166" s="88" t="str">
        <f>'Products x speed'!C80</f>
        <v>2 km</v>
      </c>
      <c r="D166" s="89" t="str">
        <f>'Products x speed'!D80</f>
        <v>OSFP-XD and TBD</v>
      </c>
      <c r="E166" s="561" t="s">
        <v>94</v>
      </c>
      <c r="F166" s="561" t="s">
        <v>94</v>
      </c>
      <c r="G166" s="561" t="s">
        <v>94</v>
      </c>
      <c r="H166" s="561" t="s">
        <v>94</v>
      </c>
      <c r="I166" s="561" t="s">
        <v>94</v>
      </c>
      <c r="J166" s="561" t="s">
        <v>94</v>
      </c>
      <c r="K166" s="365" t="str">
        <f>IF('Products x speed'!E80=0,"",('Products x speed'!E272*10^6/('Products x speed'!E80*$A166)))</f>
        <v/>
      </c>
      <c r="L166" s="366" t="str">
        <f>IF('Products x speed'!F80=0,"",('Products x speed'!F272*10^6/('Products x speed'!F80*$A166)))</f>
        <v/>
      </c>
      <c r="M166" s="366" t="str">
        <f>IF('Products x speed'!G80=0,"",('Products x speed'!G272*10^6/('Products x speed'!G80*$A166)))</f>
        <v/>
      </c>
      <c r="N166" s="366" t="str">
        <f>IF('Products x speed'!H80=0,"",('Products x speed'!H272*10^6/('Products x speed'!H80*$A166)))</f>
        <v/>
      </c>
      <c r="O166" s="366" t="str">
        <f>IF('Products x speed'!I80=0,"",('Products x speed'!I272*10^6/('Products x speed'!I80*$A166)))</f>
        <v/>
      </c>
      <c r="P166" s="366" t="str">
        <f>IF('Products x speed'!J80=0,"",('Products x speed'!J272*10^6/('Products x speed'!J80*$A166)))</f>
        <v/>
      </c>
      <c r="Q166" s="366" t="str">
        <f>IF('Products x speed'!K80=0,"",('Products x speed'!K272*10^6/('Products x speed'!K80*$A166)))</f>
        <v/>
      </c>
      <c r="R166" s="366" t="str">
        <f>IF('Products x speed'!L80=0,"",('Products x speed'!L272*10^6/('Products x speed'!L80*$A166)))</f>
        <v/>
      </c>
      <c r="S166" s="366" t="str">
        <f>IF('Products x speed'!M80=0,"",('Products x speed'!M272*10^6/('Products x speed'!M80*$A166)))</f>
        <v/>
      </c>
      <c r="T166" s="366" t="str">
        <f>IF('Products x speed'!N80=0,"",('Products x speed'!N272*10^6/('Products x speed'!N80*$A166)))</f>
        <v/>
      </c>
      <c r="U166" s="366" t="str">
        <f>IF('Products x speed'!O80=0,"",('Products x speed'!O272*10^6/('Products x speed'!O80*$A166)))</f>
        <v/>
      </c>
      <c r="V166" s="366" t="str">
        <f>IF('Products x speed'!P80=0,"",('Products x speed'!P272*10^6/('Products x speed'!P80*$A166)))</f>
        <v/>
      </c>
    </row>
    <row r="167" spans="1:22" ht="15.45" customHeight="1">
      <c r="A167" s="638">
        <v>1600</v>
      </c>
      <c r="B167" s="87" t="str">
        <f>'Products x speed'!B81</f>
        <v>1.6T LR8</v>
      </c>
      <c r="C167" s="88" t="str">
        <f>'Products x speed'!C81</f>
        <v>10 km</v>
      </c>
      <c r="D167" s="89" t="str">
        <f>'Products x speed'!D81</f>
        <v>OSFP-XD and TBD</v>
      </c>
      <c r="E167" s="561" t="s">
        <v>94</v>
      </c>
      <c r="F167" s="561" t="s">
        <v>94</v>
      </c>
      <c r="G167" s="561" t="s">
        <v>94</v>
      </c>
      <c r="H167" s="561" t="s">
        <v>94</v>
      </c>
      <c r="I167" s="561" t="s">
        <v>94</v>
      </c>
      <c r="J167" s="561" t="s">
        <v>94</v>
      </c>
      <c r="K167" s="365" t="str">
        <f>IF('Products x speed'!E81=0,"",('Products x speed'!E273*10^6/('Products x speed'!E81*200)))</f>
        <v/>
      </c>
      <c r="L167" s="366" t="str">
        <f>IF('Products x speed'!F81=0,"",('Products x speed'!F273*10^6/('Products x speed'!F81*200)))</f>
        <v/>
      </c>
      <c r="M167" s="366" t="str">
        <f>IF('Products x speed'!G81=0,"",('Products x speed'!G273*10^6/('Products x speed'!G81*200)))</f>
        <v/>
      </c>
      <c r="N167" s="366" t="str">
        <f>IF('Products x speed'!H81=0,"",('Products x speed'!H273*10^6/('Products x speed'!H81*200)))</f>
        <v/>
      </c>
      <c r="O167" s="366" t="str">
        <f>IF('Products x speed'!I81=0,"",('Products x speed'!I273*10^6/('Products x speed'!I81*200)))</f>
        <v/>
      </c>
      <c r="P167" s="366" t="str">
        <f>IF('Products x speed'!J81=0,"",('Products x speed'!J273*10^6/('Products x speed'!J81*200)))</f>
        <v/>
      </c>
      <c r="Q167" s="366" t="str">
        <f>IF('Products x speed'!K81=0,"",('Products x speed'!K273*10^6/('Products x speed'!K81*200)))</f>
        <v/>
      </c>
      <c r="R167" s="366" t="str">
        <f>IF('Products x speed'!L81=0,"",('Products x speed'!L273*10^6/('Products x speed'!L81*200)))</f>
        <v/>
      </c>
      <c r="S167" s="366" t="str">
        <f>IF('Products x speed'!M81=0,"",('Products x speed'!M273*10^6/('Products x speed'!M81*200)))</f>
        <v/>
      </c>
      <c r="T167" s="366" t="str">
        <f>IF('Products x speed'!N81=0,"",('Products x speed'!N273*10^6/('Products x speed'!N81*200)))</f>
        <v/>
      </c>
      <c r="U167" s="366" t="str">
        <f>IF('Products x speed'!O81=0,"",('Products x speed'!O273*10^6/('Products x speed'!O81*200)))</f>
        <v/>
      </c>
      <c r="V167" s="366" t="str">
        <f>IF('Products x speed'!P81=0,"",('Products x speed'!P273*10^6/('Products x speed'!P81*200)))</f>
        <v/>
      </c>
    </row>
    <row r="168" spans="1:22" ht="15.45" customHeight="1">
      <c r="A168" s="638">
        <v>1600</v>
      </c>
      <c r="B168" s="83" t="str">
        <f>'Products x speed'!B82</f>
        <v>1.6T ER8</v>
      </c>
      <c r="C168" s="84" t="str">
        <f>'Products x speed'!C82</f>
        <v>&gt;10 km</v>
      </c>
      <c r="D168" s="85" t="str">
        <f>'Products x speed'!D82</f>
        <v>OSFP-XD and TBD</v>
      </c>
      <c r="E168" s="563" t="s">
        <v>94</v>
      </c>
      <c r="F168" s="563" t="s">
        <v>94</v>
      </c>
      <c r="G168" s="563" t="s">
        <v>94</v>
      </c>
      <c r="H168" s="563" t="s">
        <v>94</v>
      </c>
      <c r="I168" s="563" t="s">
        <v>94</v>
      </c>
      <c r="J168" s="563" t="s">
        <v>94</v>
      </c>
      <c r="K168" s="358" t="str">
        <f>IF('Products x speed'!E82=0,"",('Products x speed'!E274*10^6/('Products x speed'!E82*200)))</f>
        <v/>
      </c>
      <c r="L168" s="379" t="str">
        <f>IF('Products x speed'!F82=0,"",('Products x speed'!F274*10^6/('Products x speed'!F82*200)))</f>
        <v/>
      </c>
      <c r="M168" s="379" t="str">
        <f>IF('Products x speed'!G82=0,"",('Products x speed'!G274*10^6/('Products x speed'!G82*200)))</f>
        <v/>
      </c>
      <c r="N168" s="379" t="str">
        <f>IF('Products x speed'!H82=0,"",('Products x speed'!H274*10^6/('Products x speed'!H82*200)))</f>
        <v/>
      </c>
      <c r="O168" s="379" t="str">
        <f>IF('Products x speed'!I82=0,"",('Products x speed'!I274*10^6/('Products x speed'!I82*200)))</f>
        <v/>
      </c>
      <c r="P168" s="379" t="str">
        <f>IF('Products x speed'!J82=0,"",('Products x speed'!J274*10^6/('Products x speed'!J82*200)))</f>
        <v/>
      </c>
      <c r="Q168" s="379" t="str">
        <f>IF('Products x speed'!K82=0,"",('Products x speed'!K274*10^6/('Products x speed'!K82*200)))</f>
        <v/>
      </c>
      <c r="R168" s="379" t="str">
        <f>IF('Products x speed'!L82=0,"",('Products x speed'!L274*10^6/('Products x speed'!L82*200)))</f>
        <v/>
      </c>
      <c r="S168" s="379" t="str">
        <f>IF('Products x speed'!M82=0,"",('Products x speed'!M274*10^6/('Products x speed'!M82*200)))</f>
        <v/>
      </c>
      <c r="T168" s="379" t="str">
        <f>IF('Products x speed'!N82=0,"",('Products x speed'!N274*10^6/('Products x speed'!N82*200)))</f>
        <v/>
      </c>
      <c r="U168" s="379" t="str">
        <f>IF('Products x speed'!O82=0,"",('Products x speed'!O274*10^6/('Products x speed'!O82*200)))</f>
        <v/>
      </c>
      <c r="V168" s="379" t="str">
        <f>IF('Products x speed'!P82=0,"",('Products x speed'!P274*10^6/('Products x speed'!P82*200)))</f>
        <v/>
      </c>
    </row>
    <row r="169" spans="1:22" ht="15.45" customHeight="1">
      <c r="A169" s="638">
        <v>3200</v>
      </c>
      <c r="B169" s="79" t="str">
        <f>'Products x speed'!B83</f>
        <v>3.2T SR</v>
      </c>
      <c r="C169" s="80" t="str">
        <f>'Products x speed'!C83</f>
        <v>100 m</v>
      </c>
      <c r="D169" s="81" t="str">
        <f>'Products x speed'!D83</f>
        <v>OSFP-XD and TBD</v>
      </c>
      <c r="E169" s="559" t="s">
        <v>94</v>
      </c>
      <c r="F169" s="559" t="s">
        <v>94</v>
      </c>
      <c r="G169" s="559" t="s">
        <v>94</v>
      </c>
      <c r="H169" s="559" t="s">
        <v>94</v>
      </c>
      <c r="I169" s="559" t="s">
        <v>94</v>
      </c>
      <c r="J169" s="559" t="s">
        <v>94</v>
      </c>
      <c r="K169" s="357" t="str">
        <f>IF('Products x speed'!E83=0,"",('Products x speed'!E275*10^6/('Products x speed'!E83*200)))</f>
        <v/>
      </c>
      <c r="L169" s="378" t="str">
        <f>IF('Products x speed'!F83=0,"",('Products x speed'!F275*10^6/('Products x speed'!F83*200)))</f>
        <v/>
      </c>
      <c r="M169" s="378" t="str">
        <f>IF('Products x speed'!G83=0,"",('Products x speed'!G275*10^6/('Products x speed'!G83*200)))</f>
        <v/>
      </c>
      <c r="N169" s="378" t="str">
        <f>IF('Products x speed'!H83=0,"",('Products x speed'!H275*10^6/('Products x speed'!H83*200)))</f>
        <v/>
      </c>
      <c r="O169" s="378" t="str">
        <f>IF('Products x speed'!I83=0,"",('Products x speed'!I275*10^6/('Products x speed'!I83*200)))</f>
        <v/>
      </c>
      <c r="P169" s="378" t="str">
        <f>IF('Products x speed'!J83=0,"",('Products x speed'!J275*10^6/('Products x speed'!J83*200)))</f>
        <v/>
      </c>
      <c r="Q169" s="378" t="str">
        <f>IF('Products x speed'!K83=0,"",('Products x speed'!K275*10^6/('Products x speed'!K83*200)))</f>
        <v/>
      </c>
      <c r="R169" s="378" t="str">
        <f>IF('Products x speed'!L83=0,"",('Products x speed'!L275*10^6/('Products x speed'!L83*200)))</f>
        <v/>
      </c>
      <c r="S169" s="378" t="str">
        <f>IF('Products x speed'!M83=0,"",('Products x speed'!M275*10^6/('Products x speed'!M83*200)))</f>
        <v/>
      </c>
      <c r="T169" s="378" t="str">
        <f>IF('Products x speed'!N83=0,"",('Products x speed'!N275*10^6/('Products x speed'!N83*200)))</f>
        <v/>
      </c>
      <c r="U169" s="378" t="str">
        <f>IF('Products x speed'!O83=0,"",('Products x speed'!O275*10^6/('Products x speed'!O83*200)))</f>
        <v/>
      </c>
      <c r="V169" s="378" t="str">
        <f>IF('Products x speed'!P83=0,"",('Products x speed'!P275*10^6/('Products x speed'!P83*200)))</f>
        <v/>
      </c>
    </row>
    <row r="170" spans="1:22" ht="15.45" customHeight="1">
      <c r="A170" s="638">
        <v>3200</v>
      </c>
      <c r="B170" s="87" t="str">
        <f>'Products x speed'!B84</f>
        <v>3.2T DR</v>
      </c>
      <c r="C170" s="88" t="str">
        <f>'Products x speed'!C84</f>
        <v>500 m</v>
      </c>
      <c r="D170" s="89" t="str">
        <f>'Products x speed'!D84</f>
        <v>OSFP-XD and TBD</v>
      </c>
      <c r="E170" s="561" t="s">
        <v>94</v>
      </c>
      <c r="F170" s="561" t="s">
        <v>94</v>
      </c>
      <c r="G170" s="561" t="s">
        <v>94</v>
      </c>
      <c r="H170" s="561" t="s">
        <v>94</v>
      </c>
      <c r="I170" s="561" t="s">
        <v>94</v>
      </c>
      <c r="J170" s="561" t="s">
        <v>94</v>
      </c>
      <c r="K170" s="365" t="str">
        <f>IF('Products x speed'!E84=0,"",('Products x speed'!E276*10^6/('Products x speed'!E84*200)))</f>
        <v/>
      </c>
      <c r="L170" s="366" t="str">
        <f>IF('Products x speed'!F84=0,"",('Products x speed'!F276*10^6/('Products x speed'!F84*200)))</f>
        <v/>
      </c>
      <c r="M170" s="366" t="str">
        <f>IF('Products x speed'!G84=0,"",('Products x speed'!G276*10^6/('Products x speed'!G84*200)))</f>
        <v/>
      </c>
      <c r="N170" s="366" t="str">
        <f>IF('Products x speed'!H84=0,"",('Products x speed'!H276*10^6/('Products x speed'!H84*200)))</f>
        <v/>
      </c>
      <c r="O170" s="366" t="str">
        <f>IF('Products x speed'!I84=0,"",('Products x speed'!I276*10^6/('Products x speed'!I84*200)))</f>
        <v/>
      </c>
      <c r="P170" s="366" t="str">
        <f>IF('Products x speed'!J84=0,"",('Products x speed'!J276*10^6/('Products x speed'!J84*200)))</f>
        <v/>
      </c>
      <c r="Q170" s="366" t="str">
        <f>IF('Products x speed'!K84=0,"",('Products x speed'!K276*10^6/('Products x speed'!K84*200)))</f>
        <v/>
      </c>
      <c r="R170" s="366" t="str">
        <f>IF('Products x speed'!L84=0,"",('Products x speed'!L276*10^6/('Products x speed'!L84*200)))</f>
        <v/>
      </c>
      <c r="S170" s="366" t="str">
        <f>IF('Products x speed'!M84=0,"",('Products x speed'!M276*10^6/('Products x speed'!M84*200)))</f>
        <v/>
      </c>
      <c r="T170" s="366" t="str">
        <f>IF('Products x speed'!N84=0,"",('Products x speed'!N276*10^6/('Products x speed'!N84*200)))</f>
        <v/>
      </c>
      <c r="U170" s="366" t="str">
        <f>IF('Products x speed'!O84=0,"",('Products x speed'!O276*10^6/('Products x speed'!O84*200)))</f>
        <v/>
      </c>
      <c r="V170" s="366" t="str">
        <f>IF('Products x speed'!P84=0,"",('Products x speed'!P276*10^6/('Products x speed'!P84*200)))</f>
        <v/>
      </c>
    </row>
    <row r="171" spans="1:22" ht="15.45" customHeight="1">
      <c r="A171" s="638">
        <v>3200</v>
      </c>
      <c r="B171" s="87" t="str">
        <f>'Products x speed'!B85</f>
        <v>3.2T FR</v>
      </c>
      <c r="C171" s="88" t="str">
        <f>'Products x speed'!C85</f>
        <v>2 km</v>
      </c>
      <c r="D171" s="89" t="str">
        <f>'Products x speed'!D85</f>
        <v>OSFP-XD and TBD</v>
      </c>
      <c r="E171" s="561" t="s">
        <v>94</v>
      </c>
      <c r="F171" s="561" t="s">
        <v>94</v>
      </c>
      <c r="G171" s="561" t="s">
        <v>94</v>
      </c>
      <c r="H171" s="561" t="s">
        <v>94</v>
      </c>
      <c r="I171" s="561" t="s">
        <v>94</v>
      </c>
      <c r="J171" s="561" t="s">
        <v>94</v>
      </c>
      <c r="K171" s="365" t="str">
        <f>IF('Products x speed'!E85=0,"",('Products x speed'!E277*10^6/('Products x speed'!E85*200)))</f>
        <v/>
      </c>
      <c r="L171" s="366" t="str">
        <f>IF('Products x speed'!F85=0,"",('Products x speed'!F277*10^6/('Products x speed'!F85*200)))</f>
        <v/>
      </c>
      <c r="M171" s="366" t="str">
        <f>IF('Products x speed'!G85=0,"",('Products x speed'!G277*10^6/('Products x speed'!G85*200)))</f>
        <v/>
      </c>
      <c r="N171" s="366" t="str">
        <f>IF('Products x speed'!H85=0,"",('Products x speed'!H277*10^6/('Products x speed'!H85*200)))</f>
        <v/>
      </c>
      <c r="O171" s="366" t="str">
        <f>IF('Products x speed'!I85=0,"",('Products x speed'!I277*10^6/('Products x speed'!I85*200)))</f>
        <v/>
      </c>
      <c r="P171" s="366" t="str">
        <f>IF('Products x speed'!J85=0,"",('Products x speed'!J277*10^6/('Products x speed'!J85*200)))</f>
        <v/>
      </c>
      <c r="Q171" s="366" t="str">
        <f>IF('Products x speed'!K85=0,"",('Products x speed'!K277*10^6/('Products x speed'!K85*200)))</f>
        <v/>
      </c>
      <c r="R171" s="366" t="str">
        <f>IF('Products x speed'!L85=0,"",('Products x speed'!L277*10^6/('Products x speed'!L85*200)))</f>
        <v/>
      </c>
      <c r="S171" s="366" t="str">
        <f>IF('Products x speed'!M85=0,"",('Products x speed'!M277*10^6/('Products x speed'!M85*200)))</f>
        <v/>
      </c>
      <c r="T171" s="366" t="str">
        <f>IF('Products x speed'!N85=0,"",('Products x speed'!N277*10^6/('Products x speed'!N85*200)))</f>
        <v/>
      </c>
      <c r="U171" s="366" t="str">
        <f>IF('Products x speed'!O85=0,"",('Products x speed'!O277*10^6/('Products x speed'!O85*200)))</f>
        <v/>
      </c>
      <c r="V171" s="366" t="str">
        <f>IF('Products x speed'!P85=0,"",('Products x speed'!P277*10^6/('Products x speed'!P85*200)))</f>
        <v/>
      </c>
    </row>
    <row r="172" spans="1:22" ht="15.45" customHeight="1">
      <c r="A172" s="638">
        <v>3200</v>
      </c>
      <c r="B172" s="87" t="str">
        <f>'Products x speed'!B86</f>
        <v>3.2T LR</v>
      </c>
      <c r="C172" s="88" t="str">
        <f>'Products x speed'!C86</f>
        <v>10 km</v>
      </c>
      <c r="D172" s="89" t="str">
        <f>'Products x speed'!D86</f>
        <v>OSFP-XD and TBD</v>
      </c>
      <c r="E172" s="561" t="s">
        <v>94</v>
      </c>
      <c r="F172" s="561" t="s">
        <v>94</v>
      </c>
      <c r="G172" s="561" t="s">
        <v>94</v>
      </c>
      <c r="H172" s="561" t="s">
        <v>94</v>
      </c>
      <c r="I172" s="561" t="s">
        <v>94</v>
      </c>
      <c r="J172" s="561" t="s">
        <v>94</v>
      </c>
      <c r="K172" s="365" t="str">
        <f>IF('Products x speed'!E86=0,"",('Products x speed'!E278*10^6/('Products x speed'!E86*200)))</f>
        <v/>
      </c>
      <c r="L172" s="366" t="str">
        <f>IF('Products x speed'!F86=0,"",('Products x speed'!F278*10^6/('Products x speed'!F86*200)))</f>
        <v/>
      </c>
      <c r="M172" s="366" t="str">
        <f>IF('Products x speed'!G86=0,"",('Products x speed'!G278*10^6/('Products x speed'!G86*200)))</f>
        <v/>
      </c>
      <c r="N172" s="366" t="str">
        <f>IF('Products x speed'!H86=0,"",('Products x speed'!H278*10^6/('Products x speed'!H86*200)))</f>
        <v/>
      </c>
      <c r="O172" s="366" t="str">
        <f>IF('Products x speed'!I86=0,"",('Products x speed'!I278*10^6/('Products x speed'!I86*200)))</f>
        <v/>
      </c>
      <c r="P172" s="366" t="str">
        <f>IF('Products x speed'!J86=0,"",('Products x speed'!J278*10^6/('Products x speed'!J86*200)))</f>
        <v/>
      </c>
      <c r="Q172" s="366" t="str">
        <f>IF('Products x speed'!K86=0,"",('Products x speed'!K278*10^6/('Products x speed'!K86*200)))</f>
        <v/>
      </c>
      <c r="R172" s="366" t="str">
        <f>IF('Products x speed'!L86=0,"",('Products x speed'!L278*10^6/('Products x speed'!L86*200)))</f>
        <v/>
      </c>
      <c r="S172" s="366" t="str">
        <f>IF('Products x speed'!M86=0,"",('Products x speed'!M278*10^6/('Products x speed'!M86*200)))</f>
        <v/>
      </c>
      <c r="T172" s="366" t="str">
        <f>IF('Products x speed'!N86=0,"",('Products x speed'!N278*10^6/('Products x speed'!N86*200)))</f>
        <v/>
      </c>
      <c r="U172" s="366" t="str">
        <f>IF('Products x speed'!O86=0,"",('Products x speed'!O278*10^6/('Products x speed'!O86*200)))</f>
        <v/>
      </c>
      <c r="V172" s="366" t="str">
        <f>IF('Products x speed'!P86=0,"",('Products x speed'!P278*10^6/('Products x speed'!P86*200)))</f>
        <v/>
      </c>
    </row>
    <row r="173" spans="1:22" ht="15.45" customHeight="1">
      <c r="A173" s="638">
        <v>3200</v>
      </c>
      <c r="B173" s="83" t="str">
        <f>'Products x speed'!B87</f>
        <v>3.2T ER</v>
      </c>
      <c r="C173" s="84" t="str">
        <f>'Products x speed'!C87</f>
        <v>&gt;10 km</v>
      </c>
      <c r="D173" s="85" t="str">
        <f>'Products x speed'!D87</f>
        <v>OSFP-XD and TBD</v>
      </c>
      <c r="E173" s="563" t="s">
        <v>94</v>
      </c>
      <c r="F173" s="563" t="s">
        <v>94</v>
      </c>
      <c r="G173" s="563" t="s">
        <v>94</v>
      </c>
      <c r="H173" s="563" t="s">
        <v>94</v>
      </c>
      <c r="I173" s="563" t="s">
        <v>94</v>
      </c>
      <c r="J173" s="563" t="s">
        <v>94</v>
      </c>
      <c r="K173" s="358" t="str">
        <f>IF('Products x speed'!E87=0,"",('Products x speed'!E279*10^6/('Products x speed'!E87*200)))</f>
        <v/>
      </c>
      <c r="L173" s="379" t="str">
        <f>IF('Products x speed'!F87=0,"",('Products x speed'!F279*10^6/('Products x speed'!F87*200)))</f>
        <v/>
      </c>
      <c r="M173" s="379" t="str">
        <f>IF('Products x speed'!G87=0,"",('Products x speed'!G279*10^6/('Products x speed'!G87*200)))</f>
        <v/>
      </c>
      <c r="N173" s="379" t="str">
        <f>IF('Products x speed'!H87=0,"",('Products x speed'!H279*10^6/('Products x speed'!H87*200)))</f>
        <v/>
      </c>
      <c r="O173" s="379" t="str">
        <f>IF('Products x speed'!I87=0,"",('Products x speed'!I279*10^6/('Products x speed'!I87*200)))</f>
        <v/>
      </c>
      <c r="P173" s="379" t="str">
        <f>IF('Products x speed'!J87=0,"",('Products x speed'!J279*10^6/('Products x speed'!J87*200)))</f>
        <v/>
      </c>
      <c r="Q173" s="379" t="str">
        <f>IF('Products x speed'!K87=0,"",('Products x speed'!K279*10^6/('Products x speed'!K87*200)))</f>
        <v/>
      </c>
      <c r="R173" s="379" t="str">
        <f>IF('Products x speed'!L87=0,"",('Products x speed'!L279*10^6/('Products x speed'!L87*200)))</f>
        <v/>
      </c>
      <c r="S173" s="379" t="str">
        <f>IF('Products x speed'!M87=0,"",('Products x speed'!M279*10^6/('Products x speed'!M87*200)))</f>
        <v/>
      </c>
      <c r="T173" s="379" t="str">
        <f>IF('Products x speed'!N87=0,"",('Products x speed'!N279*10^6/('Products x speed'!N87*200)))</f>
        <v/>
      </c>
      <c r="U173" s="379" t="str">
        <f>IF('Products x speed'!O87=0,"",('Products x speed'!O279*10^6/('Products x speed'!O87*200)))</f>
        <v/>
      </c>
      <c r="V173" s="379" t="str">
        <f>IF('Products x speed'!P87=0,"",('Products x speed'!P279*10^6/('Products x speed'!P87*200)))</f>
        <v/>
      </c>
    </row>
    <row r="174" spans="1:22">
      <c r="A174" s="416"/>
      <c r="R174" s="362"/>
      <c r="S174" s="362"/>
      <c r="T174" s="362"/>
      <c r="U174" s="362"/>
      <c r="V174" s="362"/>
    </row>
    <row r="175" spans="1:22" ht="14.4">
      <c r="B175" s="229" t="s">
        <v>179</v>
      </c>
      <c r="Q175" s="362"/>
      <c r="R175" s="362"/>
      <c r="S175" s="362"/>
      <c r="T175" s="362"/>
      <c r="U175" s="362"/>
      <c r="V175" s="362"/>
    </row>
    <row r="176" spans="1:22">
      <c r="B176" s="359" t="s">
        <v>32</v>
      </c>
      <c r="C176" s="360" t="s">
        <v>31</v>
      </c>
      <c r="D176" s="360" t="s">
        <v>33</v>
      </c>
      <c r="E176" s="117">
        <v>2010</v>
      </c>
      <c r="F176" s="118">
        <v>2011</v>
      </c>
      <c r="G176" s="118">
        <v>2012</v>
      </c>
      <c r="H176" s="118">
        <v>2013</v>
      </c>
      <c r="I176" s="118">
        <v>2014</v>
      </c>
      <c r="J176" s="118">
        <v>2015</v>
      </c>
      <c r="K176" s="118">
        <v>2016</v>
      </c>
      <c r="L176" s="118">
        <v>2017</v>
      </c>
      <c r="M176" s="118">
        <v>2018</v>
      </c>
      <c r="N176" s="118">
        <v>2019</v>
      </c>
      <c r="O176" s="118">
        <v>2020</v>
      </c>
      <c r="P176" s="118">
        <v>2021</v>
      </c>
      <c r="Q176" s="118">
        <v>2022</v>
      </c>
      <c r="R176" s="118">
        <v>2023</v>
      </c>
      <c r="S176" s="118">
        <v>2024</v>
      </c>
      <c r="T176" s="118">
        <v>2025</v>
      </c>
      <c r="U176" s="118">
        <v>2026</v>
      </c>
      <c r="V176" s="118">
        <v>2027</v>
      </c>
    </row>
    <row r="177" spans="2:22">
      <c r="B177" s="79" t="s">
        <v>48</v>
      </c>
      <c r="C177" s="80" t="s">
        <v>47</v>
      </c>
      <c r="D177" s="81" t="s">
        <v>49</v>
      </c>
      <c r="E177" s="365">
        <v>274.06249367438778</v>
      </c>
      <c r="F177" s="365">
        <v>239.45512444253498</v>
      </c>
      <c r="G177" s="365">
        <v>222.69357921658363</v>
      </c>
      <c r="H177" s="365">
        <v>172.65303564324924</v>
      </c>
      <c r="I177" s="365">
        <v>177.73233103197674</v>
      </c>
      <c r="J177" s="365">
        <v>194.94455650737342</v>
      </c>
      <c r="K177" s="121">
        <v>0</v>
      </c>
      <c r="L177" s="121" t="s">
        <v>94</v>
      </c>
      <c r="M177" s="121" t="s">
        <v>94</v>
      </c>
      <c r="N177" s="121" t="s">
        <v>94</v>
      </c>
      <c r="O177" s="121" t="s">
        <v>94</v>
      </c>
      <c r="P177" s="121" t="s">
        <v>94</v>
      </c>
      <c r="Q177" s="365" t="s">
        <v>94</v>
      </c>
      <c r="R177" s="365" t="s">
        <v>94</v>
      </c>
      <c r="S177" s="365" t="s">
        <v>94</v>
      </c>
      <c r="T177" s="365" t="s">
        <v>94</v>
      </c>
      <c r="U177" s="365" t="s">
        <v>94</v>
      </c>
      <c r="V177" s="365" t="s">
        <v>94</v>
      </c>
    </row>
    <row r="178" spans="2:22">
      <c r="B178" s="83" t="s">
        <v>48</v>
      </c>
      <c r="C178" s="84" t="s">
        <v>54</v>
      </c>
      <c r="D178" s="85" t="s">
        <v>49</v>
      </c>
      <c r="E178" s="358">
        <v>408.18962355062325</v>
      </c>
      <c r="F178" s="358">
        <v>250</v>
      </c>
      <c r="G178" s="358">
        <v>257.22320966907961</v>
      </c>
      <c r="H178" s="358">
        <v>279.86098194911409</v>
      </c>
      <c r="I178" s="358">
        <v>236.30748112560056</v>
      </c>
      <c r="J178" s="358">
        <v>166.47058823529412</v>
      </c>
      <c r="K178" s="123" t="s">
        <v>94</v>
      </c>
      <c r="L178" s="123" t="s">
        <v>94</v>
      </c>
      <c r="M178" s="123" t="s">
        <v>94</v>
      </c>
      <c r="N178" s="123" t="s">
        <v>94</v>
      </c>
      <c r="O178" s="123" t="s">
        <v>94</v>
      </c>
      <c r="P178" s="123" t="s">
        <v>94</v>
      </c>
      <c r="Q178" s="358" t="s">
        <v>94</v>
      </c>
      <c r="R178" s="358" t="s">
        <v>94</v>
      </c>
      <c r="S178" s="358" t="s">
        <v>94</v>
      </c>
      <c r="T178" s="358" t="s">
        <v>94</v>
      </c>
      <c r="U178" s="358" t="s">
        <v>94</v>
      </c>
      <c r="V178" s="358" t="s">
        <v>94</v>
      </c>
    </row>
    <row r="179" spans="2:22">
      <c r="B179" s="79" t="s">
        <v>59</v>
      </c>
      <c r="C179" s="80" t="s">
        <v>44</v>
      </c>
      <c r="D179" s="81" t="s">
        <v>45</v>
      </c>
      <c r="E179" s="322">
        <v>18.206652850742383</v>
      </c>
      <c r="F179" s="322">
        <v>17.526901331276267</v>
      </c>
      <c r="G179" s="322">
        <v>17.095853477680556</v>
      </c>
      <c r="H179" s="322">
        <v>17.769954721744874</v>
      </c>
      <c r="I179" s="322">
        <v>18.264693750467032</v>
      </c>
      <c r="J179" s="322">
        <v>16.71487059956247</v>
      </c>
      <c r="K179" s="175" t="s">
        <v>94</v>
      </c>
      <c r="L179" s="175" t="s">
        <v>94</v>
      </c>
      <c r="M179" s="175" t="s">
        <v>94</v>
      </c>
      <c r="N179" s="175" t="s">
        <v>94</v>
      </c>
      <c r="O179" s="175" t="s">
        <v>94</v>
      </c>
      <c r="P179" s="175" t="s">
        <v>94</v>
      </c>
      <c r="Q179" s="322" t="s">
        <v>94</v>
      </c>
      <c r="R179" s="322" t="s">
        <v>94</v>
      </c>
      <c r="S179" s="322" t="s">
        <v>94</v>
      </c>
      <c r="T179" s="322" t="s">
        <v>94</v>
      </c>
      <c r="U179" s="322" t="s">
        <v>94</v>
      </c>
      <c r="V179" s="322" t="s">
        <v>94</v>
      </c>
    </row>
    <row r="180" spans="2:22">
      <c r="B180" s="87" t="s">
        <v>59</v>
      </c>
      <c r="C180" s="91" t="s">
        <v>44</v>
      </c>
      <c r="D180" s="89" t="s">
        <v>39</v>
      </c>
      <c r="E180" s="322">
        <v>11.099633018262569</v>
      </c>
      <c r="F180" s="322">
        <v>11.035062575041373</v>
      </c>
      <c r="G180" s="322">
        <v>20.216612225851609</v>
      </c>
      <c r="H180" s="322">
        <v>21.197803054670214</v>
      </c>
      <c r="I180" s="322">
        <v>23.496655215906642</v>
      </c>
      <c r="J180" s="322">
        <v>24.291288695439938</v>
      </c>
      <c r="K180" s="175"/>
      <c r="L180" s="175"/>
      <c r="M180" s="175"/>
      <c r="N180" s="175"/>
      <c r="O180" s="175"/>
      <c r="P180" s="175"/>
      <c r="Q180" s="322"/>
      <c r="R180" s="322"/>
      <c r="S180" s="322"/>
      <c r="T180" s="322"/>
      <c r="U180" s="322"/>
      <c r="V180" s="322"/>
    </row>
    <row r="181" spans="2:22">
      <c r="B181" s="87" t="s">
        <v>59</v>
      </c>
      <c r="C181" s="88" t="s">
        <v>50</v>
      </c>
      <c r="D181" s="89" t="s">
        <v>45</v>
      </c>
      <c r="E181" s="322">
        <v>23.39814100647137</v>
      </c>
      <c r="F181" s="322">
        <v>25.292353605697045</v>
      </c>
      <c r="G181" s="322">
        <v>22.283888496308389</v>
      </c>
      <c r="H181" s="322"/>
      <c r="I181" s="322" t="s">
        <v>94</v>
      </c>
      <c r="J181" s="322" t="s">
        <v>94</v>
      </c>
      <c r="K181" s="175"/>
      <c r="L181" s="175"/>
      <c r="M181" s="175"/>
      <c r="N181" s="175"/>
      <c r="O181" s="175"/>
      <c r="P181" s="175"/>
      <c r="Q181" s="322"/>
      <c r="R181" s="322"/>
      <c r="S181" s="322"/>
      <c r="T181" s="322"/>
      <c r="U181" s="322"/>
      <c r="V181" s="322"/>
    </row>
    <row r="182" spans="2:22">
      <c r="B182" s="87" t="s">
        <v>59</v>
      </c>
      <c r="C182" s="88" t="s">
        <v>50</v>
      </c>
      <c r="D182" s="89" t="s">
        <v>51</v>
      </c>
      <c r="E182" s="322">
        <v>29.754221056484081</v>
      </c>
      <c r="F182" s="322">
        <v>29.532924515815946</v>
      </c>
      <c r="G182" s="322">
        <v>27.117140188120089</v>
      </c>
      <c r="H182" s="322">
        <v>25.445438495566442</v>
      </c>
      <c r="I182" s="322">
        <v>28.570454668617568</v>
      </c>
      <c r="J182" s="322">
        <v>64.697302697302732</v>
      </c>
      <c r="K182" s="175"/>
      <c r="L182" s="175"/>
      <c r="M182" s="175"/>
      <c r="N182" s="175"/>
      <c r="O182" s="175"/>
      <c r="P182" s="175"/>
      <c r="Q182" s="322"/>
      <c r="R182" s="322"/>
      <c r="S182" s="322"/>
      <c r="T182" s="322"/>
      <c r="U182" s="322"/>
      <c r="V182" s="322"/>
    </row>
    <row r="183" spans="2:22">
      <c r="B183" s="87" t="s">
        <v>59</v>
      </c>
      <c r="C183" s="88" t="s">
        <v>55</v>
      </c>
      <c r="D183" s="89" t="s">
        <v>39</v>
      </c>
      <c r="E183" s="322">
        <v>76.717999203464927</v>
      </c>
      <c r="F183" s="322">
        <v>59.143771385122292</v>
      </c>
      <c r="G183" s="322">
        <v>39.079348493141595</v>
      </c>
      <c r="H183" s="322"/>
      <c r="I183" s="322" t="s">
        <v>94</v>
      </c>
      <c r="J183" s="322" t="s">
        <v>94</v>
      </c>
      <c r="K183" s="175"/>
      <c r="L183" s="175"/>
      <c r="M183" s="175"/>
      <c r="N183" s="175"/>
      <c r="O183" s="175"/>
      <c r="P183" s="175"/>
      <c r="Q183" s="322"/>
      <c r="R183" s="322"/>
      <c r="S183" s="322"/>
      <c r="T183" s="322"/>
      <c r="U183" s="322"/>
      <c r="V183" s="322"/>
    </row>
    <row r="184" spans="2:22">
      <c r="B184" s="83" t="s">
        <v>59</v>
      </c>
      <c r="C184" s="84" t="s">
        <v>57</v>
      </c>
      <c r="D184" s="85" t="s">
        <v>39</v>
      </c>
      <c r="E184" s="363">
        <v>143.88166575041231</v>
      </c>
      <c r="F184" s="358">
        <v>143.84128914563698</v>
      </c>
      <c r="G184" s="358">
        <v>139.18409466153</v>
      </c>
      <c r="H184" s="358"/>
      <c r="I184" s="358" t="s">
        <v>94</v>
      </c>
      <c r="J184" s="358" t="s">
        <v>94</v>
      </c>
      <c r="K184" s="123"/>
      <c r="L184" s="123"/>
      <c r="M184" s="123"/>
      <c r="N184" s="123"/>
      <c r="O184" s="123"/>
      <c r="P184" s="123"/>
      <c r="Q184" s="358"/>
      <c r="R184" s="358"/>
      <c r="S184" s="358"/>
      <c r="T184" s="358"/>
      <c r="U184" s="358"/>
      <c r="V184" s="358"/>
    </row>
    <row r="185" spans="2:22">
      <c r="B185" s="79" t="s">
        <v>60</v>
      </c>
      <c r="C185" s="80" t="s">
        <v>34</v>
      </c>
      <c r="D185" s="81" t="s">
        <v>35</v>
      </c>
      <c r="E185" s="322">
        <v>21.681017994211651</v>
      </c>
      <c r="F185" s="322">
        <v>16.06518077383889</v>
      </c>
      <c r="G185" s="322">
        <v>16.098718300474268</v>
      </c>
      <c r="H185" s="322"/>
      <c r="I185" s="322" t="s">
        <v>94</v>
      </c>
      <c r="J185" s="322" t="s">
        <v>94</v>
      </c>
      <c r="K185" s="175"/>
      <c r="L185" s="175"/>
      <c r="M185" s="175"/>
      <c r="N185" s="175"/>
      <c r="O185" s="175"/>
      <c r="P185" s="175"/>
      <c r="Q185" s="322"/>
      <c r="R185" s="322"/>
      <c r="S185" s="322"/>
      <c r="T185" s="322"/>
      <c r="U185" s="322"/>
      <c r="V185" s="322"/>
    </row>
    <row r="186" spans="2:22">
      <c r="B186" s="87" t="s">
        <v>60</v>
      </c>
      <c r="C186" s="88" t="s">
        <v>41</v>
      </c>
      <c r="D186" s="89" t="s">
        <v>39</v>
      </c>
      <c r="E186" s="322">
        <v>30.463357047118258</v>
      </c>
      <c r="F186" s="322">
        <v>26.457340149118842</v>
      </c>
      <c r="G186" s="322">
        <v>23.477793907905461</v>
      </c>
      <c r="H186" s="322">
        <v>22.490035568296438</v>
      </c>
      <c r="I186" s="322">
        <v>18.806903651668385</v>
      </c>
      <c r="J186" s="322">
        <v>14.197024556372105</v>
      </c>
      <c r="K186" s="175"/>
      <c r="L186" s="175"/>
      <c r="M186" s="175"/>
      <c r="N186" s="175"/>
      <c r="O186" s="175"/>
      <c r="P186" s="175"/>
      <c r="Q186" s="322"/>
      <c r="R186" s="322"/>
      <c r="S186" s="322"/>
      <c r="T186" s="322"/>
      <c r="U186" s="322"/>
      <c r="V186" s="322"/>
    </row>
    <row r="187" spans="2:22">
      <c r="B187" s="87" t="s">
        <v>60</v>
      </c>
      <c r="C187" s="88" t="s">
        <v>50</v>
      </c>
      <c r="D187" s="89" t="s">
        <v>52</v>
      </c>
      <c r="E187" s="322">
        <v>29.304823525939916</v>
      </c>
      <c r="F187" s="322">
        <v>25.929656648826676</v>
      </c>
      <c r="G187" s="322">
        <v>23.088225324217781</v>
      </c>
      <c r="H187" s="322">
        <v>17.641950034698127</v>
      </c>
      <c r="I187" s="322">
        <v>16.034090123883324</v>
      </c>
      <c r="J187" s="322">
        <v>15.763719512195134</v>
      </c>
      <c r="K187" s="175"/>
      <c r="L187" s="175"/>
      <c r="M187" s="175"/>
      <c r="N187" s="175"/>
      <c r="O187" s="175"/>
      <c r="P187" s="175"/>
      <c r="Q187" s="322"/>
      <c r="R187" s="322"/>
      <c r="S187" s="322"/>
      <c r="T187" s="322"/>
      <c r="U187" s="322"/>
      <c r="V187" s="322"/>
    </row>
    <row r="188" spans="2:22">
      <c r="B188" s="83" t="s">
        <v>60</v>
      </c>
      <c r="C188" s="84" t="s">
        <v>55</v>
      </c>
      <c r="D188" s="85" t="s">
        <v>36</v>
      </c>
      <c r="E188" s="358">
        <v>73.993303417328278</v>
      </c>
      <c r="F188" s="358">
        <v>94.311510598336469</v>
      </c>
      <c r="G188" s="358">
        <v>84.690790562913918</v>
      </c>
      <c r="H188" s="358"/>
      <c r="I188" s="358" t="s">
        <v>94</v>
      </c>
      <c r="J188" s="358" t="s">
        <v>94</v>
      </c>
      <c r="K188" s="123"/>
      <c r="L188" s="123"/>
      <c r="M188" s="123"/>
      <c r="N188" s="123"/>
      <c r="O188" s="123"/>
      <c r="P188" s="123"/>
      <c r="Q188" s="358"/>
      <c r="R188" s="358"/>
      <c r="S188" s="358"/>
      <c r="T188" s="358"/>
      <c r="U188" s="358"/>
      <c r="V188" s="358"/>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W150"/>
  <sheetViews>
    <sheetView showGridLines="0" zoomScale="70" zoomScaleNormal="70" workbookViewId="0"/>
  </sheetViews>
  <sheetFormatPr defaultColWidth="8.44140625" defaultRowHeight="13.8"/>
  <cols>
    <col min="1" max="3" width="8.44140625" style="269"/>
    <col min="4" max="5" width="9.21875" style="269" bestFit="1" customWidth="1"/>
    <col min="6" max="7" width="9.33203125" style="269" bestFit="1" customWidth="1"/>
    <col min="8" max="8" width="10.33203125" style="269" bestFit="1" customWidth="1"/>
    <col min="9" max="11" width="11.44140625" style="269" bestFit="1" customWidth="1"/>
    <col min="12" max="12" width="12" style="269" customWidth="1"/>
    <col min="13" max="13" width="10.33203125" style="269" customWidth="1"/>
    <col min="14" max="14" width="12.77734375" style="269" customWidth="1"/>
    <col min="15" max="15" width="10.44140625" style="269" customWidth="1"/>
    <col min="16" max="16384" width="8.44140625" style="269"/>
  </cols>
  <sheetData>
    <row r="2" spans="2:23" ht="23.4">
      <c r="B2" s="411" t="str">
        <f>Introduction!$B$2</f>
        <v>LightCounting Ethernet Transceivers Forecast</v>
      </c>
      <c r="C2" s="411"/>
      <c r="D2" s="411"/>
      <c r="E2" s="291"/>
      <c r="F2" s="291"/>
      <c r="N2" s="439"/>
      <c r="R2" s="269" t="s">
        <v>14</v>
      </c>
      <c r="V2" s="12"/>
      <c r="W2" s="12"/>
    </row>
    <row r="3" spans="2:23" ht="15.6">
      <c r="B3" s="440" t="str">
        <f>Introduction!B3</f>
        <v>March 2022 - sample spreadsheet</v>
      </c>
      <c r="C3" s="291"/>
      <c r="D3" s="291"/>
      <c r="E3" s="291"/>
      <c r="F3" s="291"/>
    </row>
    <row r="4" spans="2:23" ht="18">
      <c r="B4" s="411" t="s">
        <v>215</v>
      </c>
      <c r="C4" s="411"/>
      <c r="D4" s="411"/>
      <c r="E4" s="291"/>
      <c r="F4" s="291"/>
    </row>
    <row r="6" spans="2:23" ht="15.6">
      <c r="B6" s="692" t="s">
        <v>514</v>
      </c>
    </row>
    <row r="31" spans="2:2" ht="15.6">
      <c r="B31" s="692" t="s">
        <v>515</v>
      </c>
    </row>
    <row r="53" spans="2:18">
      <c r="B53" s="73" t="s">
        <v>216</v>
      </c>
    </row>
    <row r="55" spans="2:18">
      <c r="B55" s="73" t="s">
        <v>510</v>
      </c>
      <c r="L55" s="73" t="s">
        <v>511</v>
      </c>
      <c r="R55" s="210"/>
    </row>
    <row r="75" spans="2:18">
      <c r="B75" s="73" t="s">
        <v>513</v>
      </c>
      <c r="H75" s="234"/>
      <c r="L75" s="73" t="s">
        <v>512</v>
      </c>
      <c r="R75" s="210" t="s">
        <v>425</v>
      </c>
    </row>
    <row r="76" spans="2:18">
      <c r="L76" s="73" t="s">
        <v>516</v>
      </c>
    </row>
    <row r="96" spans="2:14" ht="15.6">
      <c r="B96" s="692" t="s">
        <v>517</v>
      </c>
      <c r="C96" s="270"/>
      <c r="D96" s="270"/>
      <c r="E96" s="270"/>
      <c r="F96" s="270"/>
      <c r="G96" s="270"/>
      <c r="H96" s="270"/>
      <c r="I96" s="270"/>
      <c r="J96" s="270"/>
      <c r="K96" s="270"/>
      <c r="L96" s="270"/>
      <c r="M96" s="270"/>
      <c r="N96" s="270"/>
    </row>
    <row r="97" spans="2:14">
      <c r="B97" s="324"/>
      <c r="C97" s="270"/>
      <c r="D97" s="270"/>
      <c r="E97" s="270"/>
      <c r="F97" s="270"/>
      <c r="G97" s="270"/>
      <c r="H97" s="270"/>
      <c r="I97" s="270"/>
      <c r="J97" s="270"/>
      <c r="K97" s="270"/>
      <c r="L97" s="270"/>
      <c r="M97" s="270"/>
      <c r="N97" s="270"/>
    </row>
    <row r="98" spans="2:14">
      <c r="B98" s="617"/>
      <c r="C98" s="270"/>
      <c r="D98" s="270"/>
      <c r="E98" s="270"/>
      <c r="F98" s="270"/>
      <c r="G98" s="270"/>
      <c r="H98" s="270"/>
      <c r="I98" s="270"/>
      <c r="J98" s="270"/>
      <c r="K98" s="270"/>
      <c r="L98" s="270"/>
      <c r="M98" s="270"/>
      <c r="N98" s="270"/>
    </row>
    <row r="99" spans="2:14">
      <c r="B99" s="324"/>
      <c r="C99" s="270"/>
      <c r="D99" s="270"/>
      <c r="E99" s="270"/>
      <c r="F99" s="270"/>
      <c r="G99" s="270"/>
      <c r="H99" s="270"/>
      <c r="I99" s="270"/>
      <c r="J99" s="270"/>
      <c r="K99" s="270"/>
      <c r="L99" s="270"/>
      <c r="M99" s="270"/>
      <c r="N99" s="270"/>
    </row>
    <row r="100" spans="2:14">
      <c r="B100" s="324"/>
      <c r="C100" s="270"/>
      <c r="D100" s="270"/>
      <c r="E100" s="270"/>
      <c r="F100" s="270"/>
      <c r="G100" s="270"/>
      <c r="H100" s="270"/>
      <c r="I100" s="270"/>
      <c r="J100" s="270"/>
      <c r="K100" s="270"/>
      <c r="L100" s="270"/>
      <c r="M100" s="270"/>
      <c r="N100" s="270"/>
    </row>
    <row r="101" spans="2:14">
      <c r="B101" s="324"/>
      <c r="C101" s="270"/>
      <c r="D101" s="270"/>
      <c r="E101" s="270"/>
      <c r="F101" s="270"/>
      <c r="G101" s="270"/>
      <c r="H101" s="270"/>
      <c r="I101" s="270"/>
      <c r="J101" s="270"/>
      <c r="K101" s="270"/>
      <c r="L101" s="270"/>
      <c r="M101" s="270"/>
      <c r="N101" s="270"/>
    </row>
    <row r="102" spans="2:14">
      <c r="B102" s="324"/>
      <c r="C102" s="270"/>
      <c r="D102" s="270"/>
      <c r="E102" s="270"/>
      <c r="F102" s="270"/>
      <c r="G102" s="270"/>
      <c r="H102" s="270"/>
      <c r="I102" s="270"/>
      <c r="J102" s="270"/>
      <c r="K102" s="270"/>
      <c r="L102" s="270"/>
      <c r="M102" s="270"/>
      <c r="N102" s="270"/>
    </row>
    <row r="103" spans="2:14">
      <c r="B103" s="324"/>
      <c r="C103" s="270"/>
      <c r="D103" s="270"/>
      <c r="E103" s="270"/>
      <c r="F103" s="270"/>
      <c r="G103" s="270"/>
      <c r="H103" s="270"/>
      <c r="I103" s="270"/>
      <c r="J103" s="270"/>
      <c r="K103" s="270"/>
      <c r="L103" s="270"/>
      <c r="M103" s="270"/>
      <c r="N103" s="270"/>
    </row>
    <row r="104" spans="2:14">
      <c r="B104" s="324"/>
      <c r="C104" s="270"/>
      <c r="D104" s="270"/>
      <c r="E104" s="270"/>
      <c r="F104" s="270"/>
      <c r="G104" s="270"/>
      <c r="H104" s="270"/>
      <c r="I104" s="270"/>
      <c r="J104" s="270"/>
      <c r="K104" s="270"/>
      <c r="L104" s="270"/>
      <c r="M104" s="270"/>
      <c r="N104" s="270"/>
    </row>
    <row r="105" spans="2:14">
      <c r="B105" s="324"/>
      <c r="C105" s="270"/>
      <c r="D105" s="270"/>
      <c r="E105" s="270"/>
      <c r="F105" s="270"/>
      <c r="G105" s="270"/>
      <c r="H105" s="270"/>
      <c r="I105" s="270"/>
      <c r="J105" s="270"/>
      <c r="K105" s="270"/>
      <c r="L105" s="270"/>
      <c r="M105" s="270"/>
      <c r="N105" s="270"/>
    </row>
    <row r="106" spans="2:14">
      <c r="B106" s="324"/>
      <c r="C106" s="270"/>
      <c r="D106" s="270"/>
      <c r="E106" s="270"/>
      <c r="F106" s="270"/>
      <c r="G106" s="270"/>
      <c r="H106" s="270"/>
      <c r="I106" s="270"/>
      <c r="J106" s="270"/>
      <c r="K106" s="270"/>
      <c r="L106" s="270"/>
      <c r="M106" s="270"/>
      <c r="N106" s="270"/>
    </row>
    <row r="107" spans="2:14">
      <c r="B107" s="324"/>
      <c r="C107" s="270"/>
      <c r="D107" s="270"/>
      <c r="E107" s="270"/>
      <c r="F107" s="270"/>
      <c r="G107" s="270"/>
      <c r="H107" s="270"/>
      <c r="I107" s="270"/>
      <c r="J107" s="270"/>
      <c r="K107" s="270"/>
      <c r="L107" s="270"/>
      <c r="M107" s="270"/>
      <c r="N107" s="270"/>
    </row>
    <row r="108" spans="2:14">
      <c r="B108" s="324"/>
      <c r="C108" s="270"/>
      <c r="D108" s="270"/>
      <c r="E108" s="270"/>
      <c r="F108" s="270"/>
      <c r="G108" s="270"/>
      <c r="H108" s="270"/>
      <c r="I108" s="270"/>
      <c r="J108" s="270"/>
      <c r="K108" s="270"/>
      <c r="L108" s="270"/>
      <c r="M108" s="270"/>
      <c r="N108" s="270"/>
    </row>
    <row r="109" spans="2:14">
      <c r="B109" s="324"/>
      <c r="C109" s="270"/>
      <c r="D109" s="270"/>
      <c r="E109" s="270"/>
      <c r="F109" s="270"/>
      <c r="G109" s="270"/>
      <c r="H109" s="270"/>
      <c r="I109" s="270"/>
      <c r="J109" s="270"/>
      <c r="K109" s="270"/>
      <c r="L109" s="270"/>
      <c r="M109" s="270"/>
      <c r="N109" s="270"/>
    </row>
    <row r="110" spans="2:14">
      <c r="B110" s="324"/>
      <c r="C110" s="270"/>
      <c r="D110" s="270"/>
      <c r="E110" s="270"/>
      <c r="F110" s="270"/>
      <c r="G110" s="270"/>
      <c r="H110" s="270"/>
      <c r="I110" s="270"/>
      <c r="J110" s="270"/>
      <c r="K110" s="270"/>
      <c r="L110" s="270"/>
      <c r="M110" s="270"/>
      <c r="N110" s="270"/>
    </row>
    <row r="111" spans="2:14">
      <c r="B111" s="324"/>
      <c r="C111" s="270"/>
      <c r="D111" s="270"/>
      <c r="E111" s="270"/>
      <c r="F111" s="270"/>
      <c r="G111" s="270"/>
      <c r="H111" s="270"/>
      <c r="I111" s="270"/>
      <c r="J111" s="270"/>
      <c r="K111" s="270"/>
      <c r="L111" s="270"/>
      <c r="M111" s="270"/>
      <c r="N111" s="270"/>
    </row>
    <row r="112" spans="2:14">
      <c r="B112" s="324"/>
      <c r="C112" s="270"/>
      <c r="D112" s="270"/>
      <c r="E112" s="270"/>
      <c r="F112" s="270"/>
      <c r="G112" s="270"/>
      <c r="H112" s="270"/>
      <c r="I112" s="270"/>
      <c r="J112" s="270"/>
      <c r="K112" s="270"/>
      <c r="L112" s="270"/>
      <c r="M112" s="270"/>
      <c r="N112" s="270"/>
    </row>
    <row r="113" spans="2:14">
      <c r="B113" s="324"/>
      <c r="C113" s="270"/>
      <c r="D113" s="270"/>
      <c r="E113" s="270"/>
      <c r="F113" s="270"/>
      <c r="G113" s="270"/>
      <c r="H113" s="270"/>
      <c r="I113" s="270"/>
      <c r="J113" s="270"/>
      <c r="K113" s="270"/>
      <c r="L113" s="270"/>
      <c r="M113" s="270"/>
      <c r="N113" s="270"/>
    </row>
    <row r="114" spans="2:14">
      <c r="B114" s="324"/>
      <c r="C114" s="270"/>
      <c r="D114" s="270"/>
      <c r="E114" s="270"/>
      <c r="F114" s="270"/>
      <c r="G114" s="270"/>
      <c r="H114" s="270"/>
      <c r="I114" s="270"/>
      <c r="J114" s="270"/>
      <c r="K114" s="270"/>
      <c r="L114" s="270"/>
      <c r="M114" s="270"/>
      <c r="N114" s="270"/>
    </row>
    <row r="115" spans="2:14">
      <c r="B115" s="324"/>
      <c r="C115" s="270"/>
      <c r="D115" s="270"/>
      <c r="E115" s="270"/>
      <c r="F115" s="270"/>
      <c r="G115" s="270"/>
      <c r="H115" s="270"/>
      <c r="I115" s="270"/>
      <c r="J115" s="270"/>
      <c r="K115" s="270"/>
      <c r="L115" s="270"/>
      <c r="M115" s="270"/>
      <c r="N115" s="270"/>
    </row>
    <row r="116" spans="2:14">
      <c r="B116" s="324"/>
      <c r="C116" s="615"/>
      <c r="D116" s="297">
        <v>2021</v>
      </c>
      <c r="E116" s="297">
        <v>2022</v>
      </c>
      <c r="F116" s="297">
        <v>2023</v>
      </c>
      <c r="G116" s="297">
        <v>2024</v>
      </c>
      <c r="H116" s="297">
        <v>2025</v>
      </c>
      <c r="I116" s="297">
        <v>2026</v>
      </c>
      <c r="J116" s="297">
        <v>2027</v>
      </c>
      <c r="K116" s="270"/>
      <c r="L116" s="270"/>
      <c r="M116" s="270"/>
      <c r="N116" s="270"/>
    </row>
    <row r="117" spans="2:14">
      <c r="B117" s="324"/>
      <c r="C117" s="618" t="s">
        <v>505</v>
      </c>
      <c r="D117" s="277">
        <f>SUM('Products x speed'!J72:J77)</f>
        <v>0</v>
      </c>
      <c r="E117" s="277">
        <f>SUM('Products x speed'!K72:K77)</f>
        <v>0</v>
      </c>
      <c r="F117" s="277">
        <f>SUM('Products x speed'!L72:L77)</f>
        <v>0</v>
      </c>
      <c r="G117" s="277">
        <f>SUM('Products x speed'!M72:M77)</f>
        <v>0</v>
      </c>
      <c r="H117" s="277">
        <f>SUM('Products x speed'!N72:N77)</f>
        <v>0</v>
      </c>
      <c r="I117" s="277">
        <f>SUM('Products x speed'!O72:O77)</f>
        <v>0</v>
      </c>
      <c r="J117" s="277">
        <f>SUM('Products x speed'!P72:P77)</f>
        <v>0</v>
      </c>
    </row>
    <row r="118" spans="2:14">
      <c r="B118" s="324"/>
      <c r="C118" s="618" t="s">
        <v>504</v>
      </c>
      <c r="D118" s="277"/>
      <c r="E118" s="689">
        <v>2000</v>
      </c>
      <c r="F118" s="689"/>
      <c r="G118" s="689"/>
      <c r="H118" s="689"/>
      <c r="I118" s="689"/>
      <c r="J118" s="689"/>
    </row>
    <row r="119" spans="2:14">
      <c r="B119" s="324"/>
      <c r="C119" s="618" t="s">
        <v>506</v>
      </c>
      <c r="D119" s="277"/>
      <c r="E119" s="689">
        <f>SUM('Products x speed'!K78:K82)</f>
        <v>0</v>
      </c>
      <c r="F119" s="689"/>
      <c r="G119" s="689"/>
      <c r="H119" s="689"/>
      <c r="I119" s="689"/>
      <c r="J119" s="689"/>
    </row>
    <row r="120" spans="2:14">
      <c r="B120" s="324"/>
      <c r="C120" s="618" t="s">
        <v>507</v>
      </c>
      <c r="D120" s="277"/>
      <c r="E120" s="689"/>
      <c r="F120" s="689"/>
      <c r="G120" s="689"/>
      <c r="H120" s="689"/>
      <c r="I120" s="689"/>
      <c r="J120" s="689"/>
    </row>
    <row r="121" spans="2:14">
      <c r="B121" s="324"/>
    </row>
    <row r="122" spans="2:14">
      <c r="C122" s="269" t="s">
        <v>509</v>
      </c>
    </row>
    <row r="124" spans="2:14">
      <c r="B124" s="324"/>
      <c r="J124" s="277"/>
      <c r="K124" s="277"/>
      <c r="L124" s="277"/>
      <c r="M124" s="277"/>
      <c r="N124" s="277"/>
    </row>
    <row r="125" spans="2:14" ht="15.6">
      <c r="B125" s="189" t="s">
        <v>424</v>
      </c>
    </row>
    <row r="145" spans="2:15">
      <c r="B145" s="297"/>
      <c r="C145" s="297"/>
      <c r="D145" s="297">
        <v>2016</v>
      </c>
      <c r="E145" s="297">
        <v>2017</v>
      </c>
      <c r="F145" s="297">
        <v>2018</v>
      </c>
      <c r="G145" s="297">
        <v>2019</v>
      </c>
      <c r="H145" s="297">
        <v>2020</v>
      </c>
      <c r="I145" s="297">
        <v>2021</v>
      </c>
      <c r="J145" s="297">
        <v>2022</v>
      </c>
      <c r="K145" s="297">
        <v>2023</v>
      </c>
      <c r="L145" s="297">
        <v>2024</v>
      </c>
      <c r="M145" s="297">
        <v>2025</v>
      </c>
      <c r="N145" s="297">
        <v>2026</v>
      </c>
      <c r="O145" s="297">
        <v>2027</v>
      </c>
    </row>
    <row r="146" spans="2:15">
      <c r="B146" s="269" t="s">
        <v>290</v>
      </c>
      <c r="D146" s="277">
        <f>'Products x speed'!E60+'Products x speed'!E62</f>
        <v>0</v>
      </c>
      <c r="E146" s="277">
        <f>'Products x speed'!F60+'Products x speed'!F62</f>
        <v>0</v>
      </c>
      <c r="F146" s="277">
        <f>'Products x speed'!G60+'Products x speed'!G62</f>
        <v>1000</v>
      </c>
      <c r="G146" s="277">
        <f>'Products x speed'!H60+'Products x speed'!H62</f>
        <v>0</v>
      </c>
      <c r="H146" s="277">
        <f>'Products x speed'!I60+'Products x speed'!I62</f>
        <v>0</v>
      </c>
      <c r="I146" s="277">
        <f>'Products x speed'!J60+'Products x speed'!J62</f>
        <v>0</v>
      </c>
      <c r="J146" s="277">
        <f>'Products x speed'!K60+'Products x speed'!K62</f>
        <v>0</v>
      </c>
      <c r="K146" s="277">
        <f>'Products x speed'!L60+'Products x speed'!L62</f>
        <v>0</v>
      </c>
      <c r="L146" s="277">
        <f>'Products x speed'!M60+'Products x speed'!M62</f>
        <v>0</v>
      </c>
      <c r="M146" s="277">
        <f>'Products x speed'!N60+'Products x speed'!N62</f>
        <v>0</v>
      </c>
      <c r="N146" s="277">
        <f>'Products x speed'!O60+'Products x speed'!O62</f>
        <v>0</v>
      </c>
      <c r="O146" s="277">
        <f>'Products x speed'!P60+'Products x speed'!P62</f>
        <v>0</v>
      </c>
    </row>
    <row r="147" spans="2:15">
      <c r="B147" s="269" t="s">
        <v>291</v>
      </c>
      <c r="D147" s="277">
        <f>'Products x speed'!E65+'Products x speed'!E68</f>
        <v>0</v>
      </c>
      <c r="E147" s="277">
        <f>'Products x speed'!F65+'Products x speed'!F68</f>
        <v>0</v>
      </c>
      <c r="F147" s="277">
        <f>'Products x speed'!G65+'Products x speed'!G68</f>
        <v>35000</v>
      </c>
      <c r="G147" s="277">
        <f>'Products x speed'!H65+'Products x speed'!H68</f>
        <v>0</v>
      </c>
      <c r="H147" s="277">
        <f>'Products x speed'!I65+'Products x speed'!I68</f>
        <v>0</v>
      </c>
      <c r="I147" s="277">
        <f>'Products x speed'!J65+'Products x speed'!J68</f>
        <v>0</v>
      </c>
      <c r="J147" s="277">
        <f>'Products x speed'!K65+'Products x speed'!K68</f>
        <v>0</v>
      </c>
      <c r="K147" s="277">
        <f>'Products x speed'!L65+'Products x speed'!L68</f>
        <v>0</v>
      </c>
      <c r="L147" s="277">
        <f>'Products x speed'!M65+'Products x speed'!M68</f>
        <v>0</v>
      </c>
      <c r="M147" s="277">
        <f>'Products x speed'!N65+'Products x speed'!N68</f>
        <v>0</v>
      </c>
      <c r="N147" s="277">
        <f>'Products x speed'!O65+'Products x speed'!O68</f>
        <v>0</v>
      </c>
      <c r="O147" s="277">
        <f>'Products x speed'!P65+'Products x speed'!P68</f>
        <v>0</v>
      </c>
    </row>
    <row r="148" spans="2:15">
      <c r="B148" s="269" t="s">
        <v>292</v>
      </c>
      <c r="D148" s="277">
        <f>SUM('Products x speed'!E66:E70)</f>
        <v>0</v>
      </c>
      <c r="E148" s="277">
        <f>SUM('Products x speed'!F66:F70)</f>
        <v>89</v>
      </c>
      <c r="F148" s="277">
        <f>SUM('Products x speed'!G66:G70)</f>
        <v>16000</v>
      </c>
      <c r="G148" s="277">
        <f>SUM('Products x speed'!H66:H70)</f>
        <v>0</v>
      </c>
      <c r="H148" s="277">
        <f>SUM('Products x speed'!I66:I70)</f>
        <v>0</v>
      </c>
      <c r="I148" s="277">
        <f>SUM('Products x speed'!J66:J70)</f>
        <v>0</v>
      </c>
      <c r="J148" s="277">
        <f>SUM('Products x speed'!K66:K70)</f>
        <v>0</v>
      </c>
      <c r="K148" s="277">
        <f>SUM('Products x speed'!L66:L70)</f>
        <v>0</v>
      </c>
      <c r="L148" s="277">
        <f>SUM('Products x speed'!M66:M70)</f>
        <v>0</v>
      </c>
      <c r="M148" s="277">
        <f>SUM('Products x speed'!N66:N70)</f>
        <v>0</v>
      </c>
      <c r="N148" s="277">
        <f>SUM('Products x speed'!O66:O70)</f>
        <v>0</v>
      </c>
      <c r="O148" s="277">
        <f>SUM('Products x speed'!P66:P70)</f>
        <v>0</v>
      </c>
    </row>
    <row r="149" spans="2:15">
      <c r="B149" s="269" t="s">
        <v>423</v>
      </c>
      <c r="H149" s="277">
        <f>Summary!G864</f>
        <v>0</v>
      </c>
      <c r="I149" s="277">
        <f>Summary!H864</f>
        <v>0</v>
      </c>
      <c r="J149" s="277">
        <f>Summary!I864</f>
        <v>0</v>
      </c>
      <c r="K149" s="277">
        <f>Summary!J864</f>
        <v>0</v>
      </c>
      <c r="L149" s="277">
        <f>Summary!K864</f>
        <v>0</v>
      </c>
      <c r="M149" s="277">
        <f>Summary!L864</f>
        <v>0</v>
      </c>
      <c r="N149" s="277">
        <f>Summary!M864</f>
        <v>0</v>
      </c>
      <c r="O149" s="277">
        <f>Summary!N864</f>
        <v>0</v>
      </c>
    </row>
    <row r="150" spans="2:15">
      <c r="B150" s="269" t="s">
        <v>508</v>
      </c>
      <c r="L150" s="277">
        <f>Summary!K913</f>
        <v>0</v>
      </c>
      <c r="M150" s="277">
        <f>Summary!L913</f>
        <v>0</v>
      </c>
      <c r="N150" s="277">
        <f>Summary!M913</f>
        <v>0</v>
      </c>
      <c r="O150" s="277">
        <f>Summary!N913</f>
        <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2:V260"/>
  <sheetViews>
    <sheetView showGridLines="0" zoomScale="70" zoomScaleNormal="70" zoomScalePageLayoutView="70" workbookViewId="0">
      <pane xSplit="4" ySplit="6" topLeftCell="E7" activePane="bottomRight" state="frozen"/>
      <selection activeCell="A13" sqref="A13"/>
      <selection pane="topRight" activeCell="A13" sqref="A13"/>
      <selection pane="bottomLeft" activeCell="A13" sqref="A13"/>
      <selection pane="bottomRight"/>
    </sheetView>
  </sheetViews>
  <sheetFormatPr defaultColWidth="8.77734375" defaultRowHeight="13.8"/>
  <cols>
    <col min="1" max="1" width="4.44140625" style="74" customWidth="1"/>
    <col min="2" max="2" width="17.77734375" style="74" customWidth="1"/>
    <col min="3" max="3" width="12.44140625" style="74" customWidth="1"/>
    <col min="4" max="4" width="17.21875" style="74" customWidth="1"/>
    <col min="5" max="6" width="13.44140625" style="74" bestFit="1" customWidth="1"/>
    <col min="7" max="16" width="12" style="74" customWidth="1"/>
    <col min="17" max="17" width="27.77734375" style="74" customWidth="1"/>
    <col min="18" max="18" width="22.21875" style="74" customWidth="1"/>
    <col min="19" max="19" width="10.77734375" style="74" bestFit="1" customWidth="1"/>
    <col min="20" max="24" width="8.77734375" style="74"/>
    <col min="25" max="32" width="10.44140625" style="74" customWidth="1"/>
    <col min="33" max="16384" width="8.77734375" style="74"/>
  </cols>
  <sheetData>
    <row r="2" spans="2:22" ht="23.4">
      <c r="B2" s="6" t="str">
        <f>Introduction!$B$2</f>
        <v>LightCounting Ethernet Transceivers Forecast</v>
      </c>
      <c r="C2" s="56"/>
      <c r="D2" s="56"/>
      <c r="Q2" s="74" t="s">
        <v>14</v>
      </c>
      <c r="U2" s="12"/>
      <c r="V2" s="12"/>
    </row>
    <row r="3" spans="2:22" ht="15.6">
      <c r="B3" s="37" t="str">
        <f>Introduction!$B$3</f>
        <v>March 2022 - sample spreadsheet</v>
      </c>
    </row>
    <row r="4" spans="2:22" ht="18">
      <c r="B4" s="6" t="s">
        <v>97</v>
      </c>
      <c r="C4" s="56"/>
      <c r="D4" s="56"/>
      <c r="E4" s="76"/>
      <c r="F4" s="76"/>
      <c r="G4" s="76"/>
      <c r="H4" s="76"/>
      <c r="I4" s="76"/>
      <c r="J4" s="76"/>
      <c r="K4" s="76"/>
      <c r="L4" s="76"/>
      <c r="M4" s="76"/>
      <c r="N4" s="76"/>
      <c r="O4" s="76"/>
      <c r="P4" s="76"/>
    </row>
    <row r="5" spans="2:22" ht="14.4">
      <c r="B5" s="75"/>
    </row>
    <row r="6" spans="2:22">
      <c r="B6" s="254" t="s">
        <v>32</v>
      </c>
      <c r="C6" s="255" t="s">
        <v>31</v>
      </c>
      <c r="D6" s="256" t="s">
        <v>33</v>
      </c>
      <c r="E6" s="156">
        <v>2016</v>
      </c>
      <c r="F6" s="156">
        <v>2017</v>
      </c>
      <c r="G6" s="156">
        <v>2018</v>
      </c>
      <c r="H6" s="156">
        <v>2019</v>
      </c>
      <c r="I6" s="156">
        <v>2020</v>
      </c>
      <c r="J6" s="156">
        <v>2021</v>
      </c>
      <c r="K6" s="156">
        <v>2022</v>
      </c>
      <c r="L6" s="156">
        <v>2023</v>
      </c>
      <c r="M6" s="156">
        <v>2024</v>
      </c>
      <c r="N6" s="156">
        <v>2025</v>
      </c>
      <c r="O6" s="156">
        <v>2026</v>
      </c>
      <c r="P6" s="156">
        <v>2027</v>
      </c>
    </row>
    <row r="7" spans="2:22" ht="21">
      <c r="B7" s="14" t="s">
        <v>18</v>
      </c>
      <c r="E7" s="13" t="s">
        <v>17</v>
      </c>
    </row>
    <row r="8" spans="2:22">
      <c r="B8" s="77" t="s">
        <v>32</v>
      </c>
      <c r="C8" s="77" t="s">
        <v>31</v>
      </c>
      <c r="D8" s="77" t="s">
        <v>33</v>
      </c>
      <c r="E8" s="78">
        <v>2016</v>
      </c>
      <c r="F8" s="78">
        <v>2017</v>
      </c>
      <c r="G8" s="78">
        <v>2018</v>
      </c>
      <c r="H8" s="78">
        <v>2019</v>
      </c>
      <c r="I8" s="78">
        <v>2020</v>
      </c>
      <c r="J8" s="78">
        <v>2021</v>
      </c>
      <c r="K8" s="78">
        <v>2022</v>
      </c>
      <c r="L8" s="78">
        <v>2023</v>
      </c>
      <c r="M8" s="78">
        <v>2024</v>
      </c>
      <c r="N8" s="78">
        <v>2025</v>
      </c>
      <c r="O8" s="78">
        <v>2026</v>
      </c>
      <c r="P8" s="78">
        <v>2027</v>
      </c>
      <c r="Q8" s="97" t="s">
        <v>64</v>
      </c>
    </row>
    <row r="9" spans="2:22">
      <c r="B9" s="79" t="str">
        <f>Products!B36</f>
        <v>1G</v>
      </c>
      <c r="C9" s="80" t="str">
        <f>Products!C36</f>
        <v>500 m</v>
      </c>
      <c r="D9" s="81" t="str">
        <f>Products!D36</f>
        <v>SFP</v>
      </c>
      <c r="E9" s="82">
        <v>0</v>
      </c>
      <c r="F9" s="82">
        <v>0</v>
      </c>
      <c r="G9" s="82">
        <v>0</v>
      </c>
      <c r="H9" s="82"/>
      <c r="I9" s="82"/>
      <c r="J9" s="82"/>
      <c r="K9" s="82"/>
      <c r="L9" s="82"/>
      <c r="M9" s="82"/>
      <c r="N9" s="82"/>
      <c r="O9" s="82"/>
      <c r="P9" s="82"/>
      <c r="Q9" s="41" t="str">
        <f t="shared" ref="Q9:Q40" si="0">B9&amp;"_"&amp;C9&amp;"_"&amp;D9</f>
        <v>1G_500 m_SFP</v>
      </c>
    </row>
    <row r="10" spans="2:22">
      <c r="B10" s="87" t="str">
        <f>Products!B37</f>
        <v>1G</v>
      </c>
      <c r="C10" s="88" t="str">
        <f>Products!C37</f>
        <v>10 km</v>
      </c>
      <c r="D10" s="89" t="str">
        <f>Products!D37</f>
        <v>SFP</v>
      </c>
      <c r="E10" s="90">
        <v>1930504.0524000004</v>
      </c>
      <c r="F10" s="90">
        <v>1538916.2400000002</v>
      </c>
      <c r="G10" s="90">
        <v>1961265.2500000005</v>
      </c>
      <c r="H10" s="90"/>
      <c r="I10" s="90"/>
      <c r="J10" s="90"/>
      <c r="K10" s="90"/>
      <c r="L10" s="90"/>
      <c r="M10" s="90"/>
      <c r="N10" s="90"/>
      <c r="O10" s="90"/>
      <c r="P10" s="90"/>
      <c r="Q10" s="41" t="str">
        <f t="shared" si="0"/>
        <v>1G_10 km_SFP</v>
      </c>
    </row>
    <row r="11" spans="2:22">
      <c r="B11" s="87" t="str">
        <f>Products!B38</f>
        <v>1G</v>
      </c>
      <c r="C11" s="88" t="str">
        <f>Products!C38</f>
        <v>40 km</v>
      </c>
      <c r="D11" s="89" t="str">
        <f>Products!D38</f>
        <v>SFP</v>
      </c>
      <c r="E11" s="90">
        <v>281281.8125</v>
      </c>
      <c r="F11" s="90">
        <v>238750.2</v>
      </c>
      <c r="G11" s="90">
        <v>508066.5</v>
      </c>
      <c r="H11" s="90"/>
      <c r="I11" s="90"/>
      <c r="J11" s="90"/>
      <c r="K11" s="90"/>
      <c r="L11" s="90"/>
      <c r="M11" s="90"/>
      <c r="N11" s="90"/>
      <c r="O11" s="90"/>
      <c r="P11" s="90"/>
      <c r="Q11" s="41" t="str">
        <f t="shared" si="0"/>
        <v>1G_40 km_SFP</v>
      </c>
    </row>
    <row r="12" spans="2:22">
      <c r="B12" s="87" t="str">
        <f>Products!B39</f>
        <v>1G</v>
      </c>
      <c r="C12" s="88" t="str">
        <f>Products!C39</f>
        <v>80 km</v>
      </c>
      <c r="D12" s="89" t="str">
        <f>Products!D39</f>
        <v>SFP</v>
      </c>
      <c r="E12" s="90">
        <v>115175.5</v>
      </c>
      <c r="F12" s="90">
        <v>105559.64999999997</v>
      </c>
      <c r="G12" s="90">
        <v>515486</v>
      </c>
      <c r="H12" s="90"/>
      <c r="I12" s="90"/>
      <c r="J12" s="90"/>
      <c r="K12" s="90"/>
      <c r="L12" s="90"/>
      <c r="M12" s="90"/>
      <c r="N12" s="90"/>
      <c r="O12" s="90"/>
      <c r="P12" s="90"/>
      <c r="Q12" s="41" t="str">
        <f t="shared" si="0"/>
        <v>1G_80 km_SFP</v>
      </c>
    </row>
    <row r="13" spans="2:22">
      <c r="B13" s="414" t="str">
        <f>Products!B40</f>
        <v>1G &amp; Fast Ethernet</v>
      </c>
      <c r="C13" s="84" t="str">
        <f>Products!C40</f>
        <v>Various</v>
      </c>
      <c r="D13" s="85" t="str">
        <f>Products!D40</f>
        <v>Legacy/discontinued</v>
      </c>
      <c r="E13" s="691">
        <v>100000</v>
      </c>
      <c r="F13" s="86">
        <v>0</v>
      </c>
      <c r="G13" s="86">
        <v>0</v>
      </c>
      <c r="H13" s="86"/>
      <c r="I13" s="86"/>
      <c r="J13" s="86"/>
      <c r="K13" s="86"/>
      <c r="L13" s="86"/>
      <c r="M13" s="86"/>
      <c r="N13" s="86"/>
      <c r="O13" s="86"/>
      <c r="P13" s="86"/>
      <c r="Q13" s="58" t="str">
        <f t="shared" si="0"/>
        <v>1G &amp; Fast Ethernet_Various_Legacy/discontinued</v>
      </c>
    </row>
    <row r="14" spans="2:22">
      <c r="B14" s="87" t="str">
        <f>Products!B41</f>
        <v>10G</v>
      </c>
      <c r="C14" s="88" t="str">
        <f>Products!C41</f>
        <v>300 m</v>
      </c>
      <c r="D14" s="88" t="str">
        <f>Products!D41</f>
        <v>XFP</v>
      </c>
      <c r="E14" s="90">
        <v>0</v>
      </c>
      <c r="F14" s="90">
        <v>0</v>
      </c>
      <c r="G14" s="90">
        <v>0</v>
      </c>
      <c r="H14" s="90"/>
      <c r="I14" s="90"/>
      <c r="J14" s="90"/>
      <c r="K14" s="90"/>
      <c r="L14" s="90"/>
      <c r="M14" s="90"/>
      <c r="N14" s="90"/>
      <c r="O14" s="90"/>
      <c r="P14" s="90"/>
      <c r="Q14" s="41" t="str">
        <f t="shared" si="0"/>
        <v>10G_300 m_XFP</v>
      </c>
    </row>
    <row r="15" spans="2:22">
      <c r="B15" s="87" t="str">
        <f>Products!B42</f>
        <v>10G</v>
      </c>
      <c r="C15" s="88" t="str">
        <f>Products!C42</f>
        <v>300 m</v>
      </c>
      <c r="D15" s="88" t="str">
        <f>Products!D42</f>
        <v>SFP+</v>
      </c>
      <c r="E15" s="90">
        <v>0</v>
      </c>
      <c r="F15" s="90">
        <v>0</v>
      </c>
      <c r="G15" s="90">
        <v>0</v>
      </c>
      <c r="H15" s="90"/>
      <c r="I15" s="90"/>
      <c r="J15" s="90"/>
      <c r="K15" s="90"/>
      <c r="L15" s="90"/>
      <c r="M15" s="90"/>
      <c r="N15" s="90"/>
      <c r="O15" s="90"/>
      <c r="P15" s="90"/>
      <c r="Q15" s="41" t="str">
        <f t="shared" si="0"/>
        <v>10G_300 m_SFP+</v>
      </c>
    </row>
    <row r="16" spans="2:22">
      <c r="B16" s="87" t="str">
        <f>Products!B43</f>
        <v>10G LRM</v>
      </c>
      <c r="C16" s="88" t="str">
        <f>Products!C43</f>
        <v>220 m</v>
      </c>
      <c r="D16" s="88" t="str">
        <f>Products!D43</f>
        <v>SFP+</v>
      </c>
      <c r="E16" s="90">
        <v>0</v>
      </c>
      <c r="F16" s="90">
        <v>0</v>
      </c>
      <c r="G16" s="90">
        <v>0</v>
      </c>
      <c r="H16" s="90"/>
      <c r="I16" s="90"/>
      <c r="J16" s="90"/>
      <c r="K16" s="90"/>
      <c r="L16" s="90"/>
      <c r="M16" s="90"/>
      <c r="N16" s="90"/>
      <c r="O16" s="90"/>
      <c r="P16" s="90"/>
      <c r="Q16" s="41" t="str">
        <f t="shared" si="0"/>
        <v>10G LRM_220 m_SFP+</v>
      </c>
    </row>
    <row r="17" spans="2:17">
      <c r="B17" s="87" t="str">
        <f>Products!B44</f>
        <v>10G</v>
      </c>
      <c r="C17" s="88" t="str">
        <f>Products!C44</f>
        <v>10 km</v>
      </c>
      <c r="D17" s="88" t="str">
        <f>Products!D44</f>
        <v>XFP</v>
      </c>
      <c r="E17" s="90">
        <v>85589.7</v>
      </c>
      <c r="F17" s="90">
        <v>45666.6</v>
      </c>
      <c r="G17" s="90">
        <v>138882.79999999999</v>
      </c>
      <c r="H17" s="90"/>
      <c r="I17" s="90"/>
      <c r="J17" s="90"/>
      <c r="K17" s="90"/>
      <c r="L17" s="90"/>
      <c r="M17" s="90"/>
      <c r="N17" s="90"/>
      <c r="O17" s="90"/>
      <c r="P17" s="90"/>
      <c r="Q17" s="41" t="str">
        <f t="shared" si="0"/>
        <v>10G_10 km_XFP</v>
      </c>
    </row>
    <row r="18" spans="2:17">
      <c r="B18" s="87" t="str">
        <f>Products!B45</f>
        <v>10G</v>
      </c>
      <c r="C18" s="88" t="str">
        <f>Products!C45</f>
        <v>10 km</v>
      </c>
      <c r="D18" s="88" t="str">
        <f>Products!D45</f>
        <v>SFP+</v>
      </c>
      <c r="E18" s="90">
        <v>1235201.9136132007</v>
      </c>
      <c r="F18" s="90">
        <v>1277680.9784692547</v>
      </c>
      <c r="G18" s="90">
        <v>1722213.75</v>
      </c>
      <c r="H18" s="90"/>
      <c r="I18" s="90"/>
      <c r="J18" s="90"/>
      <c r="K18" s="90"/>
      <c r="L18" s="90"/>
      <c r="M18" s="90"/>
      <c r="N18" s="90"/>
      <c r="O18" s="90"/>
      <c r="P18" s="90"/>
      <c r="Q18" s="41" t="str">
        <f t="shared" si="0"/>
        <v>10G_10 km_SFP+</v>
      </c>
    </row>
    <row r="19" spans="2:17">
      <c r="B19" s="87" t="str">
        <f>Products!B46</f>
        <v>10G</v>
      </c>
      <c r="C19" s="88" t="str">
        <f>Products!C46</f>
        <v>40 km</v>
      </c>
      <c r="D19" s="88" t="str">
        <f>Products!D46</f>
        <v>XFP</v>
      </c>
      <c r="E19" s="90">
        <v>122103.20000000001</v>
      </c>
      <c r="F19" s="90">
        <v>85787.200000000012</v>
      </c>
      <c r="G19" s="90">
        <v>125015.20000000001</v>
      </c>
      <c r="H19" s="90"/>
      <c r="I19" s="90"/>
      <c r="J19" s="90"/>
      <c r="K19" s="90"/>
      <c r="L19" s="90"/>
      <c r="M19" s="90"/>
      <c r="N19" s="90"/>
      <c r="O19" s="90"/>
      <c r="P19" s="90"/>
      <c r="Q19" s="41" t="str">
        <f t="shared" si="0"/>
        <v>10G_40 km_XFP</v>
      </c>
    </row>
    <row r="20" spans="2:17">
      <c r="B20" s="87" t="str">
        <f>Products!B47</f>
        <v>10G</v>
      </c>
      <c r="C20" s="88" t="str">
        <f>Products!C47</f>
        <v>40 km</v>
      </c>
      <c r="D20" s="88" t="str">
        <f>Products!D47</f>
        <v>SFP+</v>
      </c>
      <c r="E20" s="90">
        <v>180536.47499999998</v>
      </c>
      <c r="F20" s="90">
        <v>180823.01999999996</v>
      </c>
      <c r="G20" s="90">
        <v>379296.11999999994</v>
      </c>
      <c r="H20" s="90"/>
      <c r="I20" s="90"/>
      <c r="J20" s="90"/>
      <c r="K20" s="90"/>
      <c r="L20" s="90"/>
      <c r="M20" s="90"/>
      <c r="N20" s="90"/>
      <c r="O20" s="90"/>
      <c r="P20" s="90"/>
      <c r="Q20" s="41" t="str">
        <f t="shared" si="0"/>
        <v>10G_40 km_SFP+</v>
      </c>
    </row>
    <row r="21" spans="2:17">
      <c r="B21" s="87" t="str">
        <f>Products!B48</f>
        <v>10G</v>
      </c>
      <c r="C21" s="88" t="str">
        <f>Products!C48</f>
        <v>80 km</v>
      </c>
      <c r="D21" s="88" t="str">
        <f>Products!D48</f>
        <v>XFP</v>
      </c>
      <c r="E21" s="90">
        <v>68753</v>
      </c>
      <c r="F21" s="90">
        <v>9455</v>
      </c>
      <c r="G21" s="90">
        <v>9982</v>
      </c>
      <c r="H21" s="90"/>
      <c r="I21" s="90"/>
      <c r="J21" s="90"/>
      <c r="K21" s="90"/>
      <c r="L21" s="90"/>
      <c r="M21" s="90"/>
      <c r="N21" s="90"/>
      <c r="O21" s="90"/>
      <c r="P21" s="90"/>
      <c r="Q21" s="41" t="str">
        <f t="shared" si="0"/>
        <v>10G_80 km_XFP</v>
      </c>
    </row>
    <row r="22" spans="2:17">
      <c r="B22" s="87" t="str">
        <f>Products!B49</f>
        <v>10G</v>
      </c>
      <c r="C22" s="88" t="str">
        <f>Products!C49</f>
        <v>80 km</v>
      </c>
      <c r="D22" s="88" t="str">
        <f>Products!D49</f>
        <v>SFP+</v>
      </c>
      <c r="E22" s="90">
        <v>43870.75</v>
      </c>
      <c r="F22" s="90">
        <v>63032.5</v>
      </c>
      <c r="G22" s="90">
        <v>137379.5</v>
      </c>
      <c r="H22" s="90"/>
      <c r="I22" s="90"/>
      <c r="J22" s="90"/>
      <c r="K22" s="90"/>
      <c r="L22" s="90"/>
      <c r="M22" s="90"/>
      <c r="N22" s="90"/>
      <c r="O22" s="90"/>
      <c r="P22" s="90"/>
      <c r="Q22" s="41" t="str">
        <f t="shared" si="0"/>
        <v>10G_80 km_SFP+</v>
      </c>
    </row>
    <row r="23" spans="2:17">
      <c r="B23" s="87" t="str">
        <f>Products!B50</f>
        <v>10G</v>
      </c>
      <c r="C23" s="88" t="str">
        <f>Products!C50</f>
        <v>Various</v>
      </c>
      <c r="D23" s="88" t="str">
        <f>Products!D50</f>
        <v>Legacy/discontinued</v>
      </c>
      <c r="E23" s="90">
        <v>32526.5</v>
      </c>
      <c r="F23" s="90">
        <v>12164.5</v>
      </c>
      <c r="G23" s="90">
        <v>1750</v>
      </c>
      <c r="H23" s="90"/>
      <c r="I23" s="90"/>
      <c r="J23" s="90"/>
      <c r="K23" s="90"/>
      <c r="L23" s="90"/>
      <c r="M23" s="90"/>
      <c r="N23" s="90"/>
      <c r="O23" s="90"/>
      <c r="P23" s="90"/>
      <c r="Q23" s="58" t="str">
        <f t="shared" si="0"/>
        <v>10G_Various_Legacy/discontinued</v>
      </c>
    </row>
    <row r="24" spans="2:17">
      <c r="B24" s="79" t="str">
        <f>Products!B51</f>
        <v>25G SR, eSR</v>
      </c>
      <c r="C24" s="80" t="str">
        <f>Products!C51</f>
        <v>100 - 300 m</v>
      </c>
      <c r="D24" s="81" t="str">
        <f>Products!D51</f>
        <v>SFP28</v>
      </c>
      <c r="E24" s="261">
        <v>0</v>
      </c>
      <c r="F24" s="261">
        <v>0</v>
      </c>
      <c r="G24" s="261">
        <v>0</v>
      </c>
      <c r="H24" s="261"/>
      <c r="I24" s="261"/>
      <c r="J24" s="261"/>
      <c r="K24" s="261"/>
      <c r="L24" s="261"/>
      <c r="M24" s="261"/>
      <c r="N24" s="261"/>
      <c r="O24" s="261"/>
      <c r="P24" s="261"/>
      <c r="Q24" s="57" t="str">
        <f t="shared" si="0"/>
        <v>25G SR, eSR_100 - 300 m_SFP28</v>
      </c>
    </row>
    <row r="25" spans="2:17">
      <c r="B25" s="87" t="str">
        <f>Products!B52</f>
        <v>25G LR</v>
      </c>
      <c r="C25" s="88" t="str">
        <f>Products!C52</f>
        <v>10 km</v>
      </c>
      <c r="D25" s="89" t="str">
        <f>Products!D52</f>
        <v>SFP28</v>
      </c>
      <c r="E25" s="262">
        <v>1364.3999999999999</v>
      </c>
      <c r="F25" s="262">
        <v>5238.5999999999995</v>
      </c>
      <c r="G25" s="262">
        <v>17012.7</v>
      </c>
      <c r="H25" s="262"/>
      <c r="I25" s="262"/>
      <c r="J25" s="262"/>
      <c r="K25" s="262"/>
      <c r="L25" s="262"/>
      <c r="M25" s="262"/>
      <c r="N25" s="262"/>
      <c r="O25" s="262"/>
      <c r="P25" s="262"/>
      <c r="Q25" s="41" t="str">
        <f t="shared" si="0"/>
        <v>25G LR_10 km_SFP28</v>
      </c>
    </row>
    <row r="26" spans="2:17">
      <c r="B26" s="83" t="str">
        <f>Products!B53</f>
        <v>25G ER</v>
      </c>
      <c r="C26" s="84" t="str">
        <f>Products!C53</f>
        <v>40 km</v>
      </c>
      <c r="D26" s="85" t="str">
        <f>Products!D53</f>
        <v>SFP28</v>
      </c>
      <c r="E26" s="263">
        <v>0</v>
      </c>
      <c r="F26" s="263">
        <v>0</v>
      </c>
      <c r="G26" s="263">
        <v>0</v>
      </c>
      <c r="H26" s="263"/>
      <c r="I26" s="263"/>
      <c r="J26" s="263"/>
      <c r="K26" s="263"/>
      <c r="L26" s="263"/>
      <c r="M26" s="263"/>
      <c r="N26" s="263"/>
      <c r="O26" s="263"/>
      <c r="P26" s="263"/>
      <c r="Q26" s="58" t="str">
        <f t="shared" si="0"/>
        <v>25G ER_40 km_SFP28</v>
      </c>
    </row>
    <row r="27" spans="2:17">
      <c r="B27" s="87" t="str">
        <f>Products!B54</f>
        <v>40G SR4</v>
      </c>
      <c r="C27" s="88" t="str">
        <f>Products!C54</f>
        <v>100 m</v>
      </c>
      <c r="D27" s="89" t="str">
        <f>Products!D54</f>
        <v>QSFP+</v>
      </c>
      <c r="E27" s="82">
        <v>31996.75</v>
      </c>
      <c r="F27" s="82">
        <v>39690.600000000006</v>
      </c>
      <c r="G27" s="82">
        <v>48031.975000000006</v>
      </c>
      <c r="H27" s="82"/>
      <c r="I27" s="82"/>
      <c r="J27" s="82"/>
      <c r="K27" s="82"/>
      <c r="L27" s="82"/>
      <c r="M27" s="82"/>
      <c r="N27" s="82"/>
      <c r="O27" s="82"/>
      <c r="P27" s="82"/>
      <c r="Q27" s="41" t="str">
        <f t="shared" si="0"/>
        <v>40G SR4_100 m_QSFP+</v>
      </c>
    </row>
    <row r="28" spans="2:17">
      <c r="B28" s="87" t="str">
        <f>Products!B55</f>
        <v>40G MM duplex</v>
      </c>
      <c r="C28" s="88" t="str">
        <f>Products!C55</f>
        <v>100 m</v>
      </c>
      <c r="D28" s="89" t="str">
        <f>Products!D55</f>
        <v>QSFP+</v>
      </c>
      <c r="E28" s="90">
        <v>0</v>
      </c>
      <c r="F28" s="90">
        <v>0</v>
      </c>
      <c r="G28" s="90">
        <v>0</v>
      </c>
      <c r="H28" s="90"/>
      <c r="I28" s="90"/>
      <c r="J28" s="90"/>
      <c r="K28" s="90"/>
      <c r="L28" s="90"/>
      <c r="M28" s="90"/>
      <c r="N28" s="90"/>
      <c r="O28" s="90"/>
      <c r="P28" s="90"/>
      <c r="Q28" s="41" t="str">
        <f t="shared" si="0"/>
        <v>40G MM duplex_100 m_QSFP+</v>
      </c>
    </row>
    <row r="29" spans="2:17">
      <c r="B29" s="87" t="str">
        <f>Products!B56</f>
        <v>40G eSR4</v>
      </c>
      <c r="C29" s="88" t="str">
        <f>Products!C56</f>
        <v>300 m</v>
      </c>
      <c r="D29" s="89" t="str">
        <f>Products!D56</f>
        <v>QSFP+</v>
      </c>
      <c r="E29" s="90">
        <v>13763.45</v>
      </c>
      <c r="F29" s="90">
        <v>23326.75</v>
      </c>
      <c r="G29" s="90">
        <v>24553.350000000002</v>
      </c>
      <c r="H29" s="90"/>
      <c r="I29" s="90"/>
      <c r="J29" s="90"/>
      <c r="K29" s="90"/>
      <c r="L29" s="90"/>
      <c r="M29" s="90"/>
      <c r="N29" s="90"/>
      <c r="O29" s="90"/>
      <c r="P29" s="90"/>
      <c r="Q29" s="41" t="str">
        <f t="shared" si="0"/>
        <v>40G eSR4_300 m_QSFP+</v>
      </c>
    </row>
    <row r="30" spans="2:17">
      <c r="B30" s="87" t="s">
        <v>271</v>
      </c>
      <c r="C30" s="88" t="s">
        <v>44</v>
      </c>
      <c r="D30" s="89" t="s">
        <v>93</v>
      </c>
      <c r="E30" s="187">
        <v>0</v>
      </c>
      <c r="F30" s="187">
        <v>0</v>
      </c>
      <c r="G30" s="187">
        <v>0</v>
      </c>
      <c r="H30" s="187"/>
      <c r="I30" s="187"/>
      <c r="J30" s="187"/>
      <c r="K30" s="187"/>
      <c r="L30" s="187"/>
      <c r="M30" s="187"/>
      <c r="N30" s="187"/>
      <c r="O30" s="187"/>
      <c r="P30" s="187"/>
      <c r="Q30" s="41" t="str">
        <f t="shared" si="0"/>
        <v>40 G PSM4_500 m_QSFP+</v>
      </c>
    </row>
    <row r="31" spans="2:17">
      <c r="B31" s="87" t="str">
        <f>Products!B58</f>
        <v>40G (FR)</v>
      </c>
      <c r="C31" s="88" t="str">
        <f>Products!C58</f>
        <v>2 km</v>
      </c>
      <c r="D31" s="89" t="str">
        <f>Products!D58</f>
        <v>CFP</v>
      </c>
      <c r="E31" s="90">
        <v>791</v>
      </c>
      <c r="F31" s="90">
        <v>402</v>
      </c>
      <c r="G31" s="90">
        <v>0</v>
      </c>
      <c r="H31" s="90"/>
      <c r="I31" s="90"/>
      <c r="J31" s="90"/>
      <c r="K31" s="90"/>
      <c r="L31" s="90"/>
      <c r="M31" s="90"/>
      <c r="N31" s="90"/>
      <c r="O31" s="90"/>
      <c r="P31" s="90"/>
      <c r="Q31" s="41" t="str">
        <f t="shared" si="0"/>
        <v>40G (FR)_2 km_CFP</v>
      </c>
    </row>
    <row r="32" spans="2:17">
      <c r="B32" s="87" t="str">
        <f>Products!B59</f>
        <v>40G (LR4 subspec)</v>
      </c>
      <c r="C32" s="88" t="str">
        <f>Products!C59</f>
        <v>2 km</v>
      </c>
      <c r="D32" s="89" t="str">
        <f>Products!D59</f>
        <v>QSFP+</v>
      </c>
      <c r="E32" s="90">
        <v>0</v>
      </c>
      <c r="F32" s="90">
        <v>0</v>
      </c>
      <c r="G32" s="90">
        <v>0</v>
      </c>
      <c r="H32" s="90"/>
      <c r="I32" s="90"/>
      <c r="J32" s="90"/>
      <c r="K32" s="90"/>
      <c r="L32" s="90"/>
      <c r="M32" s="90"/>
      <c r="N32" s="90"/>
      <c r="O32" s="90"/>
      <c r="P32" s="90"/>
      <c r="Q32" s="41" t="str">
        <f t="shared" si="0"/>
        <v>40G (LR4 subspec)_2 km_QSFP+</v>
      </c>
    </row>
    <row r="33" spans="2:17">
      <c r="B33" s="87" t="str">
        <f>Products!B60</f>
        <v>40G</v>
      </c>
      <c r="C33" s="88" t="str">
        <f>Products!C60</f>
        <v>10 km</v>
      </c>
      <c r="D33" s="89" t="str">
        <f>Products!D60</f>
        <v>CFP</v>
      </c>
      <c r="E33" s="90">
        <v>6322.25</v>
      </c>
      <c r="F33" s="90">
        <v>2703.7</v>
      </c>
      <c r="G33" s="90">
        <v>0</v>
      </c>
      <c r="H33" s="90"/>
      <c r="I33" s="90"/>
      <c r="J33" s="90"/>
      <c r="K33" s="90"/>
      <c r="L33" s="90"/>
      <c r="M33" s="90"/>
      <c r="N33" s="90"/>
      <c r="O33" s="90"/>
      <c r="P33" s="90"/>
      <c r="Q33" s="41" t="str">
        <f t="shared" si="0"/>
        <v>40G_10 km_CFP</v>
      </c>
    </row>
    <row r="34" spans="2:17">
      <c r="B34" s="87" t="str">
        <f>Products!B61</f>
        <v>40G</v>
      </c>
      <c r="C34" s="88" t="str">
        <f>Products!C61</f>
        <v>10 km</v>
      </c>
      <c r="D34" s="89" t="str">
        <f>Products!D61</f>
        <v>QSFP+</v>
      </c>
      <c r="E34" s="90">
        <v>0</v>
      </c>
      <c r="F34" s="90">
        <v>0</v>
      </c>
      <c r="G34" s="90">
        <v>0</v>
      </c>
      <c r="H34" s="90"/>
      <c r="I34" s="90"/>
      <c r="J34" s="90"/>
      <c r="K34" s="90"/>
      <c r="L34" s="90"/>
      <c r="M34" s="90"/>
      <c r="N34" s="90"/>
      <c r="O34" s="90"/>
      <c r="P34" s="90"/>
      <c r="Q34" s="41" t="str">
        <f t="shared" si="0"/>
        <v>40G_10 km_QSFP+</v>
      </c>
    </row>
    <row r="35" spans="2:17">
      <c r="B35" s="83" t="str">
        <f>Products!B62</f>
        <v>40G</v>
      </c>
      <c r="C35" s="84" t="str">
        <f>Products!C62</f>
        <v>40 km</v>
      </c>
      <c r="D35" s="85" t="str">
        <f>Products!D62</f>
        <v>QSFP+</v>
      </c>
      <c r="E35" s="86">
        <v>1468.2</v>
      </c>
      <c r="F35" s="86">
        <v>1249.3599999999999</v>
      </c>
      <c r="G35" s="86">
        <v>1315.8399999999997</v>
      </c>
      <c r="H35" s="86"/>
      <c r="I35" s="86"/>
      <c r="J35" s="86"/>
      <c r="K35" s="86"/>
      <c r="L35" s="86"/>
      <c r="M35" s="86"/>
      <c r="N35" s="86"/>
      <c r="O35" s="86"/>
      <c r="P35" s="86"/>
      <c r="Q35" s="58" t="str">
        <f t="shared" si="0"/>
        <v>40G_40 km_QSFP+</v>
      </c>
    </row>
    <row r="36" spans="2:17">
      <c r="B36" s="79" t="str">
        <f>Products!B63</f>
        <v xml:space="preserve">50G </v>
      </c>
      <c r="C36" s="80" t="str">
        <f>Products!C63</f>
        <v>100 m</v>
      </c>
      <c r="D36" s="81" t="str">
        <f>Products!D63</f>
        <v>all</v>
      </c>
      <c r="E36" s="261">
        <v>0</v>
      </c>
      <c r="F36" s="261">
        <v>0</v>
      </c>
      <c r="G36" s="261">
        <v>0</v>
      </c>
      <c r="H36" s="261"/>
      <c r="I36" s="261"/>
      <c r="J36" s="261"/>
      <c r="K36" s="261"/>
      <c r="L36" s="261"/>
      <c r="M36" s="261"/>
      <c r="N36" s="261"/>
      <c r="O36" s="261"/>
      <c r="P36" s="261"/>
      <c r="Q36" s="57" t="str">
        <f t="shared" si="0"/>
        <v>50G _100 m_all</v>
      </c>
    </row>
    <row r="37" spans="2:17">
      <c r="B37" s="87" t="str">
        <f>Products!B64</f>
        <v xml:space="preserve">50G </v>
      </c>
      <c r="C37" s="88" t="str">
        <f>Products!C64</f>
        <v>2 km</v>
      </c>
      <c r="D37" s="89" t="str">
        <f>Products!D64</f>
        <v>all</v>
      </c>
      <c r="E37" s="262">
        <v>0</v>
      </c>
      <c r="F37" s="262">
        <v>0</v>
      </c>
      <c r="G37" s="262">
        <v>0</v>
      </c>
      <c r="H37" s="262"/>
      <c r="I37" s="262"/>
      <c r="J37" s="262"/>
      <c r="K37" s="262"/>
      <c r="L37" s="262"/>
      <c r="M37" s="262"/>
      <c r="N37" s="262"/>
      <c r="O37" s="262"/>
      <c r="P37" s="262"/>
      <c r="Q37" s="41" t="str">
        <f t="shared" si="0"/>
        <v>50G _2 km_all</v>
      </c>
    </row>
    <row r="38" spans="2:17">
      <c r="B38" s="87" t="str">
        <f>Products!B65</f>
        <v xml:space="preserve">50G </v>
      </c>
      <c r="C38" s="88" t="str">
        <f>Products!C65</f>
        <v>10 km</v>
      </c>
      <c r="D38" s="89" t="str">
        <f>Products!D65</f>
        <v>all</v>
      </c>
      <c r="E38" s="262">
        <v>0</v>
      </c>
      <c r="F38" s="262">
        <v>0</v>
      </c>
      <c r="G38" s="262">
        <v>0</v>
      </c>
      <c r="H38" s="262"/>
      <c r="I38" s="262"/>
      <c r="J38" s="262"/>
      <c r="K38" s="262"/>
      <c r="L38" s="262"/>
      <c r="M38" s="262"/>
      <c r="N38" s="262"/>
      <c r="O38" s="262"/>
      <c r="P38" s="262"/>
      <c r="Q38" s="41" t="str">
        <f t="shared" si="0"/>
        <v>50G _10 km_all</v>
      </c>
    </row>
    <row r="39" spans="2:17">
      <c r="B39" s="87" t="str">
        <f>Products!B66</f>
        <v xml:space="preserve">50G </v>
      </c>
      <c r="C39" s="88" t="str">
        <f>Products!C66</f>
        <v>40 km</v>
      </c>
      <c r="D39" s="89" t="str">
        <f>Products!D66</f>
        <v>all</v>
      </c>
      <c r="E39" s="262">
        <v>0</v>
      </c>
      <c r="F39" s="262">
        <v>0</v>
      </c>
      <c r="G39" s="262">
        <v>0</v>
      </c>
      <c r="H39" s="262"/>
      <c r="I39" s="262"/>
      <c r="J39" s="262"/>
      <c r="K39" s="262"/>
      <c r="L39" s="262"/>
      <c r="M39" s="262"/>
      <c r="N39" s="262"/>
      <c r="O39" s="262"/>
      <c r="P39" s="262"/>
      <c r="Q39" s="41" t="str">
        <f t="shared" si="0"/>
        <v>50G _40 km_all</v>
      </c>
    </row>
    <row r="40" spans="2:17">
      <c r="B40" s="87" t="str">
        <f>Products!B67</f>
        <v xml:space="preserve">50G </v>
      </c>
      <c r="C40" s="88" t="str">
        <f>Products!C67</f>
        <v>80 km</v>
      </c>
      <c r="D40" s="89" t="str">
        <f>Products!D67</f>
        <v>all</v>
      </c>
      <c r="E40" s="262">
        <v>0</v>
      </c>
      <c r="F40" s="262">
        <v>0</v>
      </c>
      <c r="G40" s="262">
        <v>0</v>
      </c>
      <c r="H40" s="262"/>
      <c r="I40" s="262"/>
      <c r="J40" s="262"/>
      <c r="K40" s="262"/>
      <c r="L40" s="262"/>
      <c r="M40" s="262"/>
      <c r="N40" s="262"/>
      <c r="O40" s="262"/>
      <c r="P40" s="262"/>
      <c r="Q40" s="41" t="str">
        <f t="shared" si="0"/>
        <v>50G _80 km_all</v>
      </c>
    </row>
    <row r="41" spans="2:17">
      <c r="B41" s="79" t="str">
        <f>Products!B68</f>
        <v>100G SR4</v>
      </c>
      <c r="C41" s="80" t="str">
        <f>Products!C68</f>
        <v>100 m</v>
      </c>
      <c r="D41" s="81" t="str">
        <f>Products!D68</f>
        <v>CFP</v>
      </c>
      <c r="E41" s="261">
        <v>14816</v>
      </c>
      <c r="F41" s="261">
        <v>6913</v>
      </c>
      <c r="G41" s="261">
        <v>5094</v>
      </c>
      <c r="H41" s="261"/>
      <c r="I41" s="261"/>
      <c r="J41" s="261"/>
      <c r="K41" s="261"/>
      <c r="L41" s="261"/>
      <c r="M41" s="261"/>
      <c r="N41" s="261"/>
      <c r="O41" s="261"/>
      <c r="P41" s="261"/>
      <c r="Q41" s="57" t="str">
        <f t="shared" ref="Q41:Q72" si="1">B41&amp;"_"&amp;C41&amp;"_"&amp;D41</f>
        <v>100G SR4_100 m_CFP</v>
      </c>
    </row>
    <row r="42" spans="2:17">
      <c r="B42" s="87" t="str">
        <f>Products!B69</f>
        <v>100G SR4</v>
      </c>
      <c r="C42" s="88" t="str">
        <f>Products!C69</f>
        <v>100 m</v>
      </c>
      <c r="D42" s="89" t="str">
        <f>Products!D69</f>
        <v>CFP2/4</v>
      </c>
      <c r="E42" s="262">
        <v>4367</v>
      </c>
      <c r="F42" s="262">
        <v>2269</v>
      </c>
      <c r="G42" s="262">
        <v>2000</v>
      </c>
      <c r="H42" s="262"/>
      <c r="I42" s="262"/>
      <c r="J42" s="262"/>
      <c r="K42" s="262"/>
      <c r="L42" s="262"/>
      <c r="M42" s="262"/>
      <c r="N42" s="262"/>
      <c r="O42" s="262"/>
      <c r="P42" s="262"/>
      <c r="Q42" s="41" t="str">
        <f t="shared" si="1"/>
        <v>100G SR4_100 m_CFP2/4</v>
      </c>
    </row>
    <row r="43" spans="2:17">
      <c r="B43" s="87" t="str">
        <f>Products!B70</f>
        <v>100G SR4</v>
      </c>
      <c r="C43" s="88" t="str">
        <f>Products!C70</f>
        <v>100 m</v>
      </c>
      <c r="D43" s="89" t="str">
        <f>Products!D70</f>
        <v>QSFP28</v>
      </c>
      <c r="E43" s="262">
        <v>0</v>
      </c>
      <c r="F43" s="262">
        <v>0</v>
      </c>
      <c r="G43" s="262">
        <v>38316.340000000004</v>
      </c>
      <c r="H43" s="262"/>
      <c r="I43" s="262"/>
      <c r="J43" s="262"/>
      <c r="K43" s="262"/>
      <c r="L43" s="262"/>
      <c r="M43" s="262"/>
      <c r="N43" s="262"/>
      <c r="O43" s="262"/>
      <c r="P43" s="262"/>
      <c r="Q43" s="41" t="str">
        <f t="shared" si="1"/>
        <v>100G SR4_100 m_QSFP28</v>
      </c>
    </row>
    <row r="44" spans="2:17">
      <c r="B44" s="87" t="str">
        <f>Products!B71</f>
        <v>100G SR2</v>
      </c>
      <c r="C44" s="88" t="str">
        <f>Products!C71</f>
        <v>100 m</v>
      </c>
      <c r="D44" s="89" t="str">
        <f>Products!D71</f>
        <v>All</v>
      </c>
      <c r="E44" s="262">
        <v>0</v>
      </c>
      <c r="F44" s="262">
        <v>0</v>
      </c>
      <c r="G44" s="262">
        <v>0</v>
      </c>
      <c r="H44" s="262"/>
      <c r="I44" s="262"/>
      <c r="J44" s="262"/>
      <c r="K44" s="262"/>
      <c r="L44" s="262"/>
      <c r="M44" s="262"/>
      <c r="N44" s="262"/>
      <c r="O44" s="262"/>
      <c r="P44" s="262"/>
      <c r="Q44" s="41" t="str">
        <f t="shared" si="1"/>
        <v>100G SR2_100 m_All</v>
      </c>
    </row>
    <row r="45" spans="2:17">
      <c r="B45" s="87" t="str">
        <f>Products!B72</f>
        <v>100G MM Duplex</v>
      </c>
      <c r="C45" s="88" t="str">
        <f>Products!C72</f>
        <v>100 - 300 m</v>
      </c>
      <c r="D45" s="89" t="str">
        <f>Products!D72</f>
        <v>QSFP28</v>
      </c>
      <c r="E45" s="262">
        <v>0</v>
      </c>
      <c r="F45" s="262">
        <v>0</v>
      </c>
      <c r="G45" s="262">
        <v>0</v>
      </c>
      <c r="H45" s="262"/>
      <c r="I45" s="262"/>
      <c r="J45" s="262"/>
      <c r="K45" s="262"/>
      <c r="L45" s="262"/>
      <c r="M45" s="262"/>
      <c r="N45" s="262"/>
      <c r="O45" s="262"/>
      <c r="P45" s="262"/>
      <c r="Q45" s="41" t="str">
        <f t="shared" si="1"/>
        <v>100G MM Duplex_100 - 300 m_QSFP28</v>
      </c>
    </row>
    <row r="46" spans="2:17">
      <c r="B46" s="87" t="str">
        <f>Products!B73</f>
        <v>100G eSR4</v>
      </c>
      <c r="C46" s="88" t="str">
        <f>Products!C73</f>
        <v>300 m</v>
      </c>
      <c r="D46" s="89" t="str">
        <f>Products!D73</f>
        <v>QSFP28</v>
      </c>
      <c r="E46" s="262">
        <v>0</v>
      </c>
      <c r="F46" s="262">
        <v>0</v>
      </c>
      <c r="G46" s="262">
        <v>0</v>
      </c>
      <c r="H46" s="262"/>
      <c r="I46" s="262"/>
      <c r="J46" s="262"/>
      <c r="K46" s="262"/>
      <c r="L46" s="262"/>
      <c r="M46" s="262"/>
      <c r="N46" s="262"/>
      <c r="O46" s="262"/>
      <c r="P46" s="262"/>
      <c r="Q46" s="41" t="str">
        <f t="shared" si="1"/>
        <v>100G eSR4_300 m_QSFP28</v>
      </c>
    </row>
    <row r="47" spans="2:17">
      <c r="B47" s="87" t="str">
        <f>Products!B74</f>
        <v>100G PSM4</v>
      </c>
      <c r="C47" s="88" t="str">
        <f>Products!C74</f>
        <v>500 m</v>
      </c>
      <c r="D47" s="89" t="str">
        <f>Products!D74</f>
        <v>QSFP28</v>
      </c>
      <c r="E47" s="262">
        <v>0</v>
      </c>
      <c r="F47" s="262">
        <v>0</v>
      </c>
      <c r="G47" s="262">
        <v>0</v>
      </c>
      <c r="H47" s="262"/>
      <c r="I47" s="262"/>
      <c r="J47" s="262"/>
      <c r="K47" s="262"/>
      <c r="L47" s="262"/>
      <c r="M47" s="262"/>
      <c r="N47" s="262"/>
      <c r="O47" s="262"/>
      <c r="P47" s="262"/>
      <c r="Q47" s="41" t="str">
        <f t="shared" si="1"/>
        <v>100G PSM4_500 m_QSFP28</v>
      </c>
    </row>
    <row r="48" spans="2:17">
      <c r="B48" s="87" t="str">
        <f>Products!B75</f>
        <v>100G DR</v>
      </c>
      <c r="C48" s="88" t="str">
        <f>Products!C75</f>
        <v>500m</v>
      </c>
      <c r="D48" s="89" t="str">
        <f>Products!D75</f>
        <v>QSFP28</v>
      </c>
      <c r="E48" s="262">
        <v>0</v>
      </c>
      <c r="F48" s="262">
        <v>0</v>
      </c>
      <c r="G48" s="262">
        <v>0</v>
      </c>
      <c r="H48" s="262"/>
      <c r="I48" s="262"/>
      <c r="J48" s="262"/>
      <c r="K48" s="262"/>
      <c r="L48" s="262"/>
      <c r="M48" s="262"/>
      <c r="N48" s="262"/>
      <c r="O48" s="262"/>
      <c r="P48" s="262"/>
      <c r="Q48" s="41" t="str">
        <f t="shared" si="1"/>
        <v>100G DR_500m_QSFP28</v>
      </c>
    </row>
    <row r="49" spans="2:17">
      <c r="B49" s="87" t="str">
        <f>Products!B76</f>
        <v>100G CWDM4-subspec</v>
      </c>
      <c r="C49" s="88" t="str">
        <f>Products!C76</f>
        <v>500 m</v>
      </c>
      <c r="D49" s="89" t="str">
        <f>Products!D76</f>
        <v>QSFP28</v>
      </c>
      <c r="E49" s="262">
        <v>0</v>
      </c>
      <c r="F49" s="262">
        <v>0</v>
      </c>
      <c r="G49" s="262">
        <v>0</v>
      </c>
      <c r="H49" s="262"/>
      <c r="I49" s="262"/>
      <c r="J49" s="262"/>
      <c r="K49" s="262"/>
      <c r="L49" s="262"/>
      <c r="M49" s="262"/>
      <c r="N49" s="262"/>
      <c r="O49" s="262"/>
      <c r="P49" s="262"/>
      <c r="Q49" s="41" t="str">
        <f t="shared" si="1"/>
        <v>100G CWDM4-subspec_500 m_QSFP28</v>
      </c>
    </row>
    <row r="50" spans="2:17">
      <c r="B50" s="87" t="str">
        <f>Products!B77</f>
        <v>100G CWDM4</v>
      </c>
      <c r="C50" s="88" t="str">
        <f>Products!C77</f>
        <v>2 km</v>
      </c>
      <c r="D50" s="89" t="str">
        <f>Products!D77</f>
        <v>QSFP28</v>
      </c>
      <c r="E50" s="262">
        <v>0</v>
      </c>
      <c r="F50" s="262">
        <v>0</v>
      </c>
      <c r="G50" s="262">
        <v>0</v>
      </c>
      <c r="H50" s="262"/>
      <c r="I50" s="262"/>
      <c r="J50" s="262"/>
      <c r="K50" s="262"/>
      <c r="L50" s="262"/>
      <c r="M50" s="262"/>
      <c r="N50" s="262"/>
      <c r="O50" s="262"/>
      <c r="P50" s="262"/>
      <c r="Q50" s="41" t="str">
        <f t="shared" si="1"/>
        <v>100G CWDM4_2 km_QSFP28</v>
      </c>
    </row>
    <row r="51" spans="2:17">
      <c r="B51" s="87" t="str">
        <f>Products!B78</f>
        <v>100G FR, DR+</v>
      </c>
      <c r="C51" s="88" t="str">
        <f>Products!C78</f>
        <v>2 km</v>
      </c>
      <c r="D51" s="89" t="str">
        <f>Products!D78</f>
        <v>QSFP28</v>
      </c>
      <c r="E51" s="262">
        <v>0</v>
      </c>
      <c r="F51" s="262">
        <v>0</v>
      </c>
      <c r="G51" s="262">
        <v>0</v>
      </c>
      <c r="H51" s="262"/>
      <c r="I51" s="262"/>
      <c r="J51" s="262"/>
      <c r="K51" s="262"/>
      <c r="L51" s="262"/>
      <c r="M51" s="262"/>
      <c r="N51" s="262"/>
      <c r="O51" s="262"/>
      <c r="P51" s="262"/>
      <c r="Q51" s="41" t="str">
        <f t="shared" si="1"/>
        <v>100G FR, DR+_2 km_QSFP28</v>
      </c>
    </row>
    <row r="52" spans="2:17">
      <c r="B52" s="87" t="str">
        <f>Products!B79</f>
        <v>100G LR4</v>
      </c>
      <c r="C52" s="88" t="str">
        <f>Products!C79</f>
        <v>10 km</v>
      </c>
      <c r="D52" s="89" t="str">
        <f>Products!D79</f>
        <v>CFP</v>
      </c>
      <c r="E52" s="262">
        <v>109936</v>
      </c>
      <c r="F52" s="262">
        <v>67349</v>
      </c>
      <c r="G52" s="262">
        <v>38716</v>
      </c>
      <c r="H52" s="262"/>
      <c r="I52" s="262"/>
      <c r="J52" s="262"/>
      <c r="K52" s="262"/>
      <c r="L52" s="262"/>
      <c r="M52" s="262"/>
      <c r="N52" s="262"/>
      <c r="O52" s="262"/>
      <c r="P52" s="262"/>
      <c r="Q52" s="41" t="str">
        <f t="shared" si="1"/>
        <v>100G LR4_10 km_CFP</v>
      </c>
    </row>
    <row r="53" spans="2:17">
      <c r="B53" s="87" t="str">
        <f>Products!B80</f>
        <v>100G LR4</v>
      </c>
      <c r="C53" s="88" t="str">
        <f>Products!C80</f>
        <v>10 km</v>
      </c>
      <c r="D53" s="89" t="str">
        <f>Products!D80</f>
        <v>CFP2/4</v>
      </c>
      <c r="E53" s="262">
        <v>92243</v>
      </c>
      <c r="F53" s="262">
        <v>78202</v>
      </c>
      <c r="G53" s="262">
        <v>73797</v>
      </c>
      <c r="H53" s="262"/>
      <c r="I53" s="262"/>
      <c r="J53" s="262"/>
      <c r="K53" s="262"/>
      <c r="L53" s="262"/>
      <c r="M53" s="262"/>
      <c r="N53" s="262"/>
      <c r="O53" s="262"/>
      <c r="P53" s="262"/>
      <c r="Q53" s="41" t="str">
        <f t="shared" si="1"/>
        <v>100G LR4_10 km_CFP2/4</v>
      </c>
    </row>
    <row r="54" spans="2:17">
      <c r="B54" s="87" t="str">
        <f>Products!B81</f>
        <v>100G LR4 and LR1</v>
      </c>
      <c r="C54" s="88" t="str">
        <f>Products!C81</f>
        <v>10 km</v>
      </c>
      <c r="D54" s="89" t="str">
        <f>Products!D81</f>
        <v>QSFP28</v>
      </c>
      <c r="E54" s="262">
        <v>18088.600000000002</v>
      </c>
      <c r="F54" s="262">
        <v>108705.59999999999</v>
      </c>
      <c r="G54" s="262">
        <v>119367.33529411763</v>
      </c>
      <c r="H54" s="262"/>
      <c r="I54" s="262"/>
      <c r="J54" s="262"/>
      <c r="K54" s="262"/>
      <c r="L54" s="262"/>
      <c r="M54" s="262"/>
      <c r="N54" s="262"/>
      <c r="O54" s="262"/>
      <c r="P54" s="262"/>
      <c r="Q54" s="41" t="str">
        <f t="shared" si="1"/>
        <v>100G LR4 and LR1_10 km_QSFP28</v>
      </c>
    </row>
    <row r="55" spans="2:17">
      <c r="B55" s="87" t="str">
        <f>Products!B82</f>
        <v>100G 4WDM10</v>
      </c>
      <c r="C55" s="88" t="str">
        <f>Products!C82</f>
        <v>10 km</v>
      </c>
      <c r="D55" s="89" t="str">
        <f>Products!D82</f>
        <v>QSFP28</v>
      </c>
      <c r="E55" s="262">
        <v>0</v>
      </c>
      <c r="F55" s="262">
        <v>0</v>
      </c>
      <c r="G55" s="262">
        <v>0</v>
      </c>
      <c r="H55" s="262"/>
      <c r="I55" s="262"/>
      <c r="J55" s="262"/>
      <c r="K55" s="262"/>
      <c r="L55" s="262"/>
      <c r="M55" s="262"/>
      <c r="N55" s="262"/>
      <c r="O55" s="262"/>
      <c r="P55" s="262"/>
      <c r="Q55" s="41" t="str">
        <f t="shared" si="1"/>
        <v>100G 4WDM10_10 km_QSFP28</v>
      </c>
    </row>
    <row r="56" spans="2:17">
      <c r="B56" s="87" t="str">
        <f>Products!B83</f>
        <v>100G 4WDM20</v>
      </c>
      <c r="C56" s="88" t="str">
        <f>Products!C83</f>
        <v>20 km</v>
      </c>
      <c r="D56" s="89" t="str">
        <f>Products!D83</f>
        <v>QSFP28</v>
      </c>
      <c r="E56" s="262">
        <v>0</v>
      </c>
      <c r="F56" s="262">
        <v>0</v>
      </c>
      <c r="G56" s="262">
        <v>0</v>
      </c>
      <c r="H56" s="262"/>
      <c r="I56" s="262"/>
      <c r="J56" s="262"/>
      <c r="K56" s="262"/>
      <c r="L56" s="262"/>
      <c r="M56" s="262"/>
      <c r="N56" s="262"/>
      <c r="O56" s="262"/>
      <c r="P56" s="262"/>
      <c r="Q56" s="41" t="str">
        <f t="shared" si="1"/>
        <v>100G 4WDM20_20 km_QSFP28</v>
      </c>
    </row>
    <row r="57" spans="2:17">
      <c r="B57" s="87" t="str">
        <f>Products!B84</f>
        <v>100G ER4-Lite</v>
      </c>
      <c r="C57" s="88" t="str">
        <f>Products!C84</f>
        <v>30 km</v>
      </c>
      <c r="D57" s="89" t="str">
        <f>Products!D84</f>
        <v>QSFP28</v>
      </c>
      <c r="E57" s="262">
        <v>0</v>
      </c>
      <c r="F57" s="262">
        <v>1600</v>
      </c>
      <c r="G57" s="262">
        <v>4840</v>
      </c>
      <c r="H57" s="262"/>
      <c r="I57" s="262"/>
      <c r="J57" s="262"/>
      <c r="K57" s="262"/>
      <c r="L57" s="262"/>
      <c r="M57" s="262"/>
      <c r="N57" s="262"/>
      <c r="O57" s="262"/>
      <c r="P57" s="262"/>
      <c r="Q57" s="41" t="str">
        <f t="shared" si="1"/>
        <v>100G ER4-Lite_30 km_QSFP28</v>
      </c>
    </row>
    <row r="58" spans="2:17">
      <c r="B58" s="87" t="str">
        <f>Products!B85</f>
        <v>100G ER4</v>
      </c>
      <c r="C58" s="88" t="str">
        <f>Products!C85</f>
        <v>40 km</v>
      </c>
      <c r="D58" s="89" t="str">
        <f>Products!D85</f>
        <v>QSFP28</v>
      </c>
      <c r="E58" s="262">
        <v>5964.8</v>
      </c>
      <c r="F58" s="262">
        <v>6617.6</v>
      </c>
      <c r="G58" s="262">
        <v>3240</v>
      </c>
      <c r="H58" s="262"/>
      <c r="I58" s="262"/>
      <c r="J58" s="262"/>
      <c r="K58" s="262"/>
      <c r="L58" s="262"/>
      <c r="M58" s="262"/>
      <c r="N58" s="262"/>
      <c r="O58" s="262"/>
      <c r="P58" s="262"/>
      <c r="Q58" s="41" t="str">
        <f t="shared" si="1"/>
        <v>100G ER4_40 km_QSFP28</v>
      </c>
    </row>
    <row r="59" spans="2:17">
      <c r="B59" s="87" t="str">
        <f>Products!B86</f>
        <v>100G ZR4</v>
      </c>
      <c r="C59" s="88" t="str">
        <f>Products!C86</f>
        <v>80 km</v>
      </c>
      <c r="D59" s="89" t="str">
        <f>Products!D86</f>
        <v>QSFP28</v>
      </c>
      <c r="E59" s="263">
        <v>0</v>
      </c>
      <c r="F59" s="263">
        <v>0</v>
      </c>
      <c r="G59" s="263">
        <v>0</v>
      </c>
      <c r="H59" s="263"/>
      <c r="I59" s="263"/>
      <c r="J59" s="263"/>
      <c r="K59" s="263"/>
      <c r="L59" s="263"/>
      <c r="M59" s="263"/>
      <c r="N59" s="263"/>
      <c r="O59" s="263"/>
      <c r="P59" s="263"/>
      <c r="Q59" s="41" t="str">
        <f t="shared" si="1"/>
        <v>100G ZR4_80 km_QSFP28</v>
      </c>
    </row>
    <row r="60" spans="2:17">
      <c r="B60" s="79" t="str">
        <f>Products!B87</f>
        <v>200G SR4</v>
      </c>
      <c r="C60" s="80" t="str">
        <f>Products!C87</f>
        <v>100 m</v>
      </c>
      <c r="D60" s="81" t="str">
        <f>Products!D87</f>
        <v>QSFP56</v>
      </c>
      <c r="E60" s="261">
        <v>0</v>
      </c>
      <c r="F60" s="261">
        <v>0</v>
      </c>
      <c r="G60" s="261">
        <v>0</v>
      </c>
      <c r="H60" s="261"/>
      <c r="I60" s="261"/>
      <c r="J60" s="261"/>
      <c r="K60" s="261"/>
      <c r="L60" s="261"/>
      <c r="M60" s="261"/>
      <c r="N60" s="261"/>
      <c r="O60" s="261"/>
      <c r="P60" s="261"/>
      <c r="Q60" s="57" t="str">
        <f t="shared" si="1"/>
        <v>200G SR4_100 m_QSFP56</v>
      </c>
    </row>
    <row r="61" spans="2:17">
      <c r="B61" s="87" t="str">
        <f>Products!B88</f>
        <v>200G DR</v>
      </c>
      <c r="C61" s="88" t="str">
        <f>Products!C88</f>
        <v>500 m</v>
      </c>
      <c r="D61" s="89" t="str">
        <f>Products!D88</f>
        <v>TBD</v>
      </c>
      <c r="E61" s="262">
        <v>0</v>
      </c>
      <c r="F61" s="262">
        <v>0</v>
      </c>
      <c r="G61" s="262">
        <v>0</v>
      </c>
      <c r="H61" s="262"/>
      <c r="I61" s="262"/>
      <c r="J61" s="262"/>
      <c r="K61" s="262"/>
      <c r="L61" s="262"/>
      <c r="M61" s="262"/>
      <c r="N61" s="262"/>
      <c r="O61" s="262"/>
      <c r="P61" s="262"/>
      <c r="Q61" s="41" t="str">
        <f t="shared" si="1"/>
        <v>200G DR_500 m_TBD</v>
      </c>
    </row>
    <row r="62" spans="2:17">
      <c r="B62" s="87" t="str">
        <f>Products!B89</f>
        <v>200G FR4</v>
      </c>
      <c r="C62" s="88" t="str">
        <f>Products!C89</f>
        <v>3 km</v>
      </c>
      <c r="D62" s="89" t="str">
        <f>Products!D89</f>
        <v>QSFP56</v>
      </c>
      <c r="E62" s="262">
        <v>0</v>
      </c>
      <c r="F62" s="262">
        <v>0</v>
      </c>
      <c r="G62" s="262">
        <v>0</v>
      </c>
      <c r="H62" s="262"/>
      <c r="I62" s="262"/>
      <c r="J62" s="262"/>
      <c r="K62" s="262"/>
      <c r="L62" s="262"/>
      <c r="M62" s="262"/>
      <c r="N62" s="262"/>
      <c r="O62" s="262"/>
      <c r="P62" s="262"/>
      <c r="Q62" s="41" t="str">
        <f t="shared" si="1"/>
        <v>200G FR4_3 km_QSFP56</v>
      </c>
    </row>
    <row r="63" spans="2:17">
      <c r="B63" s="87" t="str">
        <f>Products!B90</f>
        <v>200G LR</v>
      </c>
      <c r="C63" s="88" t="str">
        <f>Products!C90</f>
        <v>10 km</v>
      </c>
      <c r="D63" s="89" t="str">
        <f>Products!D90</f>
        <v>TBD</v>
      </c>
      <c r="E63" s="262">
        <v>0</v>
      </c>
      <c r="F63" s="262">
        <v>0</v>
      </c>
      <c r="G63" s="262">
        <v>0</v>
      </c>
      <c r="H63" s="262"/>
      <c r="I63" s="262"/>
      <c r="J63" s="262"/>
      <c r="K63" s="262"/>
      <c r="L63" s="262"/>
      <c r="M63" s="262"/>
      <c r="N63" s="262"/>
      <c r="O63" s="262"/>
      <c r="P63" s="262"/>
      <c r="Q63" s="41" t="str">
        <f t="shared" si="1"/>
        <v>200G LR_10 km_TBD</v>
      </c>
    </row>
    <row r="64" spans="2:17">
      <c r="B64" s="87" t="str">
        <f>Products!B91</f>
        <v>200G ER4</v>
      </c>
      <c r="C64" s="88" t="str">
        <f>Products!C91</f>
        <v>40 km</v>
      </c>
      <c r="D64" s="89" t="str">
        <f>Products!D91</f>
        <v>TBD</v>
      </c>
      <c r="E64" s="262">
        <v>0</v>
      </c>
      <c r="F64" s="262">
        <v>0</v>
      </c>
      <c r="G64" s="262">
        <v>0</v>
      </c>
      <c r="H64" s="262"/>
      <c r="I64" s="262"/>
      <c r="J64" s="262"/>
      <c r="K64" s="262"/>
      <c r="L64" s="262"/>
      <c r="M64" s="262"/>
      <c r="N64" s="262"/>
      <c r="O64" s="262"/>
      <c r="P64" s="262"/>
      <c r="Q64" s="41" t="str">
        <f t="shared" si="1"/>
        <v>200G ER4_40 km_TBD</v>
      </c>
    </row>
    <row r="65" spans="2:17">
      <c r="B65" s="79" t="str">
        <f>Products!B92</f>
        <v>2x200 (400G-SR8)</v>
      </c>
      <c r="C65" s="80" t="str">
        <f>Products!C92</f>
        <v>100 m</v>
      </c>
      <c r="D65" s="81" t="str">
        <f>Products!D92</f>
        <v>OSFP, QSFP-DD</v>
      </c>
      <c r="E65" s="261">
        <v>0</v>
      </c>
      <c r="F65" s="261">
        <v>0</v>
      </c>
      <c r="G65" s="261">
        <v>0</v>
      </c>
      <c r="H65" s="261"/>
      <c r="I65" s="261"/>
      <c r="J65" s="261"/>
      <c r="K65" s="261"/>
      <c r="L65" s="261"/>
      <c r="M65" s="261"/>
      <c r="N65" s="261"/>
      <c r="O65" s="261"/>
      <c r="P65" s="261"/>
      <c r="Q65" s="57" t="str">
        <f t="shared" si="1"/>
        <v>2x200 (400G-SR8)_100 m_OSFP, QSFP-DD</v>
      </c>
    </row>
    <row r="66" spans="2:17">
      <c r="B66" s="87" t="str">
        <f>Products!B93</f>
        <v>400G SR4.2</v>
      </c>
      <c r="C66" s="88" t="str">
        <f>Products!C93</f>
        <v>100 m</v>
      </c>
      <c r="D66" s="89" t="str">
        <f>Products!D93</f>
        <v>OSFP, QSFP-DD</v>
      </c>
      <c r="E66" s="262">
        <v>0</v>
      </c>
      <c r="F66" s="262">
        <v>0</v>
      </c>
      <c r="G66" s="262">
        <v>0</v>
      </c>
      <c r="H66" s="262"/>
      <c r="I66" s="262"/>
      <c r="J66" s="262"/>
      <c r="K66" s="262"/>
      <c r="L66" s="262"/>
      <c r="M66" s="262"/>
      <c r="N66" s="262"/>
      <c r="O66" s="262"/>
      <c r="P66" s="262"/>
      <c r="Q66" s="41" t="str">
        <f t="shared" si="1"/>
        <v>400G SR4.2_100 m_OSFP, QSFP-DD</v>
      </c>
    </row>
    <row r="67" spans="2:17">
      <c r="B67" s="87" t="str">
        <f>Products!B94</f>
        <v>400G DR4</v>
      </c>
      <c r="C67" s="88" t="str">
        <f>Products!C94</f>
        <v>500 m</v>
      </c>
      <c r="D67" s="89" t="str">
        <f>Products!D94</f>
        <v>OSFP, QSFP-DD, QSFP112</v>
      </c>
      <c r="E67" s="262">
        <v>0</v>
      </c>
      <c r="F67" s="262">
        <v>0</v>
      </c>
      <c r="G67" s="262">
        <v>0</v>
      </c>
      <c r="H67" s="262"/>
      <c r="I67" s="262"/>
      <c r="J67" s="262"/>
      <c r="K67" s="262"/>
      <c r="L67" s="262"/>
      <c r="M67" s="262"/>
      <c r="N67" s="262"/>
      <c r="O67" s="262"/>
      <c r="P67" s="262"/>
      <c r="Q67" s="41" t="str">
        <f t="shared" si="1"/>
        <v>400G DR4_500 m_OSFP, QSFP-DD, QSFP112</v>
      </c>
    </row>
    <row r="68" spans="2:17">
      <c r="B68" s="87" t="str">
        <f>Products!B95</f>
        <v>2x(200G FR4)</v>
      </c>
      <c r="C68" s="88" t="str">
        <f>Products!C95</f>
        <v>2 km</v>
      </c>
      <c r="D68" s="89" t="str">
        <f>Products!D95</f>
        <v>OSFP</v>
      </c>
      <c r="E68" s="262">
        <v>0</v>
      </c>
      <c r="F68" s="262">
        <v>0</v>
      </c>
      <c r="G68" s="262">
        <v>0</v>
      </c>
      <c r="H68" s="262"/>
      <c r="I68" s="262"/>
      <c r="J68" s="262"/>
      <c r="K68" s="262"/>
      <c r="L68" s="262"/>
      <c r="M68" s="262"/>
      <c r="N68" s="262"/>
      <c r="O68" s="262"/>
      <c r="P68" s="262"/>
      <c r="Q68" s="41" t="str">
        <f t="shared" si="1"/>
        <v>2x(200G FR4)_2 km_OSFP</v>
      </c>
    </row>
    <row r="69" spans="2:17">
      <c r="B69" s="87" t="str">
        <f>Products!B96</f>
        <v>400G FR4</v>
      </c>
      <c r="C69" s="88" t="str">
        <f>Products!C96</f>
        <v>2 km</v>
      </c>
      <c r="D69" s="89" t="str">
        <f>Products!D96</f>
        <v>OSFP, QSFP-DD, QSFP112</v>
      </c>
      <c r="E69" s="262">
        <v>0</v>
      </c>
      <c r="F69" s="262">
        <v>0</v>
      </c>
      <c r="G69" s="262">
        <v>0</v>
      </c>
      <c r="H69" s="262"/>
      <c r="I69" s="262"/>
      <c r="J69" s="262"/>
      <c r="K69" s="262"/>
      <c r="L69" s="262"/>
      <c r="M69" s="262"/>
      <c r="N69" s="262"/>
      <c r="O69" s="262"/>
      <c r="P69" s="262"/>
      <c r="Q69" s="41" t="str">
        <f t="shared" si="1"/>
        <v>400G FR4_2 km_OSFP, QSFP-DD, QSFP112</v>
      </c>
    </row>
    <row r="70" spans="2:17">
      <c r="B70" s="87" t="str">
        <f>Products!B97</f>
        <v>400G LR8, LR4</v>
      </c>
      <c r="C70" s="88" t="str">
        <f>Products!C97</f>
        <v>10 km</v>
      </c>
      <c r="D70" s="89" t="str">
        <f>Products!D97</f>
        <v>OSFP, QSFP-DD, QSFP112</v>
      </c>
      <c r="E70" s="262">
        <v>0</v>
      </c>
      <c r="F70" s="262">
        <v>82</v>
      </c>
      <c r="G70" s="262">
        <v>900</v>
      </c>
      <c r="H70" s="262"/>
      <c r="I70" s="262"/>
      <c r="J70" s="262"/>
      <c r="K70" s="262"/>
      <c r="L70" s="262"/>
      <c r="M70" s="262"/>
      <c r="N70" s="262"/>
      <c r="O70" s="262"/>
      <c r="P70" s="262"/>
      <c r="Q70" s="41" t="str">
        <f t="shared" si="1"/>
        <v>400G LR8, LR4_10 km_OSFP, QSFP-DD, QSFP112</v>
      </c>
    </row>
    <row r="71" spans="2:17">
      <c r="B71" s="83" t="str">
        <f>Products!B98</f>
        <v>400G ER4</v>
      </c>
      <c r="C71" s="84" t="str">
        <f>Products!C98</f>
        <v>40 km</v>
      </c>
      <c r="D71" s="85" t="str">
        <f>Products!D98</f>
        <v>TBD</v>
      </c>
      <c r="E71" s="263">
        <v>0</v>
      </c>
      <c r="F71" s="263">
        <v>0</v>
      </c>
      <c r="G71" s="263">
        <v>0</v>
      </c>
      <c r="H71" s="263"/>
      <c r="I71" s="263"/>
      <c r="J71" s="263"/>
      <c r="K71" s="263"/>
      <c r="L71" s="263"/>
      <c r="M71" s="263"/>
      <c r="N71" s="263"/>
      <c r="O71" s="263"/>
      <c r="P71" s="263"/>
      <c r="Q71" s="58" t="str">
        <f t="shared" si="1"/>
        <v>400G ER4_40 km_TBD</v>
      </c>
    </row>
    <row r="72" spans="2:17" s="92" customFormat="1">
      <c r="B72" s="87" t="str">
        <f>Products!B99</f>
        <v>800G SR8</v>
      </c>
      <c r="C72" s="88" t="str">
        <f>Products!C99</f>
        <v>50 m</v>
      </c>
      <c r="D72" s="89" t="str">
        <f>Products!D99</f>
        <v>OSFP, QSFP-DD800</v>
      </c>
      <c r="E72" s="262">
        <v>0</v>
      </c>
      <c r="F72" s="262">
        <v>0</v>
      </c>
      <c r="G72" s="262">
        <v>0</v>
      </c>
      <c r="H72" s="262"/>
      <c r="I72" s="262"/>
      <c r="J72" s="262"/>
      <c r="K72" s="262"/>
      <c r="L72" s="262"/>
      <c r="M72" s="262"/>
      <c r="N72" s="262"/>
      <c r="O72" s="262"/>
      <c r="P72" s="262"/>
      <c r="Q72" s="41" t="str">
        <f t="shared" si="1"/>
        <v>800G SR8_50 m_OSFP, QSFP-DD800</v>
      </c>
    </row>
    <row r="73" spans="2:17" s="92" customFormat="1">
      <c r="B73" s="87" t="str">
        <f>Products!B100</f>
        <v>800G DR8, DR4</v>
      </c>
      <c r="C73" s="88" t="str">
        <f>Products!C100</f>
        <v>500 m</v>
      </c>
      <c r="D73" s="89" t="str">
        <f>Products!D100</f>
        <v>OSFP, QSFP-DD800</v>
      </c>
      <c r="E73" s="262">
        <v>0</v>
      </c>
      <c r="F73" s="262">
        <v>0</v>
      </c>
      <c r="G73" s="262">
        <v>0</v>
      </c>
      <c r="H73" s="262"/>
      <c r="I73" s="262"/>
      <c r="J73" s="262"/>
      <c r="K73" s="262"/>
      <c r="L73" s="262"/>
      <c r="M73" s="262"/>
      <c r="N73" s="262"/>
      <c r="O73" s="262"/>
      <c r="P73" s="262"/>
      <c r="Q73" s="41" t="str">
        <f t="shared" ref="Q73:Q87" si="2">B73&amp;"_"&amp;C73&amp;"_"&amp;D73</f>
        <v>800G DR8, DR4_500 m_OSFP, QSFP-DD800</v>
      </c>
    </row>
    <row r="74" spans="2:17" s="92" customFormat="1">
      <c r="B74" s="87" t="str">
        <f>Products!B101</f>
        <v>2x(400G FR4), 800G FR4</v>
      </c>
      <c r="C74" s="88" t="str">
        <f>Products!C101</f>
        <v>2 km</v>
      </c>
      <c r="D74" s="89" t="str">
        <f>Products!D101</f>
        <v>OSFP, QSFP-DD800</v>
      </c>
      <c r="E74" s="262">
        <v>0</v>
      </c>
      <c r="F74" s="262">
        <v>0</v>
      </c>
      <c r="G74" s="262">
        <v>0</v>
      </c>
      <c r="H74" s="262"/>
      <c r="I74" s="262"/>
      <c r="J74" s="262"/>
      <c r="K74" s="262"/>
      <c r="L74" s="262"/>
      <c r="M74" s="262"/>
      <c r="N74" s="262"/>
      <c r="O74" s="262"/>
      <c r="P74" s="262"/>
      <c r="Q74" s="41" t="str">
        <f t="shared" si="2"/>
        <v>2x(400G FR4), 800G FR4_2 km_OSFP, QSFP-DD800</v>
      </c>
    </row>
    <row r="75" spans="2:17" s="92" customFormat="1">
      <c r="B75" s="87" t="str">
        <f>Products!B102</f>
        <v>800G LR8, LR4</v>
      </c>
      <c r="C75" s="88" t="str">
        <f>Products!C102</f>
        <v>6, 10 km</v>
      </c>
      <c r="D75" s="89" t="str">
        <f>Products!D102</f>
        <v>TBD</v>
      </c>
      <c r="E75" s="262">
        <v>0</v>
      </c>
      <c r="F75" s="262">
        <v>0</v>
      </c>
      <c r="G75" s="262">
        <v>0</v>
      </c>
      <c r="H75" s="262"/>
      <c r="I75" s="262"/>
      <c r="J75" s="262"/>
      <c r="K75" s="262"/>
      <c r="L75" s="262"/>
      <c r="M75" s="262"/>
      <c r="N75" s="262"/>
      <c r="O75" s="262"/>
      <c r="P75" s="262"/>
      <c r="Q75" s="41" t="str">
        <f t="shared" si="2"/>
        <v>800G LR8, LR4_6, 10 km_TBD</v>
      </c>
    </row>
    <row r="76" spans="2:17" s="92" customFormat="1">
      <c r="B76" s="87" t="str">
        <f>Products!B103</f>
        <v>800G ZRlite</v>
      </c>
      <c r="C76" s="88" t="str">
        <f>Products!C103</f>
        <v>10 km, 20 km</v>
      </c>
      <c r="D76" s="89" t="str">
        <f>Products!D103</f>
        <v>TBD</v>
      </c>
      <c r="E76" s="262">
        <v>0</v>
      </c>
      <c r="F76" s="262">
        <v>0</v>
      </c>
      <c r="G76" s="262">
        <v>0</v>
      </c>
      <c r="H76" s="262"/>
      <c r="I76" s="262"/>
      <c r="J76" s="262"/>
      <c r="K76" s="262"/>
      <c r="L76" s="262"/>
      <c r="M76" s="262"/>
      <c r="N76" s="262"/>
      <c r="O76" s="262"/>
      <c r="P76" s="262"/>
      <c r="Q76" s="41" t="str">
        <f t="shared" si="2"/>
        <v>800G ZRlite_10 km, 20 km_TBD</v>
      </c>
    </row>
    <row r="77" spans="2:17" s="92" customFormat="1">
      <c r="B77" s="83" t="str">
        <f>Products!B104</f>
        <v>800G ER4</v>
      </c>
      <c r="C77" s="84" t="str">
        <f>Products!C104</f>
        <v>40 km</v>
      </c>
      <c r="D77" s="85" t="str">
        <f>Products!D104</f>
        <v>TBD</v>
      </c>
      <c r="E77" s="263">
        <v>0</v>
      </c>
      <c r="F77" s="263">
        <v>0</v>
      </c>
      <c r="G77" s="263">
        <v>0</v>
      </c>
      <c r="H77" s="263"/>
      <c r="I77" s="263"/>
      <c r="J77" s="263"/>
      <c r="K77" s="263"/>
      <c r="L77" s="263"/>
      <c r="M77" s="263"/>
      <c r="N77" s="263"/>
      <c r="O77" s="263"/>
      <c r="P77" s="263"/>
      <c r="Q77" s="58" t="str">
        <f t="shared" si="2"/>
        <v>800G ER4_40 km_TBD</v>
      </c>
    </row>
    <row r="78" spans="2:17" s="92" customFormat="1">
      <c r="B78" s="87" t="str">
        <f>Products!B105</f>
        <v>1.6T SR16</v>
      </c>
      <c r="C78" s="88" t="str">
        <f>Products!C105</f>
        <v>100 m</v>
      </c>
      <c r="D78" s="89" t="str">
        <f>Products!D105</f>
        <v>OSFP-XD and TBD</v>
      </c>
      <c r="E78" s="262">
        <v>0</v>
      </c>
      <c r="F78" s="262">
        <v>0</v>
      </c>
      <c r="G78" s="262">
        <v>0</v>
      </c>
      <c r="H78" s="262"/>
      <c r="I78" s="262"/>
      <c r="J78" s="262"/>
      <c r="K78" s="262"/>
      <c r="L78" s="262"/>
      <c r="M78" s="262"/>
      <c r="N78" s="262"/>
      <c r="O78" s="262"/>
      <c r="P78" s="262"/>
      <c r="Q78" s="41" t="str">
        <f t="shared" si="2"/>
        <v>1.6T SR16_100 m_OSFP-XD and TBD</v>
      </c>
    </row>
    <row r="79" spans="2:17" s="92" customFormat="1">
      <c r="B79" s="87" t="str">
        <f>Products!B106</f>
        <v>1.6T DR8</v>
      </c>
      <c r="C79" s="88" t="str">
        <f>Products!C106</f>
        <v>500 m</v>
      </c>
      <c r="D79" s="89" t="str">
        <f>Products!D106</f>
        <v>OSFP-XD and TBD</v>
      </c>
      <c r="E79" s="262">
        <v>0</v>
      </c>
      <c r="F79" s="262">
        <v>0</v>
      </c>
      <c r="G79" s="262">
        <v>0</v>
      </c>
      <c r="H79" s="262"/>
      <c r="I79" s="262"/>
      <c r="J79" s="262"/>
      <c r="K79" s="262"/>
      <c r="L79" s="262"/>
      <c r="M79" s="262"/>
      <c r="N79" s="262"/>
      <c r="O79" s="262"/>
      <c r="P79" s="262"/>
      <c r="Q79" s="41" t="str">
        <f t="shared" si="2"/>
        <v>1.6T DR8_500 m_OSFP-XD and TBD</v>
      </c>
    </row>
    <row r="80" spans="2:17" s="92" customFormat="1">
      <c r="B80" s="87" t="str">
        <f>Products!B107</f>
        <v>1.6T FR8</v>
      </c>
      <c r="C80" s="88" t="str">
        <f>Products!C107</f>
        <v>2 km</v>
      </c>
      <c r="D80" s="89" t="str">
        <f>Products!D107</f>
        <v>OSFP-XD and TBD</v>
      </c>
      <c r="E80" s="262">
        <v>0</v>
      </c>
      <c r="F80" s="262">
        <v>0</v>
      </c>
      <c r="G80" s="262">
        <v>0</v>
      </c>
      <c r="H80" s="262"/>
      <c r="I80" s="262"/>
      <c r="J80" s="262"/>
      <c r="K80" s="262"/>
      <c r="L80" s="262"/>
      <c r="M80" s="262"/>
      <c r="N80" s="262"/>
      <c r="O80" s="262"/>
      <c r="P80" s="262"/>
      <c r="Q80" s="41" t="str">
        <f t="shared" si="2"/>
        <v>1.6T FR8_2 km_OSFP-XD and TBD</v>
      </c>
    </row>
    <row r="81" spans="2:17" s="92" customFormat="1">
      <c r="B81" s="87" t="str">
        <f>Products!B108</f>
        <v>1.6T LR8</v>
      </c>
      <c r="C81" s="88" t="str">
        <f>Products!C108</f>
        <v>10 km</v>
      </c>
      <c r="D81" s="89" t="str">
        <f>Products!D108</f>
        <v>OSFP-XD and TBD</v>
      </c>
      <c r="E81" s="262">
        <v>0</v>
      </c>
      <c r="F81" s="262">
        <v>0</v>
      </c>
      <c r="G81" s="262">
        <v>0</v>
      </c>
      <c r="H81" s="262"/>
      <c r="I81" s="262"/>
      <c r="J81" s="262"/>
      <c r="K81" s="262"/>
      <c r="L81" s="262"/>
      <c r="M81" s="262"/>
      <c r="N81" s="262"/>
      <c r="O81" s="262"/>
      <c r="P81" s="262"/>
      <c r="Q81" s="41" t="str">
        <f t="shared" si="2"/>
        <v>1.6T LR8_10 km_OSFP-XD and TBD</v>
      </c>
    </row>
    <row r="82" spans="2:17" s="92" customFormat="1">
      <c r="B82" s="83" t="str">
        <f>Products!B109</f>
        <v>1.6T ER8</v>
      </c>
      <c r="C82" s="84" t="str">
        <f>Products!C109</f>
        <v>&gt;10 km</v>
      </c>
      <c r="D82" s="85" t="str">
        <f>Products!D109</f>
        <v>OSFP-XD and TBD</v>
      </c>
      <c r="E82" s="263">
        <v>0</v>
      </c>
      <c r="F82" s="263">
        <v>0</v>
      </c>
      <c r="G82" s="263">
        <v>0</v>
      </c>
      <c r="H82" s="263"/>
      <c r="I82" s="263"/>
      <c r="J82" s="263"/>
      <c r="K82" s="263"/>
      <c r="L82" s="263"/>
      <c r="M82" s="263"/>
      <c r="N82" s="263"/>
      <c r="O82" s="263"/>
      <c r="P82" s="263"/>
      <c r="Q82" s="58" t="str">
        <f t="shared" si="2"/>
        <v>1.6T ER8_&gt;10 km_OSFP-XD and TBD</v>
      </c>
    </row>
    <row r="83" spans="2:17" s="92" customFormat="1">
      <c r="B83" s="87" t="str">
        <f>Products!B110</f>
        <v>3.2T SR</v>
      </c>
      <c r="C83" s="88" t="str">
        <f>Products!C110</f>
        <v>100 m</v>
      </c>
      <c r="D83" s="89" t="str">
        <f>Products!D110</f>
        <v>OSFP-XD and TBD</v>
      </c>
      <c r="E83" s="262">
        <v>0</v>
      </c>
      <c r="F83" s="262">
        <v>0</v>
      </c>
      <c r="G83" s="262">
        <v>0</v>
      </c>
      <c r="H83" s="262"/>
      <c r="I83" s="262"/>
      <c r="J83" s="262"/>
      <c r="K83" s="262"/>
      <c r="L83" s="262"/>
      <c r="M83" s="262"/>
      <c r="N83" s="262"/>
      <c r="O83" s="262"/>
      <c r="P83" s="262"/>
      <c r="Q83" s="41" t="str">
        <f t="shared" si="2"/>
        <v>3.2T SR_100 m_OSFP-XD and TBD</v>
      </c>
    </row>
    <row r="84" spans="2:17" s="92" customFormat="1">
      <c r="B84" s="87" t="str">
        <f>Products!B111</f>
        <v>3.2T DR</v>
      </c>
      <c r="C84" s="88" t="str">
        <f>Products!C111</f>
        <v>500 m</v>
      </c>
      <c r="D84" s="89" t="str">
        <f>Products!D111</f>
        <v>OSFP-XD and TBD</v>
      </c>
      <c r="E84" s="262">
        <v>0</v>
      </c>
      <c r="F84" s="262">
        <v>0</v>
      </c>
      <c r="G84" s="262">
        <v>0</v>
      </c>
      <c r="H84" s="262"/>
      <c r="I84" s="262"/>
      <c r="J84" s="262"/>
      <c r="K84" s="262"/>
      <c r="L84" s="262"/>
      <c r="M84" s="262"/>
      <c r="N84" s="262"/>
      <c r="O84" s="262"/>
      <c r="P84" s="262"/>
      <c r="Q84" s="41" t="str">
        <f t="shared" si="2"/>
        <v>3.2T DR_500 m_OSFP-XD and TBD</v>
      </c>
    </row>
    <row r="85" spans="2:17" s="92" customFormat="1">
      <c r="B85" s="87" t="str">
        <f>Products!B112</f>
        <v>3.2T FR</v>
      </c>
      <c r="C85" s="88" t="str">
        <f>Products!C112</f>
        <v>2 km</v>
      </c>
      <c r="D85" s="89" t="str">
        <f>Products!D112</f>
        <v>OSFP-XD and TBD</v>
      </c>
      <c r="E85" s="262">
        <v>0</v>
      </c>
      <c r="F85" s="262">
        <v>0</v>
      </c>
      <c r="G85" s="262">
        <v>0</v>
      </c>
      <c r="H85" s="262"/>
      <c r="I85" s="262"/>
      <c r="J85" s="262"/>
      <c r="K85" s="262"/>
      <c r="L85" s="262"/>
      <c r="M85" s="262"/>
      <c r="N85" s="262"/>
      <c r="O85" s="262"/>
      <c r="P85" s="262"/>
      <c r="Q85" s="41" t="str">
        <f t="shared" si="2"/>
        <v>3.2T FR_2 km_OSFP-XD and TBD</v>
      </c>
    </row>
    <row r="86" spans="2:17" s="92" customFormat="1">
      <c r="B86" s="87" t="str">
        <f>Products!B113</f>
        <v>3.2T LR</v>
      </c>
      <c r="C86" s="88" t="str">
        <f>Products!C113</f>
        <v>10 km</v>
      </c>
      <c r="D86" s="89" t="str">
        <f>Products!D113</f>
        <v>OSFP-XD and TBD</v>
      </c>
      <c r="E86" s="262">
        <v>0</v>
      </c>
      <c r="F86" s="262">
        <v>0</v>
      </c>
      <c r="G86" s="262">
        <v>0</v>
      </c>
      <c r="H86" s="262"/>
      <c r="I86" s="262"/>
      <c r="J86" s="262"/>
      <c r="K86" s="262"/>
      <c r="L86" s="262"/>
      <c r="M86" s="262"/>
      <c r="N86" s="262"/>
      <c r="O86" s="262"/>
      <c r="P86" s="262"/>
      <c r="Q86" s="41" t="str">
        <f t="shared" si="2"/>
        <v>3.2T LR_10 km_OSFP-XD and TBD</v>
      </c>
    </row>
    <row r="87" spans="2:17" s="92" customFormat="1">
      <c r="B87" s="87" t="str">
        <f>Products!B114</f>
        <v>3.2T ER</v>
      </c>
      <c r="C87" s="88" t="str">
        <f>Products!C114</f>
        <v>&gt;10 km</v>
      </c>
      <c r="D87" s="89" t="str">
        <f>Products!D114</f>
        <v>OSFP-XD and TBD</v>
      </c>
      <c r="E87" s="262">
        <v>0</v>
      </c>
      <c r="F87" s="262">
        <v>0</v>
      </c>
      <c r="G87" s="262">
        <v>0</v>
      </c>
      <c r="H87" s="262"/>
      <c r="I87" s="262"/>
      <c r="J87" s="262"/>
      <c r="K87" s="262"/>
      <c r="L87" s="262"/>
      <c r="M87" s="262"/>
      <c r="N87" s="262"/>
      <c r="O87" s="262"/>
      <c r="P87" s="262"/>
      <c r="Q87" s="41" t="str">
        <f t="shared" si="2"/>
        <v>3.2T ER_&gt;10 km_OSFP-XD and TBD</v>
      </c>
    </row>
    <row r="88" spans="2:17" s="92" customFormat="1">
      <c r="B88" s="83"/>
      <c r="C88" s="84"/>
      <c r="D88" s="85"/>
      <c r="E88" s="263"/>
      <c r="F88" s="263"/>
      <c r="G88" s="263"/>
      <c r="H88" s="263"/>
      <c r="I88" s="263"/>
      <c r="J88" s="263"/>
      <c r="K88" s="263"/>
      <c r="L88" s="263"/>
      <c r="M88" s="263"/>
      <c r="N88" s="263"/>
      <c r="O88" s="263"/>
      <c r="P88" s="263"/>
      <c r="Q88" s="58"/>
    </row>
    <row r="89" spans="2:17">
      <c r="B89" s="45" t="s">
        <v>20</v>
      </c>
      <c r="C89" s="46"/>
      <c r="D89" s="47"/>
      <c r="E89" s="96">
        <f t="shared" ref="E89:G89" si="3">SUM(E9:E88)</f>
        <v>4496664.3535132017</v>
      </c>
      <c r="F89" s="96">
        <f t="shared" si="3"/>
        <v>3902185.0984692555</v>
      </c>
      <c r="G89" s="96">
        <f t="shared" si="3"/>
        <v>5876521.6602941174</v>
      </c>
      <c r="H89" s="96"/>
      <c r="I89" s="96"/>
      <c r="J89" s="96"/>
      <c r="K89" s="96"/>
      <c r="L89" s="96"/>
      <c r="M89" s="96"/>
      <c r="N89" s="96"/>
      <c r="O89" s="96"/>
      <c r="P89" s="96"/>
      <c r="Q89" s="45" t="s">
        <v>20</v>
      </c>
    </row>
    <row r="92" spans="2:17" ht="21">
      <c r="B92" s="14" t="s">
        <v>19</v>
      </c>
      <c r="C92" s="14"/>
      <c r="D92" s="14"/>
    </row>
    <row r="93" spans="2:17">
      <c r="B93" s="77" t="e">
        <f>#REF!</f>
        <v>#REF!</v>
      </c>
      <c r="C93" s="77" t="e">
        <f>#REF!</f>
        <v>#REF!</v>
      </c>
      <c r="D93" s="77" t="e">
        <f>#REF!</f>
        <v>#REF!</v>
      </c>
      <c r="E93" s="100">
        <v>2016</v>
      </c>
      <c r="F93" s="100">
        <v>2017</v>
      </c>
      <c r="G93" s="100">
        <v>2018</v>
      </c>
      <c r="H93" s="100">
        <v>2019</v>
      </c>
      <c r="I93" s="100">
        <v>2020</v>
      </c>
      <c r="J93" s="100">
        <v>2021</v>
      </c>
      <c r="K93" s="100">
        <v>2022</v>
      </c>
      <c r="L93" s="100">
        <v>2023</v>
      </c>
      <c r="M93" s="100">
        <v>2024</v>
      </c>
      <c r="N93" s="100">
        <v>2025</v>
      </c>
      <c r="O93" s="100">
        <v>2026</v>
      </c>
      <c r="P93" s="100">
        <v>2027</v>
      </c>
    </row>
    <row r="94" spans="2:17">
      <c r="B94" s="79" t="str">
        <f t="shared" ref="B94:D113" si="4">B9</f>
        <v>1G</v>
      </c>
      <c r="C94" s="80" t="str">
        <f t="shared" si="4"/>
        <v>500 m</v>
      </c>
      <c r="D94" s="81" t="str">
        <f t="shared" si="4"/>
        <v>SFP</v>
      </c>
      <c r="E94" s="101">
        <v>10.178233731377588</v>
      </c>
      <c r="F94" s="101">
        <v>8.9746992158904888</v>
      </c>
      <c r="G94" s="101">
        <v>8.1963947817703744</v>
      </c>
      <c r="H94" s="101"/>
      <c r="I94" s="101"/>
      <c r="J94" s="101"/>
      <c r="K94" s="101"/>
      <c r="L94" s="101"/>
      <c r="M94" s="101"/>
      <c r="N94" s="101"/>
      <c r="O94" s="101"/>
      <c r="P94" s="101"/>
    </row>
    <row r="95" spans="2:17">
      <c r="B95" s="87" t="str">
        <f t="shared" si="4"/>
        <v>1G</v>
      </c>
      <c r="C95" s="88" t="str">
        <f t="shared" si="4"/>
        <v>10 km</v>
      </c>
      <c r="D95" s="89" t="str">
        <f t="shared" si="4"/>
        <v>SFP</v>
      </c>
      <c r="E95" s="103">
        <v>11.313150064475876</v>
      </c>
      <c r="F95" s="103">
        <v>9.7279618337487541</v>
      </c>
      <c r="G95" s="103">
        <v>7.9991133376783168</v>
      </c>
      <c r="H95" s="103"/>
      <c r="I95" s="103"/>
      <c r="J95" s="103"/>
      <c r="K95" s="103"/>
      <c r="L95" s="103"/>
      <c r="M95" s="103"/>
      <c r="N95" s="103"/>
      <c r="O95" s="103"/>
      <c r="P95" s="103"/>
    </row>
    <row r="96" spans="2:17">
      <c r="B96" s="87" t="str">
        <f t="shared" si="4"/>
        <v>1G</v>
      </c>
      <c r="C96" s="88" t="str">
        <f t="shared" si="4"/>
        <v>40 km</v>
      </c>
      <c r="D96" s="89" t="str">
        <f t="shared" si="4"/>
        <v>SFP</v>
      </c>
      <c r="E96" s="103">
        <v>14.223250006112197</v>
      </c>
      <c r="F96" s="103">
        <v>11.270556706605298</v>
      </c>
      <c r="G96" s="103">
        <v>11.355942578382948</v>
      </c>
      <c r="H96" s="103"/>
      <c r="I96" s="103"/>
      <c r="J96" s="103"/>
      <c r="K96" s="103"/>
      <c r="L96" s="103"/>
      <c r="M96" s="103"/>
      <c r="N96" s="103"/>
      <c r="O96" s="103"/>
      <c r="P96" s="103"/>
    </row>
    <row r="97" spans="2:16">
      <c r="B97" s="87" t="str">
        <f t="shared" si="4"/>
        <v>1G</v>
      </c>
      <c r="C97" s="88" t="str">
        <f t="shared" si="4"/>
        <v>80 km</v>
      </c>
      <c r="D97" s="88" t="str">
        <f t="shared" si="4"/>
        <v>SFP</v>
      </c>
      <c r="E97" s="103">
        <v>47.263945249069465</v>
      </c>
      <c r="F97" s="103">
        <v>42.349942382451964</v>
      </c>
      <c r="G97" s="103">
        <v>32.87799862653884</v>
      </c>
      <c r="H97" s="103"/>
      <c r="I97" s="103"/>
      <c r="J97" s="103"/>
      <c r="K97" s="103"/>
      <c r="L97" s="103"/>
      <c r="M97" s="103"/>
      <c r="N97" s="103"/>
      <c r="O97" s="103"/>
      <c r="P97" s="103"/>
    </row>
    <row r="98" spans="2:16">
      <c r="B98" s="83" t="str">
        <f t="shared" si="4"/>
        <v>1G &amp; Fast Ethernet</v>
      </c>
      <c r="C98" s="84" t="str">
        <f t="shared" si="4"/>
        <v>Various</v>
      </c>
      <c r="D98" s="84" t="str">
        <f t="shared" si="4"/>
        <v>Legacy/discontinued</v>
      </c>
      <c r="E98" s="102">
        <v>18</v>
      </c>
      <c r="F98" s="102" t="s">
        <v>94</v>
      </c>
      <c r="G98" s="102" t="s">
        <v>94</v>
      </c>
      <c r="H98" s="102"/>
      <c r="I98" s="102"/>
      <c r="J98" s="102"/>
      <c r="K98" s="102"/>
      <c r="L98" s="102"/>
      <c r="M98" s="102"/>
      <c r="N98" s="102"/>
      <c r="O98" s="102"/>
      <c r="P98" s="102"/>
    </row>
    <row r="99" spans="2:16">
      <c r="B99" s="87" t="str">
        <f t="shared" si="4"/>
        <v>10G</v>
      </c>
      <c r="C99" s="88" t="str">
        <f t="shared" si="4"/>
        <v>300 m</v>
      </c>
      <c r="D99" s="88" t="str">
        <f t="shared" si="4"/>
        <v>XFP</v>
      </c>
      <c r="E99" s="103">
        <v>65.084287545305614</v>
      </c>
      <c r="F99" s="103">
        <v>58.749084731162213</v>
      </c>
      <c r="G99" s="103">
        <v>53.859817130996483</v>
      </c>
      <c r="H99" s="103"/>
      <c r="I99" s="103"/>
      <c r="J99" s="103"/>
      <c r="K99" s="103"/>
      <c r="L99" s="103"/>
      <c r="M99" s="103"/>
      <c r="N99" s="103"/>
      <c r="O99" s="103"/>
      <c r="P99" s="103"/>
    </row>
    <row r="100" spans="2:16">
      <c r="B100" s="87" t="str">
        <f t="shared" si="4"/>
        <v>10G</v>
      </c>
      <c r="C100" s="88" t="str">
        <f t="shared" si="4"/>
        <v>300 m</v>
      </c>
      <c r="D100" s="88" t="str">
        <f t="shared" si="4"/>
        <v>SFP+</v>
      </c>
      <c r="E100" s="103">
        <v>18.016278339273537</v>
      </c>
      <c r="F100" s="103">
        <v>15.097691372748406</v>
      </c>
      <c r="G100" s="103">
        <v>12.873119482168063</v>
      </c>
      <c r="H100" s="103"/>
      <c r="I100" s="103"/>
      <c r="J100" s="103"/>
      <c r="K100" s="103"/>
      <c r="L100" s="103"/>
      <c r="M100" s="103"/>
      <c r="N100" s="103"/>
      <c r="O100" s="103"/>
      <c r="P100" s="103"/>
    </row>
    <row r="101" spans="2:16">
      <c r="B101" s="87" t="str">
        <f t="shared" si="4"/>
        <v>10G LRM</v>
      </c>
      <c r="C101" s="88" t="str">
        <f t="shared" si="4"/>
        <v>220 m</v>
      </c>
      <c r="D101" s="88" t="str">
        <f t="shared" si="4"/>
        <v>SFP+</v>
      </c>
      <c r="E101" s="103">
        <v>78.390761412913719</v>
      </c>
      <c r="F101" s="103">
        <v>66.716018564745482</v>
      </c>
      <c r="G101" s="103">
        <v>62.552567664917163</v>
      </c>
      <c r="H101" s="103"/>
      <c r="I101" s="103"/>
      <c r="J101" s="103"/>
      <c r="K101" s="103"/>
      <c r="L101" s="103"/>
      <c r="M101" s="103"/>
      <c r="N101" s="103"/>
      <c r="O101" s="103"/>
      <c r="P101" s="103"/>
    </row>
    <row r="102" spans="2:16">
      <c r="B102" s="87" t="str">
        <f t="shared" si="4"/>
        <v>10G</v>
      </c>
      <c r="C102" s="88" t="str">
        <f t="shared" si="4"/>
        <v>10 km</v>
      </c>
      <c r="D102" s="88" t="str">
        <f t="shared" si="4"/>
        <v>XFP</v>
      </c>
      <c r="E102" s="103">
        <v>67.576972221049004</v>
      </c>
      <c r="F102" s="103">
        <v>51.799368807617711</v>
      </c>
      <c r="G102" s="103">
        <v>44.013044587017021</v>
      </c>
      <c r="H102" s="103"/>
      <c r="I102" s="103"/>
      <c r="J102" s="103"/>
      <c r="K102" s="103"/>
      <c r="L102" s="103"/>
      <c r="M102" s="103"/>
      <c r="N102" s="103"/>
      <c r="O102" s="103"/>
      <c r="P102" s="103"/>
    </row>
    <row r="103" spans="2:16">
      <c r="B103" s="87" t="str">
        <f t="shared" si="4"/>
        <v>10G</v>
      </c>
      <c r="C103" s="88" t="str">
        <f t="shared" si="4"/>
        <v>10 km</v>
      </c>
      <c r="D103" s="88" t="str">
        <f t="shared" si="4"/>
        <v>SFP+</v>
      </c>
      <c r="E103" s="104">
        <v>38.465958311427336</v>
      </c>
      <c r="F103" s="104">
        <v>30.5</v>
      </c>
      <c r="G103" s="104">
        <v>24.174517052756187</v>
      </c>
      <c r="H103" s="104"/>
      <c r="I103" s="104"/>
      <c r="J103" s="104"/>
      <c r="K103" s="104"/>
      <c r="L103" s="104"/>
      <c r="M103" s="104"/>
      <c r="N103" s="104"/>
      <c r="O103" s="104"/>
      <c r="P103" s="104"/>
    </row>
    <row r="104" spans="2:16">
      <c r="B104" s="87" t="str">
        <f t="shared" si="4"/>
        <v>10G</v>
      </c>
      <c r="C104" s="88" t="str">
        <f t="shared" si="4"/>
        <v>40 km</v>
      </c>
      <c r="D104" s="88" t="str">
        <f t="shared" si="4"/>
        <v>XFP</v>
      </c>
      <c r="E104" s="103">
        <v>202.96860771881492</v>
      </c>
      <c r="F104" s="103">
        <v>139.47449702400385</v>
      </c>
      <c r="G104" s="103">
        <v>119.6669017796072</v>
      </c>
      <c r="H104" s="103"/>
      <c r="I104" s="103"/>
      <c r="J104" s="103"/>
      <c r="K104" s="103"/>
      <c r="L104" s="103"/>
      <c r="M104" s="103"/>
      <c r="N104" s="103"/>
      <c r="O104" s="103"/>
      <c r="P104" s="103"/>
    </row>
    <row r="105" spans="2:16">
      <c r="B105" s="87" t="str">
        <f t="shared" si="4"/>
        <v>10G</v>
      </c>
      <c r="C105" s="88" t="str">
        <f t="shared" si="4"/>
        <v>40 km</v>
      </c>
      <c r="D105" s="88" t="str">
        <f t="shared" si="4"/>
        <v>SFP+</v>
      </c>
      <c r="E105" s="103">
        <v>191.20778168956542</v>
      </c>
      <c r="F105" s="103">
        <v>155.78241680453388</v>
      </c>
      <c r="G105" s="103">
        <v>99.963714368632438</v>
      </c>
      <c r="H105" s="103"/>
      <c r="I105" s="103"/>
      <c r="J105" s="103"/>
      <c r="K105" s="103"/>
      <c r="L105" s="103"/>
      <c r="M105" s="103"/>
      <c r="N105" s="103"/>
      <c r="O105" s="103"/>
      <c r="P105" s="103"/>
    </row>
    <row r="106" spans="2:16">
      <c r="B106" s="87" t="str">
        <f t="shared" si="4"/>
        <v>10G</v>
      </c>
      <c r="C106" s="88" t="str">
        <f t="shared" si="4"/>
        <v>80 km</v>
      </c>
      <c r="D106" s="88" t="str">
        <f t="shared" si="4"/>
        <v>XFP</v>
      </c>
      <c r="E106" s="103">
        <v>272.0748723385496</v>
      </c>
      <c r="F106" s="103">
        <v>279.05568350167476</v>
      </c>
      <c r="G106" s="103">
        <v>298.53432873031477</v>
      </c>
      <c r="H106" s="103"/>
      <c r="I106" s="103"/>
      <c r="J106" s="103"/>
      <c r="K106" s="103"/>
      <c r="L106" s="103"/>
      <c r="M106" s="103"/>
      <c r="N106" s="103"/>
      <c r="O106" s="103"/>
      <c r="P106" s="103"/>
    </row>
    <row r="107" spans="2:16">
      <c r="B107" s="87" t="str">
        <f t="shared" si="4"/>
        <v>10G</v>
      </c>
      <c r="C107" s="88" t="str">
        <f t="shared" si="4"/>
        <v>80 km</v>
      </c>
      <c r="D107" s="88" t="str">
        <f t="shared" si="4"/>
        <v>SFP+</v>
      </c>
      <c r="E107" s="103">
        <v>362.31733736347383</v>
      </c>
      <c r="F107" s="103">
        <v>296.14130230693672</v>
      </c>
      <c r="G107" s="103">
        <v>232.06261204152722</v>
      </c>
      <c r="H107" s="103"/>
      <c r="I107" s="103"/>
      <c r="J107" s="103"/>
      <c r="K107" s="103"/>
      <c r="L107" s="103"/>
      <c r="M107" s="103"/>
      <c r="N107" s="103"/>
      <c r="O107" s="103"/>
      <c r="P107" s="103"/>
    </row>
    <row r="108" spans="2:16">
      <c r="B108" s="87" t="str">
        <f t="shared" si="4"/>
        <v>10G</v>
      </c>
      <c r="C108" s="88" t="str">
        <f t="shared" si="4"/>
        <v>Various</v>
      </c>
      <c r="D108" s="88" t="str">
        <f t="shared" si="4"/>
        <v>Legacy/discontinued</v>
      </c>
      <c r="E108" s="103">
        <v>99.093186017554928</v>
      </c>
      <c r="F108" s="103">
        <v>94.281145957499305</v>
      </c>
      <c r="G108" s="103">
        <v>114.28571428571429</v>
      </c>
      <c r="H108" s="103"/>
      <c r="I108" s="103"/>
      <c r="J108" s="103"/>
      <c r="K108" s="103"/>
      <c r="L108" s="103"/>
      <c r="M108" s="103"/>
      <c r="N108" s="103"/>
      <c r="O108" s="103"/>
      <c r="P108" s="103"/>
    </row>
    <row r="109" spans="2:16">
      <c r="B109" s="79" t="str">
        <f t="shared" si="4"/>
        <v>25G SR, eSR</v>
      </c>
      <c r="C109" s="80" t="str">
        <f t="shared" si="4"/>
        <v>100 - 300 m</v>
      </c>
      <c r="D109" s="80" t="str">
        <f t="shared" si="4"/>
        <v>SFP28</v>
      </c>
      <c r="E109" s="101">
        <v>187.14315701091519</v>
      </c>
      <c r="F109" s="101">
        <v>141.11071819746516</v>
      </c>
      <c r="G109" s="101">
        <v>87.296721341283785</v>
      </c>
      <c r="H109" s="101"/>
      <c r="I109" s="101"/>
      <c r="J109" s="101"/>
      <c r="K109" s="101"/>
      <c r="L109" s="101"/>
      <c r="M109" s="101"/>
      <c r="N109" s="101"/>
      <c r="O109" s="101"/>
      <c r="P109" s="101"/>
    </row>
    <row r="110" spans="2:16">
      <c r="B110" s="87" t="str">
        <f t="shared" si="4"/>
        <v>25G LR</v>
      </c>
      <c r="C110" s="88" t="str">
        <f t="shared" si="4"/>
        <v>10 km</v>
      </c>
      <c r="D110" s="88" t="str">
        <f t="shared" si="4"/>
        <v>SFP28</v>
      </c>
      <c r="E110" s="103">
        <v>456.24032541776609</v>
      </c>
      <c r="F110" s="103">
        <v>324.10355668962507</v>
      </c>
      <c r="G110" s="103">
        <v>194.62477807755377</v>
      </c>
      <c r="H110" s="103"/>
      <c r="I110" s="103"/>
      <c r="J110" s="103"/>
      <c r="K110" s="103"/>
      <c r="L110" s="103"/>
      <c r="M110" s="103"/>
      <c r="N110" s="103"/>
      <c r="O110" s="103"/>
      <c r="P110" s="103"/>
    </row>
    <row r="111" spans="2:16">
      <c r="B111" s="83" t="str">
        <f t="shared" si="4"/>
        <v>25G ER</v>
      </c>
      <c r="C111" s="84" t="str">
        <f t="shared" si="4"/>
        <v>40 km</v>
      </c>
      <c r="D111" s="84" t="str">
        <f t="shared" si="4"/>
        <v>SFP28</v>
      </c>
      <c r="E111" s="102" t="s">
        <v>94</v>
      </c>
      <c r="F111" s="102" t="s">
        <v>94</v>
      </c>
      <c r="G111" s="102" t="s">
        <v>94</v>
      </c>
      <c r="H111" s="102"/>
      <c r="I111" s="102"/>
      <c r="J111" s="102"/>
      <c r="K111" s="102"/>
      <c r="L111" s="102"/>
      <c r="M111" s="102"/>
      <c r="N111" s="102"/>
      <c r="O111" s="102"/>
      <c r="P111" s="102"/>
    </row>
    <row r="112" spans="2:16">
      <c r="B112" s="79" t="str">
        <f t="shared" si="4"/>
        <v>40G SR4</v>
      </c>
      <c r="C112" s="80" t="str">
        <f t="shared" si="4"/>
        <v>100 m</v>
      </c>
      <c r="D112" s="81" t="str">
        <f t="shared" si="4"/>
        <v>QSFP+</v>
      </c>
      <c r="E112" s="101">
        <v>96.595063887564976</v>
      </c>
      <c r="F112" s="101">
        <v>80.379797575925679</v>
      </c>
      <c r="G112" s="101">
        <v>58.660264540622045</v>
      </c>
      <c r="H112" s="101"/>
      <c r="I112" s="101"/>
      <c r="J112" s="101"/>
      <c r="K112" s="101"/>
      <c r="L112" s="101"/>
      <c r="M112" s="101"/>
      <c r="N112" s="101"/>
      <c r="O112" s="101"/>
      <c r="P112" s="101"/>
    </row>
    <row r="113" spans="2:16">
      <c r="B113" s="87" t="str">
        <f t="shared" si="4"/>
        <v>40G MM duplex</v>
      </c>
      <c r="C113" s="88" t="str">
        <f t="shared" si="4"/>
        <v>100 m</v>
      </c>
      <c r="D113" s="89" t="str">
        <f t="shared" si="4"/>
        <v>QSFP+</v>
      </c>
      <c r="E113" s="103">
        <v>250</v>
      </c>
      <c r="F113" s="103">
        <v>240</v>
      </c>
      <c r="G113" s="103">
        <v>227</v>
      </c>
      <c r="H113" s="103"/>
      <c r="I113" s="103"/>
      <c r="J113" s="103"/>
      <c r="K113" s="103"/>
      <c r="L113" s="103"/>
      <c r="M113" s="103"/>
      <c r="N113" s="103"/>
      <c r="O113" s="103"/>
      <c r="P113" s="103"/>
    </row>
    <row r="114" spans="2:16">
      <c r="B114" s="87" t="str">
        <f t="shared" ref="B114:D133" si="5">B29</f>
        <v>40G eSR4</v>
      </c>
      <c r="C114" s="88" t="str">
        <f t="shared" si="5"/>
        <v>300 m</v>
      </c>
      <c r="D114" s="89" t="str">
        <f t="shared" si="5"/>
        <v>QSFP+</v>
      </c>
      <c r="E114" s="103">
        <v>106.66614587912188</v>
      </c>
      <c r="F114" s="103">
        <v>80.99928194026171</v>
      </c>
      <c r="G114" s="103">
        <v>63.850920529241115</v>
      </c>
      <c r="H114" s="103"/>
      <c r="I114" s="103"/>
      <c r="J114" s="103"/>
      <c r="K114" s="103"/>
      <c r="L114" s="103"/>
      <c r="M114" s="103"/>
      <c r="N114" s="103"/>
      <c r="O114" s="103"/>
      <c r="P114" s="103"/>
    </row>
    <row r="115" spans="2:16">
      <c r="B115" s="87" t="str">
        <f t="shared" si="5"/>
        <v>40 G PSM4</v>
      </c>
      <c r="C115" s="88" t="str">
        <f t="shared" si="5"/>
        <v>500 m</v>
      </c>
      <c r="D115" s="89" t="str">
        <f t="shared" si="5"/>
        <v>QSFP+</v>
      </c>
      <c r="E115" s="103">
        <v>253.19068527507093</v>
      </c>
      <c r="F115" s="103">
        <v>262.79055146339874</v>
      </c>
      <c r="G115" s="103">
        <v>251.75081757202989</v>
      </c>
      <c r="H115" s="103"/>
      <c r="I115" s="103"/>
      <c r="J115" s="103"/>
      <c r="K115" s="103"/>
      <c r="L115" s="103"/>
      <c r="M115" s="103"/>
      <c r="N115" s="103"/>
      <c r="O115" s="103"/>
      <c r="P115" s="103"/>
    </row>
    <row r="116" spans="2:16">
      <c r="B116" s="87" t="str">
        <f t="shared" si="5"/>
        <v>40G (FR)</v>
      </c>
      <c r="C116" s="88" t="str">
        <f t="shared" si="5"/>
        <v>2 km</v>
      </c>
      <c r="D116" s="89" t="str">
        <f t="shared" si="5"/>
        <v>CFP</v>
      </c>
      <c r="E116" s="103">
        <v>4569.894941368153</v>
      </c>
      <c r="F116" s="103">
        <v>5251.681208639473</v>
      </c>
      <c r="G116" s="103" t="s">
        <v>94</v>
      </c>
      <c r="H116" s="103"/>
      <c r="I116" s="103"/>
      <c r="J116" s="103"/>
      <c r="K116" s="103"/>
      <c r="L116" s="103"/>
      <c r="M116" s="103"/>
      <c r="N116" s="103"/>
      <c r="O116" s="103"/>
      <c r="P116" s="103"/>
    </row>
    <row r="117" spans="2:16">
      <c r="B117" s="87" t="str">
        <f t="shared" si="5"/>
        <v>40G (LR4 subspec)</v>
      </c>
      <c r="C117" s="88" t="str">
        <f t="shared" si="5"/>
        <v>2 km</v>
      </c>
      <c r="D117" s="89" t="str">
        <f t="shared" si="5"/>
        <v>QSFP+</v>
      </c>
      <c r="E117" s="103">
        <v>377.60055209491952</v>
      </c>
      <c r="F117" s="103">
        <v>343.5254726908467</v>
      </c>
      <c r="G117" s="103">
        <v>303.68617678545809</v>
      </c>
      <c r="H117" s="103"/>
      <c r="I117" s="103"/>
      <c r="J117" s="103"/>
      <c r="K117" s="103"/>
      <c r="L117" s="103"/>
      <c r="M117" s="103"/>
      <c r="N117" s="103"/>
      <c r="O117" s="103"/>
      <c r="P117" s="103"/>
    </row>
    <row r="118" spans="2:16">
      <c r="B118" s="87" t="str">
        <f t="shared" si="5"/>
        <v>40G</v>
      </c>
      <c r="C118" s="88" t="str">
        <f t="shared" si="5"/>
        <v>10 km</v>
      </c>
      <c r="D118" s="89" t="str">
        <f t="shared" si="5"/>
        <v>CFP</v>
      </c>
      <c r="E118" s="103">
        <v>1174.9655306999969</v>
      </c>
      <c r="F118" s="103">
        <v>1350.8997571323105</v>
      </c>
      <c r="G118" s="103" t="s">
        <v>94</v>
      </c>
      <c r="H118" s="103"/>
      <c r="I118" s="103"/>
      <c r="J118" s="103"/>
      <c r="K118" s="103"/>
      <c r="L118" s="103"/>
      <c r="M118" s="103"/>
      <c r="N118" s="103"/>
      <c r="O118" s="103"/>
      <c r="P118" s="103"/>
    </row>
    <row r="119" spans="2:16">
      <c r="B119" s="87" t="str">
        <f t="shared" si="5"/>
        <v>40G</v>
      </c>
      <c r="C119" s="88" t="str">
        <f t="shared" si="5"/>
        <v>10 km</v>
      </c>
      <c r="D119" s="89" t="str">
        <f t="shared" si="5"/>
        <v>QSFP+</v>
      </c>
      <c r="E119" s="103">
        <v>427.72742888770347</v>
      </c>
      <c r="F119" s="103">
        <v>401.36672508917627</v>
      </c>
      <c r="G119" s="103">
        <v>361.77095787062291</v>
      </c>
      <c r="H119" s="103"/>
      <c r="I119" s="103"/>
      <c r="J119" s="103"/>
      <c r="K119" s="103"/>
      <c r="L119" s="103"/>
      <c r="M119" s="103"/>
      <c r="N119" s="103"/>
      <c r="O119" s="103"/>
      <c r="P119" s="103"/>
    </row>
    <row r="120" spans="2:16">
      <c r="B120" s="83" t="str">
        <f t="shared" si="5"/>
        <v>40G</v>
      </c>
      <c r="C120" s="84" t="str">
        <f t="shared" si="5"/>
        <v>40 km</v>
      </c>
      <c r="D120" s="85" t="str">
        <f t="shared" si="5"/>
        <v>QSFP+</v>
      </c>
      <c r="E120" s="102">
        <v>1673.0572324239708</v>
      </c>
      <c r="F120" s="102">
        <v>1459.2330281290015</v>
      </c>
      <c r="G120" s="102">
        <v>1255.0508268482483</v>
      </c>
      <c r="H120" s="102"/>
      <c r="I120" s="102"/>
      <c r="J120" s="102"/>
      <c r="K120" s="102"/>
      <c r="L120" s="102"/>
      <c r="M120" s="102"/>
      <c r="N120" s="102"/>
      <c r="O120" s="102"/>
      <c r="P120" s="102"/>
    </row>
    <row r="121" spans="2:16">
      <c r="B121" s="79" t="str">
        <f t="shared" si="5"/>
        <v xml:space="preserve">50G </v>
      </c>
      <c r="C121" s="80" t="str">
        <f t="shared" si="5"/>
        <v>100 m</v>
      </c>
      <c r="D121" s="80" t="str">
        <f t="shared" si="5"/>
        <v>all</v>
      </c>
      <c r="E121" s="101" t="s">
        <v>94</v>
      </c>
      <c r="F121" s="101" t="s">
        <v>94</v>
      </c>
      <c r="G121" s="101" t="s">
        <v>94</v>
      </c>
      <c r="H121" s="101"/>
      <c r="I121" s="101"/>
      <c r="J121" s="101"/>
      <c r="K121" s="101"/>
      <c r="L121" s="101"/>
      <c r="M121" s="101"/>
      <c r="N121" s="101"/>
      <c r="O121" s="101"/>
      <c r="P121" s="101"/>
    </row>
    <row r="122" spans="2:16">
      <c r="B122" s="87" t="str">
        <f t="shared" si="5"/>
        <v xml:space="preserve">50G </v>
      </c>
      <c r="C122" s="88" t="str">
        <f t="shared" si="5"/>
        <v>2 km</v>
      </c>
      <c r="D122" s="88" t="str">
        <f t="shared" si="5"/>
        <v>all</v>
      </c>
      <c r="E122" s="103" t="s">
        <v>94</v>
      </c>
      <c r="F122" s="103" t="s">
        <v>94</v>
      </c>
      <c r="G122" s="103" t="s">
        <v>94</v>
      </c>
      <c r="H122" s="103"/>
      <c r="I122" s="103"/>
      <c r="J122" s="103"/>
      <c r="K122" s="103"/>
      <c r="L122" s="103"/>
      <c r="M122" s="103"/>
      <c r="N122" s="103"/>
      <c r="O122" s="103"/>
      <c r="P122" s="103"/>
    </row>
    <row r="123" spans="2:16">
      <c r="B123" s="87" t="str">
        <f t="shared" si="5"/>
        <v xml:space="preserve">50G </v>
      </c>
      <c r="C123" s="88" t="str">
        <f t="shared" si="5"/>
        <v>10 km</v>
      </c>
      <c r="D123" s="88" t="str">
        <f t="shared" si="5"/>
        <v>all</v>
      </c>
      <c r="E123" s="103" t="s">
        <v>94</v>
      </c>
      <c r="F123" s="103" t="s">
        <v>94</v>
      </c>
      <c r="G123" s="103" t="s">
        <v>94</v>
      </c>
      <c r="H123" s="103"/>
      <c r="I123" s="103"/>
      <c r="J123" s="103"/>
      <c r="K123" s="103"/>
      <c r="L123" s="103"/>
      <c r="M123" s="103"/>
      <c r="N123" s="103"/>
      <c r="O123" s="103"/>
      <c r="P123" s="103"/>
    </row>
    <row r="124" spans="2:16">
      <c r="B124" s="87" t="str">
        <f t="shared" si="5"/>
        <v xml:space="preserve">50G </v>
      </c>
      <c r="C124" s="88" t="str">
        <f t="shared" si="5"/>
        <v>40 km</v>
      </c>
      <c r="D124" s="88" t="str">
        <f t="shared" si="5"/>
        <v>all</v>
      </c>
      <c r="E124" s="103">
        <v>0</v>
      </c>
      <c r="F124" s="103">
        <v>0</v>
      </c>
      <c r="G124" s="103">
        <v>0</v>
      </c>
      <c r="H124" s="103"/>
      <c r="I124" s="103"/>
      <c r="J124" s="103"/>
      <c r="K124" s="103"/>
      <c r="L124" s="103"/>
      <c r="M124" s="103"/>
      <c r="N124" s="103"/>
      <c r="O124" s="103"/>
      <c r="P124" s="103"/>
    </row>
    <row r="125" spans="2:16">
      <c r="B125" s="87" t="str">
        <f t="shared" si="5"/>
        <v xml:space="preserve">50G </v>
      </c>
      <c r="C125" s="88" t="str">
        <f t="shared" si="5"/>
        <v>80 km</v>
      </c>
      <c r="D125" s="88" t="str">
        <f t="shared" si="5"/>
        <v>all</v>
      </c>
      <c r="E125" s="102">
        <v>0</v>
      </c>
      <c r="F125" s="102">
        <v>0</v>
      </c>
      <c r="G125" s="102">
        <v>0</v>
      </c>
      <c r="H125" s="102"/>
      <c r="I125" s="102"/>
      <c r="J125" s="102"/>
      <c r="K125" s="102"/>
      <c r="L125" s="102"/>
      <c r="M125" s="102"/>
      <c r="N125" s="102"/>
      <c r="O125" s="102"/>
      <c r="P125" s="102"/>
    </row>
    <row r="126" spans="2:16">
      <c r="B126" s="79" t="str">
        <f t="shared" si="5"/>
        <v>100G SR4</v>
      </c>
      <c r="C126" s="80" t="str">
        <f t="shared" si="5"/>
        <v>100 m</v>
      </c>
      <c r="D126" s="81" t="str">
        <f t="shared" si="5"/>
        <v>CFP</v>
      </c>
      <c r="E126" s="103">
        <v>1422.7039686825053</v>
      </c>
      <c r="F126" s="103">
        <v>1273.3986691740201</v>
      </c>
      <c r="G126" s="103">
        <v>1018.9069493521796</v>
      </c>
      <c r="H126" s="103"/>
      <c r="I126" s="103"/>
      <c r="J126" s="103"/>
      <c r="K126" s="103"/>
      <c r="L126" s="103"/>
      <c r="M126" s="103"/>
      <c r="N126" s="103"/>
      <c r="O126" s="103"/>
      <c r="P126" s="103"/>
    </row>
    <row r="127" spans="2:16">
      <c r="B127" s="87" t="str">
        <f t="shared" si="5"/>
        <v>100G SR4</v>
      </c>
      <c r="C127" s="88" t="str">
        <f t="shared" si="5"/>
        <v>100 m</v>
      </c>
      <c r="D127" s="89" t="str">
        <f t="shared" si="5"/>
        <v>CFP2/4</v>
      </c>
      <c r="E127" s="103">
        <v>1204.7629951912068</v>
      </c>
      <c r="F127" s="103">
        <v>1092.608197443808</v>
      </c>
      <c r="G127" s="103">
        <v>1004.0468400000002</v>
      </c>
      <c r="H127" s="103"/>
      <c r="I127" s="103"/>
      <c r="J127" s="103"/>
      <c r="K127" s="103"/>
      <c r="L127" s="103"/>
      <c r="M127" s="103"/>
      <c r="N127" s="103"/>
      <c r="O127" s="103"/>
      <c r="P127" s="103"/>
    </row>
    <row r="128" spans="2:16">
      <c r="B128" s="87" t="str">
        <f t="shared" si="5"/>
        <v>100G SR4</v>
      </c>
      <c r="C128" s="88" t="str">
        <f t="shared" si="5"/>
        <v>100 m</v>
      </c>
      <c r="D128" s="89" t="str">
        <f t="shared" si="5"/>
        <v>QSFP28</v>
      </c>
      <c r="E128" s="103">
        <v>258.09426618771823</v>
      </c>
      <c r="F128" s="103">
        <v>182.02277386466108</v>
      </c>
      <c r="G128" s="103">
        <v>113.54682982085136</v>
      </c>
      <c r="H128" s="103"/>
      <c r="I128" s="103"/>
      <c r="J128" s="103"/>
      <c r="K128" s="103"/>
      <c r="L128" s="103"/>
      <c r="M128" s="103"/>
      <c r="N128" s="103"/>
      <c r="O128" s="103"/>
      <c r="P128" s="103"/>
    </row>
    <row r="129" spans="2:16">
      <c r="B129" s="87" t="str">
        <f t="shared" si="5"/>
        <v>100G SR2</v>
      </c>
      <c r="C129" s="88" t="str">
        <f t="shared" si="5"/>
        <v>100 m</v>
      </c>
      <c r="D129" s="89" t="str">
        <f t="shared" si="5"/>
        <v>All</v>
      </c>
      <c r="E129" s="103" t="s">
        <v>94</v>
      </c>
      <c r="F129" s="103" t="s">
        <v>94</v>
      </c>
      <c r="G129" s="103" t="s">
        <v>94</v>
      </c>
      <c r="H129" s="103"/>
      <c r="I129" s="103"/>
      <c r="J129" s="103"/>
      <c r="K129" s="103"/>
      <c r="L129" s="103"/>
      <c r="M129" s="103"/>
      <c r="N129" s="103"/>
      <c r="O129" s="103"/>
      <c r="P129" s="103"/>
    </row>
    <row r="130" spans="2:16">
      <c r="B130" s="87" t="str">
        <f t="shared" si="5"/>
        <v>100G MM Duplex</v>
      </c>
      <c r="C130" s="88" t="str">
        <f t="shared" si="5"/>
        <v>100 - 300 m</v>
      </c>
      <c r="D130" s="89" t="str">
        <f t="shared" si="5"/>
        <v>QSFP28</v>
      </c>
      <c r="E130" s="103" t="s">
        <v>94</v>
      </c>
      <c r="F130" s="103" t="s">
        <v>94</v>
      </c>
      <c r="G130" s="103">
        <v>170</v>
      </c>
      <c r="H130" s="103"/>
      <c r="I130" s="103"/>
      <c r="J130" s="103"/>
      <c r="K130" s="103"/>
      <c r="L130" s="103"/>
      <c r="M130" s="103"/>
      <c r="N130" s="103"/>
      <c r="O130" s="103"/>
      <c r="P130" s="103"/>
    </row>
    <row r="131" spans="2:16">
      <c r="B131" s="87" t="str">
        <f t="shared" si="5"/>
        <v>100G eSR4</v>
      </c>
      <c r="C131" s="88" t="str">
        <f t="shared" si="5"/>
        <v>300 m</v>
      </c>
      <c r="D131" s="89" t="str">
        <f t="shared" si="5"/>
        <v>QSFP28</v>
      </c>
      <c r="E131" s="103" t="s">
        <v>94</v>
      </c>
      <c r="F131" s="103" t="s">
        <v>94</v>
      </c>
      <c r="G131" s="103">
        <v>170</v>
      </c>
      <c r="H131" s="103"/>
      <c r="I131" s="103"/>
      <c r="J131" s="103"/>
      <c r="K131" s="103"/>
      <c r="L131" s="103"/>
      <c r="M131" s="103"/>
      <c r="N131" s="103"/>
      <c r="O131" s="103"/>
      <c r="P131" s="103"/>
    </row>
    <row r="132" spans="2:16">
      <c r="B132" s="87" t="str">
        <f t="shared" si="5"/>
        <v>100G PSM4</v>
      </c>
      <c r="C132" s="88" t="str">
        <f t="shared" si="5"/>
        <v>500 m</v>
      </c>
      <c r="D132" s="89" t="str">
        <f t="shared" si="5"/>
        <v>QSFP28</v>
      </c>
      <c r="E132" s="103">
        <v>337.41687156790022</v>
      </c>
      <c r="F132" s="103">
        <v>222.65569307558187</v>
      </c>
      <c r="G132" s="103">
        <v>188.02033788894266</v>
      </c>
      <c r="H132" s="103"/>
      <c r="I132" s="103"/>
      <c r="J132" s="103"/>
      <c r="K132" s="103"/>
      <c r="L132" s="103"/>
      <c r="M132" s="103"/>
      <c r="N132" s="103"/>
      <c r="O132" s="103"/>
      <c r="P132" s="103"/>
    </row>
    <row r="133" spans="2:16">
      <c r="B133" s="87" t="str">
        <f t="shared" si="5"/>
        <v>100G DR</v>
      </c>
      <c r="C133" s="88" t="str">
        <f t="shared" si="5"/>
        <v>500m</v>
      </c>
      <c r="D133" s="89" t="str">
        <f t="shared" si="5"/>
        <v>QSFP28</v>
      </c>
      <c r="E133" s="103" t="s">
        <v>94</v>
      </c>
      <c r="F133" s="103" t="s">
        <v>94</v>
      </c>
      <c r="G133" s="103" t="s">
        <v>94</v>
      </c>
      <c r="H133" s="103"/>
      <c r="I133" s="103"/>
      <c r="J133" s="103"/>
      <c r="K133" s="103"/>
      <c r="L133" s="103"/>
      <c r="M133" s="103"/>
      <c r="N133" s="103"/>
      <c r="O133" s="103"/>
      <c r="P133" s="103"/>
    </row>
    <row r="134" spans="2:16">
      <c r="B134" s="87" t="str">
        <f t="shared" ref="B134:D147" si="6">B49</f>
        <v>100G CWDM4-subspec</v>
      </c>
      <c r="C134" s="88" t="str">
        <f t="shared" si="6"/>
        <v>500 m</v>
      </c>
      <c r="D134" s="89" t="str">
        <f t="shared" si="6"/>
        <v>QSFP28</v>
      </c>
      <c r="E134" s="103">
        <v>625</v>
      </c>
      <c r="F134" s="103">
        <v>450</v>
      </c>
      <c r="G134" s="103">
        <v>280</v>
      </c>
      <c r="H134" s="103"/>
      <c r="I134" s="103"/>
      <c r="J134" s="103"/>
      <c r="K134" s="103"/>
      <c r="L134" s="103"/>
      <c r="M134" s="103"/>
      <c r="N134" s="103"/>
      <c r="O134" s="103"/>
      <c r="P134" s="103"/>
    </row>
    <row r="135" spans="2:16">
      <c r="B135" s="87" t="str">
        <f t="shared" si="6"/>
        <v>100G CWDM4</v>
      </c>
      <c r="C135" s="88" t="str">
        <f t="shared" si="6"/>
        <v>2 km</v>
      </c>
      <c r="D135" s="89" t="str">
        <f t="shared" si="6"/>
        <v>QSFP28</v>
      </c>
      <c r="E135" s="103">
        <v>825</v>
      </c>
      <c r="F135" s="103">
        <v>650</v>
      </c>
      <c r="G135" s="103">
        <v>490</v>
      </c>
      <c r="H135" s="103"/>
      <c r="I135" s="103"/>
      <c r="J135" s="103"/>
      <c r="K135" s="103"/>
      <c r="L135" s="103"/>
      <c r="M135" s="103"/>
      <c r="N135" s="103"/>
      <c r="O135" s="103"/>
      <c r="P135" s="103"/>
    </row>
    <row r="136" spans="2:16">
      <c r="B136" s="87" t="str">
        <f t="shared" si="6"/>
        <v>100G FR, DR+</v>
      </c>
      <c r="C136" s="88" t="str">
        <f t="shared" si="6"/>
        <v>2 km</v>
      </c>
      <c r="D136" s="89" t="str">
        <f t="shared" si="6"/>
        <v>QSFP28</v>
      </c>
      <c r="E136" s="103" t="s">
        <v>94</v>
      </c>
      <c r="F136" s="103" t="s">
        <v>94</v>
      </c>
      <c r="G136" s="103">
        <v>400</v>
      </c>
      <c r="H136" s="103"/>
      <c r="I136" s="103"/>
      <c r="J136" s="103"/>
      <c r="K136" s="103"/>
      <c r="L136" s="103"/>
      <c r="M136" s="103"/>
      <c r="N136" s="103"/>
      <c r="O136" s="103"/>
      <c r="P136" s="103"/>
    </row>
    <row r="137" spans="2:16">
      <c r="B137" s="87" t="str">
        <f t="shared" si="6"/>
        <v>100G LR4</v>
      </c>
      <c r="C137" s="88" t="str">
        <f t="shared" si="6"/>
        <v>10 km</v>
      </c>
      <c r="D137" s="89" t="str">
        <f t="shared" si="6"/>
        <v>CFP</v>
      </c>
      <c r="E137" s="103">
        <v>3527.8709620331333</v>
      </c>
      <c r="F137" s="103">
        <v>2768.0701132780364</v>
      </c>
      <c r="G137" s="103">
        <v>2103.9330552211131</v>
      </c>
      <c r="H137" s="103"/>
      <c r="I137" s="103"/>
      <c r="J137" s="103"/>
      <c r="K137" s="103"/>
      <c r="L137" s="103"/>
      <c r="M137" s="103"/>
      <c r="N137" s="103"/>
      <c r="O137" s="103"/>
      <c r="P137" s="103"/>
    </row>
    <row r="138" spans="2:16">
      <c r="B138" s="87" t="str">
        <f t="shared" si="6"/>
        <v>100G LR4</v>
      </c>
      <c r="C138" s="88" t="str">
        <f t="shared" si="6"/>
        <v>10 km</v>
      </c>
      <c r="D138" s="89" t="str">
        <f t="shared" si="6"/>
        <v>CFP2/4</v>
      </c>
      <c r="E138" s="103">
        <v>2882.5268681316725</v>
      </c>
      <c r="F138" s="103">
        <v>2140.3307221126156</v>
      </c>
      <c r="G138" s="103">
        <v>1371.5324877705048</v>
      </c>
      <c r="H138" s="103"/>
      <c r="I138" s="103"/>
      <c r="J138" s="103"/>
      <c r="K138" s="103"/>
      <c r="L138" s="103"/>
      <c r="M138" s="103"/>
      <c r="N138" s="103"/>
      <c r="O138" s="103"/>
      <c r="P138" s="103"/>
    </row>
    <row r="139" spans="2:16">
      <c r="B139" s="87" t="str">
        <f t="shared" si="6"/>
        <v>100G LR4 and LR1</v>
      </c>
      <c r="C139" s="88" t="str">
        <f t="shared" si="6"/>
        <v>10 km</v>
      </c>
      <c r="D139" s="89" t="str">
        <f t="shared" si="6"/>
        <v>QSFP28</v>
      </c>
      <c r="E139" s="103">
        <v>1938.1501024552811</v>
      </c>
      <c r="F139" s="103">
        <v>1200</v>
      </c>
      <c r="G139" s="103">
        <v>833.83281288172873</v>
      </c>
      <c r="H139" s="103"/>
      <c r="I139" s="103"/>
      <c r="J139" s="103"/>
      <c r="K139" s="103"/>
      <c r="L139" s="103"/>
      <c r="M139" s="103"/>
      <c r="N139" s="103"/>
      <c r="O139" s="103"/>
      <c r="P139" s="103"/>
    </row>
    <row r="140" spans="2:16">
      <c r="B140" s="87" t="str">
        <f t="shared" si="6"/>
        <v>100G 4WDM10</v>
      </c>
      <c r="C140" s="88" t="str">
        <f t="shared" si="6"/>
        <v>10 km</v>
      </c>
      <c r="D140" s="89" t="str">
        <f t="shared" si="6"/>
        <v>QSFP28</v>
      </c>
      <c r="E140" s="103" t="s">
        <v>94</v>
      </c>
      <c r="F140" s="103">
        <v>500</v>
      </c>
      <c r="G140" s="103">
        <v>300</v>
      </c>
      <c r="H140" s="103"/>
      <c r="I140" s="103"/>
      <c r="J140" s="103"/>
      <c r="K140" s="103"/>
      <c r="L140" s="103"/>
      <c r="M140" s="103"/>
      <c r="N140" s="103"/>
      <c r="O140" s="103"/>
      <c r="P140" s="103"/>
    </row>
    <row r="141" spans="2:16">
      <c r="B141" s="87" t="str">
        <f t="shared" si="6"/>
        <v>100G 4WDM20</v>
      </c>
      <c r="C141" s="88" t="str">
        <f t="shared" si="6"/>
        <v>20 km</v>
      </c>
      <c r="D141" s="89" t="str">
        <f t="shared" si="6"/>
        <v>QSFP28</v>
      </c>
      <c r="E141" s="103" t="s">
        <v>94</v>
      </c>
      <c r="F141" s="103" t="s">
        <v>94</v>
      </c>
      <c r="G141" s="103" t="s">
        <v>94</v>
      </c>
      <c r="H141" s="103"/>
      <c r="I141" s="103"/>
      <c r="J141" s="103"/>
      <c r="K141" s="103"/>
      <c r="L141" s="103"/>
      <c r="M141" s="103"/>
      <c r="N141" s="103"/>
      <c r="O141" s="103"/>
      <c r="P141" s="103"/>
    </row>
    <row r="142" spans="2:16">
      <c r="B142" s="87" t="str">
        <f t="shared" si="6"/>
        <v>100G ER4-Lite</v>
      </c>
      <c r="C142" s="88" t="str">
        <f t="shared" si="6"/>
        <v>30 km</v>
      </c>
      <c r="D142" s="89" t="str">
        <f t="shared" si="6"/>
        <v>QSFP28</v>
      </c>
      <c r="E142" s="103" t="s">
        <v>94</v>
      </c>
      <c r="F142" s="103">
        <v>3487.2423945044161</v>
      </c>
      <c r="G142" s="103">
        <v>3113.2837037037034</v>
      </c>
      <c r="H142" s="103"/>
      <c r="I142" s="103"/>
      <c r="J142" s="103"/>
      <c r="K142" s="103"/>
      <c r="L142" s="103"/>
      <c r="M142" s="103"/>
      <c r="N142" s="103"/>
      <c r="O142" s="103"/>
      <c r="P142" s="103"/>
    </row>
    <row r="143" spans="2:16">
      <c r="B143" s="87" t="str">
        <f t="shared" si="6"/>
        <v>100G ER4</v>
      </c>
      <c r="C143" s="88" t="str">
        <f t="shared" si="6"/>
        <v>40 km</v>
      </c>
      <c r="D143" s="89" t="str">
        <f t="shared" si="6"/>
        <v>QSFP28</v>
      </c>
      <c r="E143" s="103">
        <v>8992.3604525403425</v>
      </c>
      <c r="F143" s="103">
        <v>6675.4855675304152</v>
      </c>
      <c r="G143" s="103">
        <v>4939.9288403201153</v>
      </c>
      <c r="H143" s="103"/>
      <c r="I143" s="103"/>
      <c r="J143" s="103"/>
      <c r="K143" s="103"/>
      <c r="L143" s="103"/>
      <c r="M143" s="103"/>
      <c r="N143" s="103"/>
      <c r="O143" s="103"/>
      <c r="P143" s="103"/>
    </row>
    <row r="144" spans="2:16">
      <c r="B144" s="83" t="str">
        <f t="shared" si="6"/>
        <v>100G ZR4</v>
      </c>
      <c r="C144" s="84" t="str">
        <f t="shared" si="6"/>
        <v>80 km</v>
      </c>
      <c r="D144" s="85" t="str">
        <f t="shared" si="6"/>
        <v>QSFP28</v>
      </c>
      <c r="E144" s="102" t="s">
        <v>94</v>
      </c>
      <c r="F144" s="102" t="s">
        <v>94</v>
      </c>
      <c r="G144" s="102" t="s">
        <v>94</v>
      </c>
      <c r="H144" s="102"/>
      <c r="I144" s="102"/>
      <c r="J144" s="102"/>
      <c r="K144" s="102"/>
      <c r="L144" s="102"/>
      <c r="M144" s="102"/>
      <c r="N144" s="102"/>
      <c r="O144" s="102"/>
      <c r="P144" s="102"/>
    </row>
    <row r="145" spans="2:18">
      <c r="B145" s="79" t="str">
        <f t="shared" si="6"/>
        <v>200G SR4</v>
      </c>
      <c r="C145" s="80" t="str">
        <f t="shared" si="6"/>
        <v>100 m</v>
      </c>
      <c r="D145" s="81" t="str">
        <f t="shared" si="6"/>
        <v>QSFP56</v>
      </c>
      <c r="E145" s="101">
        <v>0</v>
      </c>
      <c r="F145" s="101">
        <v>0</v>
      </c>
      <c r="G145" s="101">
        <v>700</v>
      </c>
      <c r="H145" s="101"/>
      <c r="I145" s="101"/>
      <c r="J145" s="101"/>
      <c r="K145" s="101"/>
      <c r="L145" s="101"/>
      <c r="M145" s="101"/>
      <c r="N145" s="101"/>
      <c r="O145" s="101"/>
      <c r="P145" s="101"/>
    </row>
    <row r="146" spans="2:18">
      <c r="B146" s="87" t="str">
        <f t="shared" si="6"/>
        <v>200G DR</v>
      </c>
      <c r="C146" s="88" t="str">
        <f t="shared" si="6"/>
        <v>500 m</v>
      </c>
      <c r="D146" s="89" t="str">
        <f t="shared" si="6"/>
        <v>TBD</v>
      </c>
      <c r="E146" s="103">
        <v>0</v>
      </c>
      <c r="F146" s="103">
        <v>0</v>
      </c>
      <c r="G146" s="103" t="s">
        <v>94</v>
      </c>
      <c r="H146" s="103"/>
      <c r="I146" s="103"/>
      <c r="J146" s="103"/>
      <c r="K146" s="103"/>
      <c r="L146" s="103"/>
      <c r="M146" s="103"/>
      <c r="N146" s="103"/>
      <c r="O146" s="103"/>
      <c r="P146" s="103"/>
    </row>
    <row r="147" spans="2:18">
      <c r="B147" s="87" t="str">
        <f t="shared" si="6"/>
        <v>200G FR4</v>
      </c>
      <c r="C147" s="88" t="str">
        <f t="shared" si="6"/>
        <v>3 km</v>
      </c>
      <c r="D147" s="89" t="str">
        <f t="shared" si="6"/>
        <v>QSFP56</v>
      </c>
      <c r="E147" s="103">
        <v>0</v>
      </c>
      <c r="F147" s="103">
        <v>0</v>
      </c>
      <c r="G147" s="103">
        <v>1500</v>
      </c>
      <c r="H147" s="103"/>
      <c r="I147" s="103"/>
      <c r="J147" s="103"/>
      <c r="K147" s="103"/>
      <c r="L147" s="103"/>
      <c r="M147" s="103"/>
      <c r="N147" s="103"/>
      <c r="O147" s="103"/>
      <c r="P147" s="103"/>
    </row>
    <row r="148" spans="2:18">
      <c r="B148" s="87" t="str">
        <f t="shared" ref="B148:D148" si="7">B63</f>
        <v>200G LR</v>
      </c>
      <c r="C148" s="88" t="str">
        <f t="shared" si="7"/>
        <v>10 km</v>
      </c>
      <c r="D148" s="89" t="str">
        <f t="shared" si="7"/>
        <v>TBD</v>
      </c>
      <c r="E148" s="103">
        <v>0</v>
      </c>
      <c r="F148" s="103">
        <v>0</v>
      </c>
      <c r="G148" s="103" t="s">
        <v>94</v>
      </c>
      <c r="H148" s="103"/>
      <c r="I148" s="103"/>
      <c r="J148" s="103"/>
      <c r="K148" s="103"/>
      <c r="L148" s="103"/>
      <c r="M148" s="103"/>
      <c r="N148" s="103"/>
      <c r="O148" s="103"/>
      <c r="P148" s="103"/>
    </row>
    <row r="149" spans="2:18">
      <c r="B149" s="87" t="str">
        <f t="shared" ref="B149:D149" si="8">B64</f>
        <v>200G ER4</v>
      </c>
      <c r="C149" s="88" t="str">
        <f t="shared" si="8"/>
        <v>40 km</v>
      </c>
      <c r="D149" s="89" t="str">
        <f t="shared" si="8"/>
        <v>TBD</v>
      </c>
      <c r="E149" s="103">
        <v>0</v>
      </c>
      <c r="F149" s="103">
        <v>0</v>
      </c>
      <c r="G149" s="103" t="s">
        <v>94</v>
      </c>
      <c r="H149" s="103"/>
      <c r="I149" s="103"/>
      <c r="J149" s="103"/>
      <c r="K149" s="103"/>
      <c r="L149" s="103"/>
      <c r="M149" s="103"/>
      <c r="N149" s="103"/>
      <c r="O149" s="103"/>
      <c r="P149" s="103"/>
    </row>
    <row r="150" spans="2:18">
      <c r="B150" s="79" t="str">
        <f t="shared" ref="B150:D159" si="9">B65</f>
        <v>2x200 (400G-SR8)</v>
      </c>
      <c r="C150" s="80" t="str">
        <f t="shared" si="9"/>
        <v>100 m</v>
      </c>
      <c r="D150" s="81" t="str">
        <f t="shared" si="9"/>
        <v>OSFP, QSFP-DD</v>
      </c>
      <c r="E150" s="101">
        <v>0</v>
      </c>
      <c r="F150" s="101">
        <v>0</v>
      </c>
      <c r="G150" s="101">
        <v>644</v>
      </c>
      <c r="H150" s="101"/>
      <c r="I150" s="101"/>
      <c r="J150" s="101"/>
      <c r="K150" s="101"/>
      <c r="L150" s="101"/>
      <c r="M150" s="101"/>
      <c r="N150" s="101"/>
      <c r="O150" s="101"/>
      <c r="P150" s="101"/>
    </row>
    <row r="151" spans="2:18">
      <c r="B151" s="87" t="str">
        <f t="shared" si="9"/>
        <v>400G SR4.2</v>
      </c>
      <c r="C151" s="88" t="str">
        <f t="shared" si="9"/>
        <v>100 m</v>
      </c>
      <c r="D151" s="89" t="str">
        <f t="shared" si="9"/>
        <v>OSFP, QSFP-DD</v>
      </c>
      <c r="E151" s="103">
        <v>0</v>
      </c>
      <c r="F151" s="103">
        <v>0</v>
      </c>
      <c r="G151" s="103" t="s">
        <v>94</v>
      </c>
      <c r="H151" s="103"/>
      <c r="I151" s="103"/>
      <c r="J151" s="103"/>
      <c r="K151" s="103"/>
      <c r="L151" s="103"/>
      <c r="M151" s="103"/>
      <c r="N151" s="103"/>
      <c r="O151" s="103"/>
      <c r="P151" s="103"/>
    </row>
    <row r="152" spans="2:18">
      <c r="B152" s="87" t="str">
        <f t="shared" si="9"/>
        <v>400G DR4</v>
      </c>
      <c r="C152" s="88" t="str">
        <f t="shared" si="9"/>
        <v>500 m</v>
      </c>
      <c r="D152" s="89" t="str">
        <f t="shared" si="9"/>
        <v>OSFP, QSFP-DD, QSFP112</v>
      </c>
      <c r="E152" s="103">
        <v>0</v>
      </c>
      <c r="F152" s="103">
        <v>0</v>
      </c>
      <c r="G152" s="103">
        <v>1100</v>
      </c>
      <c r="H152" s="103"/>
      <c r="I152" s="103"/>
      <c r="J152" s="103"/>
      <c r="K152" s="103"/>
      <c r="L152" s="103"/>
      <c r="M152" s="103"/>
      <c r="N152" s="103"/>
      <c r="O152" s="103"/>
      <c r="P152" s="103"/>
    </row>
    <row r="153" spans="2:18">
      <c r="B153" s="87" t="str">
        <f t="shared" si="9"/>
        <v>2x(200G FR4)</v>
      </c>
      <c r="C153" s="88" t="str">
        <f t="shared" si="9"/>
        <v>2 km</v>
      </c>
      <c r="D153" s="89" t="str">
        <f t="shared" si="9"/>
        <v>OSFP</v>
      </c>
      <c r="E153" s="103">
        <v>0</v>
      </c>
      <c r="F153" s="103">
        <v>0</v>
      </c>
      <c r="G153" s="103">
        <v>1850</v>
      </c>
      <c r="H153" s="103"/>
      <c r="I153" s="103"/>
      <c r="J153" s="103"/>
      <c r="K153" s="103"/>
      <c r="L153" s="103"/>
      <c r="M153" s="103"/>
      <c r="N153" s="103"/>
      <c r="O153" s="103"/>
      <c r="P153" s="103"/>
    </row>
    <row r="154" spans="2:18">
      <c r="B154" s="87" t="str">
        <f t="shared" si="9"/>
        <v>400G FR4</v>
      </c>
      <c r="C154" s="88" t="str">
        <f t="shared" si="9"/>
        <v>2 km</v>
      </c>
      <c r="D154" s="89" t="str">
        <f t="shared" si="9"/>
        <v>OSFP, QSFP-DD, QSFP112</v>
      </c>
      <c r="E154" s="103">
        <v>0</v>
      </c>
      <c r="F154" s="103">
        <v>11614.285714285714</v>
      </c>
      <c r="G154" s="103">
        <v>2000</v>
      </c>
      <c r="H154" s="103"/>
      <c r="I154" s="103"/>
      <c r="J154" s="103"/>
      <c r="K154" s="103"/>
      <c r="L154" s="103"/>
      <c r="M154" s="103"/>
      <c r="N154" s="103"/>
      <c r="O154" s="103"/>
      <c r="P154" s="103"/>
    </row>
    <row r="155" spans="2:18">
      <c r="B155" s="87" t="str">
        <f t="shared" si="9"/>
        <v>400G LR8, LR4</v>
      </c>
      <c r="C155" s="88" t="str">
        <f t="shared" si="9"/>
        <v>10 km</v>
      </c>
      <c r="D155" s="89" t="str">
        <f t="shared" si="9"/>
        <v>OSFP, QSFP-DD, QSFP112</v>
      </c>
      <c r="E155" s="103">
        <v>0</v>
      </c>
      <c r="F155" s="103">
        <v>15451.219512195123</v>
      </c>
      <c r="G155" s="103">
        <v>8000</v>
      </c>
      <c r="H155" s="103"/>
      <c r="I155" s="103"/>
      <c r="J155" s="103"/>
      <c r="K155" s="103"/>
      <c r="L155" s="103"/>
      <c r="M155" s="103"/>
      <c r="N155" s="103"/>
      <c r="O155" s="103"/>
      <c r="P155" s="103"/>
    </row>
    <row r="156" spans="2:18">
      <c r="B156" s="83" t="str">
        <f t="shared" si="9"/>
        <v>400G ER4</v>
      </c>
      <c r="C156" s="84" t="str">
        <f t="shared" si="9"/>
        <v>40 km</v>
      </c>
      <c r="D156" s="85" t="str">
        <f t="shared" si="9"/>
        <v>TBD</v>
      </c>
      <c r="E156" s="102">
        <v>0</v>
      </c>
      <c r="F156" s="102" t="s">
        <v>94</v>
      </c>
      <c r="G156" s="102" t="s">
        <v>94</v>
      </c>
      <c r="H156" s="102"/>
      <c r="I156" s="102"/>
      <c r="J156" s="102"/>
      <c r="K156" s="102"/>
      <c r="L156" s="102"/>
      <c r="M156" s="102"/>
      <c r="N156" s="102"/>
      <c r="O156" s="102"/>
      <c r="P156" s="102"/>
    </row>
    <row r="157" spans="2:18" s="92" customFormat="1">
      <c r="B157" s="87" t="str">
        <f t="shared" si="9"/>
        <v>800G SR8</v>
      </c>
      <c r="C157" s="88" t="str">
        <f t="shared" si="9"/>
        <v>50 m</v>
      </c>
      <c r="D157" s="89" t="str">
        <f t="shared" si="9"/>
        <v>OSFP, QSFP-DD800</v>
      </c>
      <c r="E157" s="103">
        <v>0</v>
      </c>
      <c r="F157" s="103">
        <v>0</v>
      </c>
      <c r="G157" s="103" t="s">
        <v>94</v>
      </c>
      <c r="H157" s="103"/>
      <c r="I157" s="103"/>
      <c r="J157" s="103"/>
      <c r="K157" s="103"/>
      <c r="L157" s="103"/>
      <c r="M157" s="103"/>
      <c r="N157" s="103"/>
      <c r="O157" s="103"/>
      <c r="P157" s="103"/>
      <c r="Q157" s="74"/>
      <c r="R157" s="74"/>
    </row>
    <row r="158" spans="2:18" s="92" customFormat="1">
      <c r="B158" s="87" t="str">
        <f t="shared" si="9"/>
        <v>800G DR8, DR4</v>
      </c>
      <c r="C158" s="88" t="str">
        <f t="shared" si="9"/>
        <v>500 m</v>
      </c>
      <c r="D158" s="88" t="str">
        <f t="shared" si="9"/>
        <v>OSFP, QSFP-DD800</v>
      </c>
      <c r="E158" s="103">
        <v>0</v>
      </c>
      <c r="F158" s="103">
        <v>0</v>
      </c>
      <c r="G158" s="103" t="s">
        <v>94</v>
      </c>
      <c r="H158" s="103"/>
      <c r="I158" s="103"/>
      <c r="J158" s="103"/>
      <c r="K158" s="103"/>
      <c r="L158" s="103"/>
      <c r="M158" s="103"/>
      <c r="N158" s="103"/>
      <c r="O158" s="103"/>
      <c r="P158" s="103"/>
      <c r="Q158" s="74"/>
      <c r="R158" s="74"/>
    </row>
    <row r="159" spans="2:18" s="92" customFormat="1">
      <c r="B159" s="87" t="str">
        <f t="shared" si="9"/>
        <v>2x(400G FR4), 800G FR4</v>
      </c>
      <c r="C159" s="88" t="str">
        <f t="shared" si="9"/>
        <v>2 km</v>
      </c>
      <c r="D159" s="88" t="str">
        <f t="shared" si="9"/>
        <v>OSFP, QSFP-DD800</v>
      </c>
      <c r="E159" s="103">
        <v>0</v>
      </c>
      <c r="F159" s="103">
        <v>0</v>
      </c>
      <c r="G159" s="103" t="s">
        <v>94</v>
      </c>
      <c r="H159" s="103"/>
      <c r="I159" s="103"/>
      <c r="J159" s="103"/>
      <c r="K159" s="103"/>
      <c r="L159" s="103"/>
      <c r="M159" s="103"/>
      <c r="N159" s="103"/>
      <c r="O159" s="103"/>
      <c r="P159" s="103"/>
      <c r="Q159" s="74"/>
      <c r="R159" s="74"/>
    </row>
    <row r="160" spans="2:18" s="92" customFormat="1">
      <c r="B160" s="87" t="str">
        <f t="shared" ref="B160:D172" si="10">B75</f>
        <v>800G LR8, LR4</v>
      </c>
      <c r="C160" s="88" t="str">
        <f t="shared" si="10"/>
        <v>6, 10 km</v>
      </c>
      <c r="D160" s="88" t="str">
        <f t="shared" si="10"/>
        <v>TBD</v>
      </c>
      <c r="E160" s="103">
        <v>0</v>
      </c>
      <c r="F160" s="103">
        <v>0</v>
      </c>
      <c r="G160" s="103" t="s">
        <v>94</v>
      </c>
      <c r="H160" s="103"/>
      <c r="I160" s="103"/>
      <c r="J160" s="103"/>
      <c r="K160" s="103"/>
      <c r="L160" s="103"/>
      <c r="M160" s="103"/>
      <c r="N160" s="103"/>
      <c r="O160" s="103"/>
      <c r="P160" s="103"/>
      <c r="Q160" s="74"/>
      <c r="R160" s="74"/>
    </row>
    <row r="161" spans="2:18" s="92" customFormat="1">
      <c r="B161" s="87" t="str">
        <f t="shared" si="10"/>
        <v>800G ZRlite</v>
      </c>
      <c r="C161" s="88" t="str">
        <f t="shared" si="10"/>
        <v>10 km, 20 km</v>
      </c>
      <c r="D161" s="88" t="str">
        <f t="shared" si="10"/>
        <v>TBD</v>
      </c>
      <c r="E161" s="103">
        <v>0</v>
      </c>
      <c r="F161" s="103">
        <v>0</v>
      </c>
      <c r="G161" s="103" t="s">
        <v>94</v>
      </c>
      <c r="H161" s="103"/>
      <c r="I161" s="103"/>
      <c r="J161" s="103"/>
      <c r="K161" s="103"/>
      <c r="L161" s="103"/>
      <c r="M161" s="103"/>
      <c r="N161" s="103"/>
      <c r="O161" s="103"/>
      <c r="P161" s="103"/>
      <c r="Q161" s="74"/>
      <c r="R161" s="74"/>
    </row>
    <row r="162" spans="2:18" s="92" customFormat="1">
      <c r="B162" s="83" t="str">
        <f t="shared" si="10"/>
        <v>800G ER4</v>
      </c>
      <c r="C162" s="84" t="str">
        <f t="shared" si="10"/>
        <v>40 km</v>
      </c>
      <c r="D162" s="84" t="str">
        <f t="shared" si="10"/>
        <v>TBD</v>
      </c>
      <c r="E162" s="102">
        <v>0</v>
      </c>
      <c r="F162" s="102">
        <v>0</v>
      </c>
      <c r="G162" s="102" t="s">
        <v>94</v>
      </c>
      <c r="H162" s="102"/>
      <c r="I162" s="102"/>
      <c r="J162" s="102"/>
      <c r="K162" s="102"/>
      <c r="L162" s="102"/>
      <c r="M162" s="102"/>
      <c r="N162" s="102"/>
      <c r="O162" s="102"/>
      <c r="P162" s="102"/>
      <c r="Q162" s="74"/>
      <c r="R162" s="74"/>
    </row>
    <row r="163" spans="2:18" s="92" customFormat="1">
      <c r="B163" s="87" t="str">
        <f t="shared" si="10"/>
        <v>1.6T SR16</v>
      </c>
      <c r="C163" s="88" t="str">
        <f t="shared" si="10"/>
        <v>100 m</v>
      </c>
      <c r="D163" s="88" t="str">
        <f t="shared" si="10"/>
        <v>OSFP-XD and TBD</v>
      </c>
      <c r="E163" s="103">
        <v>0</v>
      </c>
      <c r="F163" s="103">
        <v>0</v>
      </c>
      <c r="G163" s="103" t="s">
        <v>94</v>
      </c>
      <c r="H163" s="103"/>
      <c r="I163" s="103"/>
      <c r="J163" s="103"/>
      <c r="K163" s="103"/>
      <c r="L163" s="103"/>
      <c r="M163" s="103"/>
      <c r="N163" s="103"/>
      <c r="O163" s="103"/>
      <c r="P163" s="103"/>
      <c r="Q163" s="74"/>
      <c r="R163" s="74"/>
    </row>
    <row r="164" spans="2:18" s="92" customFormat="1">
      <c r="B164" s="87" t="str">
        <f t="shared" si="10"/>
        <v>1.6T DR8</v>
      </c>
      <c r="C164" s="88" t="str">
        <f t="shared" si="10"/>
        <v>500 m</v>
      </c>
      <c r="D164" s="88" t="str">
        <f t="shared" si="10"/>
        <v>OSFP-XD and TBD</v>
      </c>
      <c r="E164" s="103">
        <v>0</v>
      </c>
      <c r="F164" s="103">
        <v>0</v>
      </c>
      <c r="G164" s="103" t="s">
        <v>94</v>
      </c>
      <c r="H164" s="103"/>
      <c r="I164" s="103"/>
      <c r="J164" s="103"/>
      <c r="K164" s="103"/>
      <c r="L164" s="103"/>
      <c r="M164" s="103"/>
      <c r="N164" s="103"/>
      <c r="O164" s="103"/>
      <c r="P164" s="103"/>
      <c r="Q164" s="74"/>
      <c r="R164" s="74"/>
    </row>
    <row r="165" spans="2:18" s="92" customFormat="1">
      <c r="B165" s="87" t="str">
        <f t="shared" si="10"/>
        <v>1.6T FR8</v>
      </c>
      <c r="C165" s="88" t="str">
        <f t="shared" si="10"/>
        <v>2 km</v>
      </c>
      <c r="D165" s="88" t="str">
        <f t="shared" si="10"/>
        <v>OSFP-XD and TBD</v>
      </c>
      <c r="E165" s="103">
        <v>0</v>
      </c>
      <c r="F165" s="103">
        <v>0</v>
      </c>
      <c r="G165" s="103" t="s">
        <v>94</v>
      </c>
      <c r="H165" s="103"/>
      <c r="I165" s="103"/>
      <c r="J165" s="103"/>
      <c r="K165" s="103"/>
      <c r="L165" s="103"/>
      <c r="M165" s="103"/>
      <c r="N165" s="103"/>
      <c r="O165" s="103"/>
      <c r="P165" s="103"/>
      <c r="Q165" s="74"/>
      <c r="R165" s="74"/>
    </row>
    <row r="166" spans="2:18" s="92" customFormat="1">
      <c r="B166" s="87" t="str">
        <f t="shared" si="10"/>
        <v>1.6T LR8</v>
      </c>
      <c r="C166" s="88" t="str">
        <f t="shared" si="10"/>
        <v>10 km</v>
      </c>
      <c r="D166" s="88" t="str">
        <f t="shared" si="10"/>
        <v>OSFP-XD and TBD</v>
      </c>
      <c r="E166" s="103">
        <v>0</v>
      </c>
      <c r="F166" s="103">
        <v>0</v>
      </c>
      <c r="G166" s="103" t="s">
        <v>94</v>
      </c>
      <c r="H166" s="103"/>
      <c r="I166" s="103"/>
      <c r="J166" s="103"/>
      <c r="K166" s="103"/>
      <c r="L166" s="103"/>
      <c r="M166" s="103"/>
      <c r="N166" s="103"/>
      <c r="O166" s="103"/>
      <c r="P166" s="103"/>
      <c r="Q166" s="74"/>
      <c r="R166" s="74"/>
    </row>
    <row r="167" spans="2:18" s="92" customFormat="1">
      <c r="B167" s="83" t="str">
        <f t="shared" si="10"/>
        <v>1.6T ER8</v>
      </c>
      <c r="C167" s="84" t="str">
        <f t="shared" si="10"/>
        <v>&gt;10 km</v>
      </c>
      <c r="D167" s="84" t="str">
        <f t="shared" si="10"/>
        <v>OSFP-XD and TBD</v>
      </c>
      <c r="E167" s="102">
        <v>0</v>
      </c>
      <c r="F167" s="102">
        <v>0</v>
      </c>
      <c r="G167" s="102" t="s">
        <v>94</v>
      </c>
      <c r="H167" s="102"/>
      <c r="I167" s="102"/>
      <c r="J167" s="102"/>
      <c r="K167" s="102"/>
      <c r="L167" s="102"/>
      <c r="M167" s="102"/>
      <c r="N167" s="102"/>
      <c r="O167" s="102"/>
      <c r="P167" s="102"/>
      <c r="Q167" s="74"/>
      <c r="R167" s="74"/>
    </row>
    <row r="168" spans="2:18" s="92" customFormat="1">
      <c r="B168" s="87" t="str">
        <f t="shared" si="10"/>
        <v>3.2T SR</v>
      </c>
      <c r="C168" s="88" t="str">
        <f t="shared" si="10"/>
        <v>100 m</v>
      </c>
      <c r="D168" s="88" t="str">
        <f t="shared" si="10"/>
        <v>OSFP-XD and TBD</v>
      </c>
      <c r="E168" s="103">
        <v>0</v>
      </c>
      <c r="F168" s="103">
        <v>0</v>
      </c>
      <c r="G168" s="103" t="s">
        <v>94</v>
      </c>
      <c r="H168" s="103"/>
      <c r="I168" s="103"/>
      <c r="J168" s="103"/>
      <c r="K168" s="103"/>
      <c r="L168" s="103"/>
      <c r="M168" s="103"/>
      <c r="N168" s="103"/>
      <c r="O168" s="103"/>
      <c r="P168" s="103"/>
      <c r="Q168" s="74"/>
      <c r="R168" s="74"/>
    </row>
    <row r="169" spans="2:18" s="92" customFormat="1">
      <c r="B169" s="87" t="str">
        <f t="shared" si="10"/>
        <v>3.2T DR</v>
      </c>
      <c r="C169" s="88" t="str">
        <f t="shared" si="10"/>
        <v>500 m</v>
      </c>
      <c r="D169" s="88" t="str">
        <f t="shared" si="10"/>
        <v>OSFP-XD and TBD</v>
      </c>
      <c r="E169" s="103">
        <v>0</v>
      </c>
      <c r="F169" s="103">
        <v>0</v>
      </c>
      <c r="G169" s="103" t="s">
        <v>94</v>
      </c>
      <c r="H169" s="103"/>
      <c r="I169" s="103"/>
      <c r="J169" s="103"/>
      <c r="K169" s="103"/>
      <c r="L169" s="103"/>
      <c r="M169" s="103"/>
      <c r="N169" s="103"/>
      <c r="O169" s="103"/>
      <c r="P169" s="103"/>
      <c r="Q169" s="74"/>
      <c r="R169" s="74"/>
    </row>
    <row r="170" spans="2:18" s="92" customFormat="1">
      <c r="B170" s="87" t="str">
        <f t="shared" si="10"/>
        <v>3.2T FR</v>
      </c>
      <c r="C170" s="88" t="str">
        <f t="shared" si="10"/>
        <v>2 km</v>
      </c>
      <c r="D170" s="88" t="str">
        <f t="shared" si="10"/>
        <v>OSFP-XD and TBD</v>
      </c>
      <c r="E170" s="103">
        <v>0</v>
      </c>
      <c r="F170" s="103">
        <v>0</v>
      </c>
      <c r="G170" s="103" t="s">
        <v>94</v>
      </c>
      <c r="H170" s="103"/>
      <c r="I170" s="103"/>
      <c r="J170" s="103"/>
      <c r="K170" s="103"/>
      <c r="L170" s="103"/>
      <c r="M170" s="103"/>
      <c r="N170" s="103"/>
      <c r="O170" s="103"/>
      <c r="P170" s="103"/>
      <c r="Q170" s="74"/>
      <c r="R170" s="74"/>
    </row>
    <row r="171" spans="2:18" s="92" customFormat="1">
      <c r="B171" s="87" t="str">
        <f t="shared" si="10"/>
        <v>3.2T LR</v>
      </c>
      <c r="C171" s="88" t="str">
        <f t="shared" si="10"/>
        <v>10 km</v>
      </c>
      <c r="D171" s="88" t="str">
        <f t="shared" si="10"/>
        <v>OSFP-XD and TBD</v>
      </c>
      <c r="E171" s="103">
        <v>0</v>
      </c>
      <c r="F171" s="103">
        <v>0</v>
      </c>
      <c r="G171" s="103" t="s">
        <v>94</v>
      </c>
      <c r="H171" s="103"/>
      <c r="I171" s="103"/>
      <c r="J171" s="103"/>
      <c r="K171" s="103"/>
      <c r="L171" s="103"/>
      <c r="M171" s="103"/>
      <c r="N171" s="103"/>
      <c r="O171" s="103"/>
      <c r="P171" s="103"/>
      <c r="Q171" s="74"/>
      <c r="R171" s="74"/>
    </row>
    <row r="172" spans="2:18" s="92" customFormat="1">
      <c r="B172" s="87" t="str">
        <f t="shared" si="10"/>
        <v>3.2T ER</v>
      </c>
      <c r="C172" s="88" t="str">
        <f t="shared" si="10"/>
        <v>&gt;10 km</v>
      </c>
      <c r="D172" s="88" t="str">
        <f t="shared" si="10"/>
        <v>OSFP-XD and TBD</v>
      </c>
      <c r="E172" s="103">
        <v>0</v>
      </c>
      <c r="F172" s="103">
        <v>0</v>
      </c>
      <c r="G172" s="103" t="s">
        <v>94</v>
      </c>
      <c r="H172" s="103"/>
      <c r="I172" s="103"/>
      <c r="J172" s="103"/>
      <c r="K172" s="103"/>
      <c r="L172" s="103"/>
      <c r="M172" s="103"/>
      <c r="N172" s="103"/>
      <c r="O172" s="103"/>
      <c r="P172" s="103"/>
      <c r="Q172" s="74"/>
      <c r="R172" s="74"/>
    </row>
    <row r="173" spans="2:18" s="92" customFormat="1">
      <c r="B173" s="83">
        <f>B88</f>
        <v>0</v>
      </c>
      <c r="C173" s="84"/>
      <c r="D173" s="84"/>
      <c r="E173" s="103">
        <v>0</v>
      </c>
      <c r="F173" s="103">
        <v>0</v>
      </c>
      <c r="G173" s="103" t="s">
        <v>94</v>
      </c>
      <c r="H173" s="103"/>
      <c r="I173" s="103"/>
      <c r="J173" s="103"/>
      <c r="K173" s="103"/>
      <c r="L173" s="103"/>
      <c r="M173" s="103"/>
      <c r="N173" s="103"/>
      <c r="O173" s="103"/>
      <c r="P173" s="103"/>
      <c r="Q173" s="74"/>
      <c r="R173" s="74"/>
    </row>
    <row r="174" spans="2:18">
      <c r="B174" s="38" t="s">
        <v>20</v>
      </c>
      <c r="C174" s="39"/>
      <c r="D174" s="39"/>
      <c r="E174" s="106">
        <f t="shared" ref="E174:G174" si="11">IF(E89=0,,E259*10^6/E89)</f>
        <v>215.928687643648</v>
      </c>
      <c r="F174" s="106">
        <f t="shared" si="11"/>
        <v>176.04828654569386</v>
      </c>
      <c r="G174" s="106">
        <f t="shared" si="11"/>
        <v>87.715660045600544</v>
      </c>
      <c r="H174" s="106"/>
      <c r="I174" s="106"/>
      <c r="J174" s="106"/>
      <c r="K174" s="106"/>
      <c r="L174" s="106"/>
      <c r="M174" s="106"/>
      <c r="N174" s="106"/>
      <c r="O174" s="106"/>
      <c r="P174" s="106"/>
    </row>
    <row r="176" spans="2:18">
      <c r="R176" s="489"/>
    </row>
    <row r="177" spans="2:18" ht="21">
      <c r="B177" s="15" t="s">
        <v>28</v>
      </c>
      <c r="C177" s="14"/>
      <c r="D177" s="14"/>
      <c r="R177" s="489"/>
    </row>
    <row r="178" spans="2:18">
      <c r="B178" s="77" t="e">
        <f>#REF!</f>
        <v>#REF!</v>
      </c>
      <c r="C178" s="77" t="e">
        <f>#REF!</f>
        <v>#REF!</v>
      </c>
      <c r="D178" s="77" t="e">
        <f>#REF!</f>
        <v>#REF!</v>
      </c>
      <c r="E178" s="100">
        <v>2016</v>
      </c>
      <c r="F178" s="100">
        <v>2017</v>
      </c>
      <c r="G178" s="100">
        <v>2018</v>
      </c>
      <c r="H178" s="100">
        <v>2019</v>
      </c>
      <c r="I178" s="100">
        <v>2020</v>
      </c>
      <c r="J178" s="100">
        <v>2021</v>
      </c>
      <c r="K178" s="100">
        <v>2022</v>
      </c>
      <c r="L178" s="100">
        <v>2023</v>
      </c>
      <c r="M178" s="100">
        <v>2024</v>
      </c>
      <c r="N178" s="100">
        <v>2025</v>
      </c>
      <c r="O178" s="100">
        <v>2026</v>
      </c>
      <c r="P178" s="100">
        <v>2027</v>
      </c>
      <c r="R178" s="489"/>
    </row>
    <row r="179" spans="2:18">
      <c r="B179" s="79" t="str">
        <f t="shared" ref="B179:D198" si="12">B9</f>
        <v>1G</v>
      </c>
      <c r="C179" s="80" t="str">
        <f t="shared" si="12"/>
        <v>500 m</v>
      </c>
      <c r="D179" s="81" t="str">
        <f t="shared" si="12"/>
        <v>SFP</v>
      </c>
      <c r="E179" s="108">
        <f t="shared" ref="E179:G179" si="13">IF(E9=0,,E9*E94/10^6)</f>
        <v>0</v>
      </c>
      <c r="F179" s="108">
        <f t="shared" si="13"/>
        <v>0</v>
      </c>
      <c r="G179" s="108">
        <f t="shared" si="13"/>
        <v>0</v>
      </c>
      <c r="H179" s="108"/>
      <c r="I179" s="108"/>
      <c r="J179" s="108"/>
      <c r="K179" s="108"/>
      <c r="L179" s="108"/>
      <c r="M179" s="108"/>
      <c r="N179" s="108"/>
      <c r="O179" s="108"/>
      <c r="P179" s="108"/>
      <c r="R179" s="489"/>
    </row>
    <row r="180" spans="2:18">
      <c r="B180" s="87" t="str">
        <f t="shared" si="12"/>
        <v>1G</v>
      </c>
      <c r="C180" s="88" t="str">
        <f t="shared" si="12"/>
        <v>10 km</v>
      </c>
      <c r="D180" s="89" t="str">
        <f t="shared" si="12"/>
        <v>SFP</v>
      </c>
      <c r="E180" s="110">
        <f t="shared" ref="E180:G180" si="14">IF(E10=0,,E10*E95/10^6)</f>
        <v>21.840082044880003</v>
      </c>
      <c r="F180" s="110">
        <f t="shared" si="14"/>
        <v>14.970518448056138</v>
      </c>
      <c r="G180" s="110">
        <f t="shared" si="14"/>
        <v>15.688383020000002</v>
      </c>
      <c r="H180" s="110"/>
      <c r="I180" s="110"/>
      <c r="J180" s="110"/>
      <c r="K180" s="110"/>
      <c r="L180" s="110"/>
      <c r="M180" s="110"/>
      <c r="N180" s="110"/>
      <c r="O180" s="110"/>
      <c r="P180" s="110"/>
      <c r="R180" s="489"/>
    </row>
    <row r="181" spans="2:18">
      <c r="B181" s="87" t="str">
        <f t="shared" si="12"/>
        <v>1G</v>
      </c>
      <c r="C181" s="88" t="str">
        <f t="shared" si="12"/>
        <v>40 km</v>
      </c>
      <c r="D181" s="89" t="str">
        <f t="shared" si="12"/>
        <v>SFP</v>
      </c>
      <c r="E181" s="110">
        <f t="shared" ref="E181:G181" si="15">IF(E11=0,,E11*E96/10^6)</f>
        <v>4.0007415413598748</v>
      </c>
      <c r="F181" s="110">
        <f t="shared" si="15"/>
        <v>2.6908476678133564</v>
      </c>
      <c r="G181" s="110">
        <f t="shared" si="15"/>
        <v>5.7695740000000004</v>
      </c>
      <c r="H181" s="110"/>
      <c r="I181" s="110"/>
      <c r="J181" s="110"/>
      <c r="K181" s="110"/>
      <c r="L181" s="110"/>
      <c r="M181" s="110"/>
      <c r="N181" s="110"/>
      <c r="O181" s="110"/>
      <c r="P181" s="110"/>
      <c r="R181" s="489"/>
    </row>
    <row r="182" spans="2:18">
      <c r="B182" s="87" t="str">
        <f t="shared" si="12"/>
        <v>1G</v>
      </c>
      <c r="C182" s="88" t="str">
        <f t="shared" si="12"/>
        <v>80 km</v>
      </c>
      <c r="D182" s="88" t="str">
        <f t="shared" si="12"/>
        <v>SFP</v>
      </c>
      <c r="E182" s="110">
        <f t="shared" ref="E182:G183" si="16">IF(E12=0,,E12*E97/10^6)</f>
        <v>5.4436485260342007</v>
      </c>
      <c r="F182" s="110">
        <f t="shared" si="16"/>
        <v>4.4704450954117947</v>
      </c>
      <c r="G182" s="110">
        <f t="shared" si="16"/>
        <v>16.948148</v>
      </c>
      <c r="H182" s="110"/>
      <c r="I182" s="110"/>
      <c r="J182" s="110"/>
      <c r="K182" s="110"/>
      <c r="L182" s="110"/>
      <c r="M182" s="110"/>
      <c r="N182" s="110"/>
      <c r="O182" s="110"/>
      <c r="P182" s="110"/>
      <c r="R182" s="489"/>
    </row>
    <row r="183" spans="2:18">
      <c r="B183" s="83" t="str">
        <f t="shared" si="12"/>
        <v>1G &amp; Fast Ethernet</v>
      </c>
      <c r="C183" s="84" t="str">
        <f t="shared" si="12"/>
        <v>Various</v>
      </c>
      <c r="D183" s="84" t="str">
        <f t="shared" si="12"/>
        <v>Legacy/discontinued</v>
      </c>
      <c r="E183" s="109">
        <f t="shared" si="16"/>
        <v>1.8</v>
      </c>
      <c r="F183" s="109"/>
      <c r="G183" s="109"/>
      <c r="H183" s="109"/>
      <c r="I183" s="109"/>
      <c r="J183" s="109"/>
      <c r="K183" s="109"/>
      <c r="L183" s="109"/>
      <c r="M183" s="109"/>
      <c r="N183" s="109"/>
      <c r="O183" s="109"/>
      <c r="P183" s="109"/>
      <c r="R183" s="489"/>
    </row>
    <row r="184" spans="2:18">
      <c r="B184" s="87" t="str">
        <f t="shared" si="12"/>
        <v>10G</v>
      </c>
      <c r="C184" s="88" t="str">
        <f t="shared" si="12"/>
        <v>300 m</v>
      </c>
      <c r="D184" s="88" t="str">
        <f t="shared" si="12"/>
        <v>XFP</v>
      </c>
      <c r="E184" s="110">
        <f t="shared" ref="E184:G184" si="17">IF(E14=0,,E14*E99/10^6)</f>
        <v>0</v>
      </c>
      <c r="F184" s="110">
        <f t="shared" si="17"/>
        <v>0</v>
      </c>
      <c r="G184" s="110">
        <f t="shared" si="17"/>
        <v>0</v>
      </c>
      <c r="H184" s="110"/>
      <c r="I184" s="110"/>
      <c r="J184" s="110"/>
      <c r="K184" s="110"/>
      <c r="L184" s="110"/>
      <c r="M184" s="110"/>
      <c r="N184" s="110"/>
      <c r="O184" s="110"/>
      <c r="P184" s="110"/>
      <c r="R184" s="489"/>
    </row>
    <row r="185" spans="2:18">
      <c r="B185" s="87" t="str">
        <f t="shared" si="12"/>
        <v>10G</v>
      </c>
      <c r="C185" s="88" t="str">
        <f t="shared" si="12"/>
        <v>300 m</v>
      </c>
      <c r="D185" s="88" t="str">
        <f t="shared" si="12"/>
        <v>SFP+</v>
      </c>
      <c r="E185" s="110">
        <f t="shared" ref="E185:G185" si="18">IF(E15=0,,E15*E100/10^6)</f>
        <v>0</v>
      </c>
      <c r="F185" s="110">
        <f t="shared" si="18"/>
        <v>0</v>
      </c>
      <c r="G185" s="110">
        <f t="shared" si="18"/>
        <v>0</v>
      </c>
      <c r="H185" s="110"/>
      <c r="I185" s="110"/>
      <c r="J185" s="110"/>
      <c r="K185" s="110"/>
      <c r="L185" s="110"/>
      <c r="M185" s="110"/>
      <c r="N185" s="110"/>
      <c r="O185" s="110"/>
      <c r="P185" s="110"/>
      <c r="R185" s="489"/>
    </row>
    <row r="186" spans="2:18">
      <c r="B186" s="87" t="str">
        <f t="shared" si="12"/>
        <v>10G LRM</v>
      </c>
      <c r="C186" s="88" t="str">
        <f t="shared" si="12"/>
        <v>220 m</v>
      </c>
      <c r="D186" s="88" t="str">
        <f t="shared" si="12"/>
        <v>SFP+</v>
      </c>
      <c r="E186" s="110">
        <f t="shared" ref="E186:G186" si="19">IF(E16=0,,E16*E101/10^6)</f>
        <v>0</v>
      </c>
      <c r="F186" s="110">
        <f t="shared" si="19"/>
        <v>0</v>
      </c>
      <c r="G186" s="110">
        <f t="shared" si="19"/>
        <v>0</v>
      </c>
      <c r="H186" s="110"/>
      <c r="I186" s="110"/>
      <c r="J186" s="110"/>
      <c r="K186" s="110"/>
      <c r="L186" s="110"/>
      <c r="M186" s="110"/>
      <c r="N186" s="110"/>
      <c r="O186" s="110"/>
      <c r="P186" s="110"/>
      <c r="R186" s="489"/>
    </row>
    <row r="187" spans="2:18">
      <c r="B187" s="87" t="str">
        <f t="shared" si="12"/>
        <v>10G</v>
      </c>
      <c r="C187" s="88" t="str">
        <f t="shared" si="12"/>
        <v>10 km</v>
      </c>
      <c r="D187" s="88" t="str">
        <f t="shared" si="12"/>
        <v>XFP</v>
      </c>
      <c r="E187" s="110">
        <f t="shared" ref="E187:G187" si="20">IF(E17=0,,E17*E102/10^6)</f>
        <v>5.7838927793079176</v>
      </c>
      <c r="F187" s="110">
        <f t="shared" si="20"/>
        <v>2.3655010555899549</v>
      </c>
      <c r="G187" s="110">
        <f t="shared" si="20"/>
        <v>6.1126548687697664</v>
      </c>
      <c r="H187" s="110"/>
      <c r="I187" s="110"/>
      <c r="J187" s="110"/>
      <c r="K187" s="110"/>
      <c r="L187" s="110"/>
      <c r="M187" s="110"/>
      <c r="N187" s="110"/>
      <c r="O187" s="110"/>
      <c r="P187" s="110"/>
      <c r="R187" s="489"/>
    </row>
    <row r="188" spans="2:18">
      <c r="B188" s="87" t="str">
        <f t="shared" si="12"/>
        <v>10G</v>
      </c>
      <c r="C188" s="88" t="str">
        <f t="shared" si="12"/>
        <v>10 km</v>
      </c>
      <c r="D188" s="88" t="str">
        <f t="shared" si="12"/>
        <v>SFP+</v>
      </c>
      <c r="E188" s="110">
        <f t="shared" ref="E188:G188" si="21">IF(E18=0,,E18*E103/10^6)</f>
        <v>47.513225315240646</v>
      </c>
      <c r="F188" s="110">
        <f t="shared" si="21"/>
        <v>38.969269843312269</v>
      </c>
      <c r="G188" s="110">
        <f t="shared" si="21"/>
        <v>41.633685667866175</v>
      </c>
      <c r="H188" s="110"/>
      <c r="I188" s="110"/>
      <c r="J188" s="110"/>
      <c r="K188" s="110"/>
      <c r="L188" s="110"/>
      <c r="M188" s="110"/>
      <c r="N188" s="110"/>
      <c r="O188" s="110"/>
      <c r="P188" s="110"/>
      <c r="R188" s="489"/>
    </row>
    <row r="189" spans="2:18">
      <c r="B189" s="87" t="str">
        <f t="shared" si="12"/>
        <v>10G</v>
      </c>
      <c r="C189" s="88" t="str">
        <f t="shared" si="12"/>
        <v>40 km</v>
      </c>
      <c r="D189" s="88" t="str">
        <f t="shared" si="12"/>
        <v>XFP</v>
      </c>
      <c r="E189" s="110">
        <f t="shared" ref="E189:G189" si="22">IF(E19=0,,E19*E104/10^6)</f>
        <v>24.783116502012003</v>
      </c>
      <c r="F189" s="110">
        <f t="shared" si="22"/>
        <v>11.965126571097626</v>
      </c>
      <c r="G189" s="110">
        <f t="shared" si="22"/>
        <v>14.960181659357952</v>
      </c>
      <c r="H189" s="110"/>
      <c r="I189" s="110"/>
      <c r="J189" s="110"/>
      <c r="K189" s="110"/>
      <c r="L189" s="110"/>
      <c r="M189" s="110"/>
      <c r="N189" s="110"/>
      <c r="O189" s="110"/>
      <c r="P189" s="110"/>
      <c r="R189" s="489"/>
    </row>
    <row r="190" spans="2:18">
      <c r="B190" s="87" t="str">
        <f t="shared" si="12"/>
        <v>10G</v>
      </c>
      <c r="C190" s="88" t="str">
        <f t="shared" si="12"/>
        <v>40 km</v>
      </c>
      <c r="D190" s="88" t="str">
        <f t="shared" si="12"/>
        <v>SFP+</v>
      </c>
      <c r="E190" s="110">
        <f t="shared" ref="E190:G190" si="23">IF(E20=0,,E20*E105/10^6)</f>
        <v>34.519978898803679</v>
      </c>
      <c r="F190" s="110">
        <f t="shared" si="23"/>
        <v>28.16904706949456</v>
      </c>
      <c r="G190" s="110">
        <f t="shared" si="23"/>
        <v>37.915849000810525</v>
      </c>
      <c r="H190" s="110"/>
      <c r="I190" s="110"/>
      <c r="J190" s="110"/>
      <c r="K190" s="110"/>
      <c r="L190" s="110"/>
      <c r="M190" s="110"/>
      <c r="N190" s="110"/>
      <c r="O190" s="110"/>
      <c r="P190" s="110"/>
      <c r="R190" s="489"/>
    </row>
    <row r="191" spans="2:18">
      <c r="B191" s="87" t="str">
        <f t="shared" si="12"/>
        <v>10G</v>
      </c>
      <c r="C191" s="88" t="str">
        <f t="shared" si="12"/>
        <v>80 km</v>
      </c>
      <c r="D191" s="88" t="str">
        <f t="shared" si="12"/>
        <v>XFP</v>
      </c>
      <c r="E191" s="110">
        <f t="shared" ref="E191:G191" si="24">IF(E21=0,,E21*E106/10^6)</f>
        <v>18.705963697892301</v>
      </c>
      <c r="F191" s="110">
        <f t="shared" si="24"/>
        <v>2.6384714875083346</v>
      </c>
      <c r="G191" s="110">
        <f t="shared" si="24"/>
        <v>2.9799696693860023</v>
      </c>
      <c r="H191" s="110"/>
      <c r="I191" s="110"/>
      <c r="J191" s="110"/>
      <c r="K191" s="110"/>
      <c r="L191" s="110"/>
      <c r="M191" s="110"/>
      <c r="N191" s="110"/>
      <c r="O191" s="110"/>
      <c r="P191" s="110"/>
      <c r="R191" s="489"/>
    </row>
    <row r="192" spans="2:18">
      <c r="B192" s="87" t="str">
        <f t="shared" si="12"/>
        <v>10G</v>
      </c>
      <c r="C192" s="88" t="str">
        <f t="shared" si="12"/>
        <v>80 km</v>
      </c>
      <c r="D192" s="88" t="str">
        <f t="shared" si="12"/>
        <v>SFP+</v>
      </c>
      <c r="E192" s="110">
        <f t="shared" ref="E192:G193" si="25">IF(E22=0,,E22*E107/10^6)</f>
        <v>15.89513332813862</v>
      </c>
      <c r="F192" s="110">
        <f t="shared" si="25"/>
        <v>18.666526637661988</v>
      </c>
      <c r="G192" s="110">
        <f t="shared" si="25"/>
        <v>31.88064561095899</v>
      </c>
      <c r="H192" s="110"/>
      <c r="I192" s="110"/>
      <c r="J192" s="110"/>
      <c r="K192" s="110"/>
      <c r="L192" s="110"/>
      <c r="M192" s="110"/>
      <c r="N192" s="110"/>
      <c r="O192" s="110"/>
      <c r="P192" s="110"/>
      <c r="R192" s="489"/>
    </row>
    <row r="193" spans="2:18">
      <c r="B193" s="87" t="str">
        <f t="shared" si="12"/>
        <v>10G</v>
      </c>
      <c r="C193" s="88" t="str">
        <f t="shared" si="12"/>
        <v>Various</v>
      </c>
      <c r="D193" s="88" t="str">
        <f t="shared" si="12"/>
        <v>Legacy/discontinued</v>
      </c>
      <c r="E193" s="109">
        <f t="shared" si="25"/>
        <v>3.2231545150000001</v>
      </c>
      <c r="F193" s="109">
        <f t="shared" si="25"/>
        <v>1.1468830000000003</v>
      </c>
      <c r="G193" s="109">
        <f t="shared" si="25"/>
        <v>0.2</v>
      </c>
      <c r="H193" s="109"/>
      <c r="I193" s="110"/>
      <c r="J193" s="110"/>
      <c r="K193" s="110"/>
      <c r="L193" s="110"/>
      <c r="M193" s="110"/>
      <c r="N193" s="110"/>
      <c r="O193" s="110"/>
      <c r="P193" s="110"/>
      <c r="R193" s="489"/>
    </row>
    <row r="194" spans="2:18">
      <c r="B194" s="79" t="str">
        <f t="shared" si="12"/>
        <v>25G SR, eSR</v>
      </c>
      <c r="C194" s="80" t="str">
        <f t="shared" si="12"/>
        <v>100 - 300 m</v>
      </c>
      <c r="D194" s="81" t="str">
        <f t="shared" si="12"/>
        <v>SFP28</v>
      </c>
      <c r="E194" s="108">
        <f t="shared" ref="E194:G194" si="26">IF(E24=0,,E24*E109/10^6)</f>
        <v>0</v>
      </c>
      <c r="F194" s="108">
        <f t="shared" si="26"/>
        <v>0</v>
      </c>
      <c r="G194" s="108">
        <f t="shared" si="26"/>
        <v>0</v>
      </c>
      <c r="H194" s="108"/>
      <c r="I194" s="108"/>
      <c r="J194" s="108"/>
      <c r="K194" s="108"/>
      <c r="L194" s="108"/>
      <c r="M194" s="108"/>
      <c r="N194" s="108"/>
      <c r="O194" s="108"/>
      <c r="P194" s="108"/>
      <c r="R194" s="489"/>
    </row>
    <row r="195" spans="2:18">
      <c r="B195" s="87" t="str">
        <f t="shared" si="12"/>
        <v>25G LR</v>
      </c>
      <c r="C195" s="88" t="str">
        <f t="shared" si="12"/>
        <v>10 km</v>
      </c>
      <c r="D195" s="89" t="str">
        <f t="shared" si="12"/>
        <v>SFP28</v>
      </c>
      <c r="E195" s="110">
        <f t="shared" ref="E195:G195" si="27">IF(E25=0,,E25*E110/10^6)</f>
        <v>0.62249429999999994</v>
      </c>
      <c r="F195" s="110">
        <f t="shared" si="27"/>
        <v>1.6978488920742698</v>
      </c>
      <c r="G195" s="110">
        <f t="shared" si="27"/>
        <v>3.3110929619999991</v>
      </c>
      <c r="H195" s="110"/>
      <c r="I195" s="110"/>
      <c r="J195" s="110"/>
      <c r="K195" s="110"/>
      <c r="L195" s="110"/>
      <c r="M195" s="110"/>
      <c r="N195" s="110"/>
      <c r="O195" s="110"/>
      <c r="P195" s="110"/>
      <c r="R195" s="489"/>
    </row>
    <row r="196" spans="2:18">
      <c r="B196" s="83" t="str">
        <f t="shared" si="12"/>
        <v>25G ER</v>
      </c>
      <c r="C196" s="84" t="str">
        <f t="shared" si="12"/>
        <v>40 km</v>
      </c>
      <c r="D196" s="85" t="str">
        <f t="shared" si="12"/>
        <v>SFP28</v>
      </c>
      <c r="E196" s="109">
        <f t="shared" ref="E196:G196" si="28">IF(E26=0,,E26*E111/10^6)</f>
        <v>0</v>
      </c>
      <c r="F196" s="109">
        <f t="shared" si="28"/>
        <v>0</v>
      </c>
      <c r="G196" s="109">
        <f t="shared" si="28"/>
        <v>0</v>
      </c>
      <c r="H196" s="109"/>
      <c r="I196" s="109"/>
      <c r="J196" s="109"/>
      <c r="K196" s="109"/>
      <c r="L196" s="109"/>
      <c r="M196" s="109"/>
      <c r="N196" s="109"/>
      <c r="O196" s="109"/>
      <c r="P196" s="109"/>
      <c r="R196" s="489"/>
    </row>
    <row r="197" spans="2:18">
      <c r="B197" s="79" t="str">
        <f t="shared" si="12"/>
        <v>40G SR4</v>
      </c>
      <c r="C197" s="80" t="str">
        <f t="shared" si="12"/>
        <v>100 m</v>
      </c>
      <c r="D197" s="81" t="str">
        <f t="shared" si="12"/>
        <v>QSFP+</v>
      </c>
      <c r="E197" s="108">
        <f t="shared" ref="E197:G197" si="29">IF(E27=0,,E27*E112/10^6)</f>
        <v>3.0907281104444446</v>
      </c>
      <c r="F197" s="108">
        <f t="shared" si="29"/>
        <v>3.1903223936670364</v>
      </c>
      <c r="G197" s="108">
        <f t="shared" si="29"/>
        <v>2.8175683599085448</v>
      </c>
      <c r="H197" s="108"/>
      <c r="I197" s="108"/>
      <c r="J197" s="108"/>
      <c r="K197" s="108"/>
      <c r="L197" s="108"/>
      <c r="M197" s="108"/>
      <c r="N197" s="108"/>
      <c r="O197" s="108"/>
      <c r="P197" s="108"/>
      <c r="R197" s="489"/>
    </row>
    <row r="198" spans="2:18">
      <c r="B198" s="87" t="str">
        <f t="shared" si="12"/>
        <v>40G MM duplex</v>
      </c>
      <c r="C198" s="88" t="str">
        <f t="shared" si="12"/>
        <v>100 m</v>
      </c>
      <c r="D198" s="89" t="str">
        <f t="shared" si="12"/>
        <v>QSFP+</v>
      </c>
      <c r="E198" s="110">
        <f t="shared" ref="E198:G198" si="30">IF(E28=0,,E28*E113/10^6)</f>
        <v>0</v>
      </c>
      <c r="F198" s="110">
        <f t="shared" si="30"/>
        <v>0</v>
      </c>
      <c r="G198" s="110">
        <f t="shared" si="30"/>
        <v>0</v>
      </c>
      <c r="H198" s="110"/>
      <c r="I198" s="110"/>
      <c r="J198" s="110"/>
      <c r="K198" s="110"/>
      <c r="L198" s="110"/>
      <c r="M198" s="110"/>
      <c r="N198" s="110"/>
      <c r="O198" s="110"/>
      <c r="P198" s="110"/>
      <c r="R198" s="489"/>
    </row>
    <row r="199" spans="2:18">
      <c r="B199" s="87" t="str">
        <f t="shared" ref="B199:D218" si="31">B29</f>
        <v>40G eSR4</v>
      </c>
      <c r="C199" s="88" t="str">
        <f t="shared" si="31"/>
        <v>300 m</v>
      </c>
      <c r="D199" s="89" t="str">
        <f t="shared" si="31"/>
        <v>QSFP+</v>
      </c>
      <c r="E199" s="110">
        <f t="shared" ref="E199:G199" si="32">IF(E29=0,,E29*E114/10^6)</f>
        <v>1.4680941655000002</v>
      </c>
      <c r="F199" s="110">
        <f t="shared" si="32"/>
        <v>1.8894499999999999</v>
      </c>
      <c r="G199" s="110">
        <f t="shared" si="32"/>
        <v>1.5677539995766425</v>
      </c>
      <c r="H199" s="110"/>
      <c r="I199" s="110"/>
      <c r="J199" s="110"/>
      <c r="K199" s="110"/>
      <c r="L199" s="110"/>
      <c r="M199" s="110"/>
      <c r="N199" s="110"/>
      <c r="O199" s="110"/>
      <c r="P199" s="110"/>
      <c r="R199" s="489"/>
    </row>
    <row r="200" spans="2:18">
      <c r="B200" s="87" t="str">
        <f t="shared" si="31"/>
        <v>40 G PSM4</v>
      </c>
      <c r="C200" s="88" t="str">
        <f t="shared" si="31"/>
        <v>500 m</v>
      </c>
      <c r="D200" s="89" t="str">
        <f t="shared" si="31"/>
        <v>QSFP+</v>
      </c>
      <c r="E200" s="110">
        <f t="shared" ref="E200:G200" si="33">IF(E30=0,,E30*E115/10^6)</f>
        <v>0</v>
      </c>
      <c r="F200" s="110">
        <f t="shared" si="33"/>
        <v>0</v>
      </c>
      <c r="G200" s="110">
        <f t="shared" si="33"/>
        <v>0</v>
      </c>
      <c r="H200" s="110"/>
      <c r="I200" s="110"/>
      <c r="J200" s="110"/>
      <c r="K200" s="110"/>
      <c r="L200" s="110"/>
      <c r="M200" s="110"/>
      <c r="N200" s="110"/>
      <c r="O200" s="110"/>
      <c r="P200" s="110"/>
      <c r="R200" s="489"/>
    </row>
    <row r="201" spans="2:18">
      <c r="B201" s="87" t="str">
        <f t="shared" si="31"/>
        <v>40G (FR)</v>
      </c>
      <c r="C201" s="88" t="str">
        <f t="shared" si="31"/>
        <v>2 km</v>
      </c>
      <c r="D201" s="89" t="str">
        <f t="shared" si="31"/>
        <v>CFP</v>
      </c>
      <c r="E201" s="110">
        <f t="shared" ref="E201:G201" si="34">IF(E31=0,,E31*E116/10^6)</f>
        <v>3.6147868986222091</v>
      </c>
      <c r="F201" s="110">
        <f t="shared" si="34"/>
        <v>2.1111758458730683</v>
      </c>
      <c r="G201" s="110">
        <f t="shared" si="34"/>
        <v>0</v>
      </c>
      <c r="H201" s="110"/>
      <c r="I201" s="110"/>
      <c r="J201" s="110"/>
      <c r="K201" s="110"/>
      <c r="L201" s="110"/>
      <c r="M201" s="110"/>
      <c r="N201" s="110"/>
      <c r="O201" s="110"/>
      <c r="P201" s="110"/>
      <c r="R201" s="489"/>
    </row>
    <row r="202" spans="2:18">
      <c r="B202" s="87" t="str">
        <f t="shared" si="31"/>
        <v>40G (LR4 subspec)</v>
      </c>
      <c r="C202" s="88" t="str">
        <f t="shared" si="31"/>
        <v>2 km</v>
      </c>
      <c r="D202" s="89" t="str">
        <f t="shared" si="31"/>
        <v>QSFP+</v>
      </c>
      <c r="E202" s="110">
        <f t="shared" ref="E202:G202" si="35">IF(E32=0,,E32*E117/10^6)</f>
        <v>0</v>
      </c>
      <c r="F202" s="110">
        <f t="shared" si="35"/>
        <v>0</v>
      </c>
      <c r="G202" s="110">
        <f t="shared" si="35"/>
        <v>0</v>
      </c>
      <c r="H202" s="110"/>
      <c r="I202" s="110"/>
      <c r="J202" s="110"/>
      <c r="K202" s="110"/>
      <c r="L202" s="110"/>
      <c r="M202" s="110"/>
      <c r="N202" s="110"/>
      <c r="O202" s="110"/>
      <c r="P202" s="110"/>
      <c r="R202" s="489"/>
    </row>
    <row r="203" spans="2:18">
      <c r="B203" s="87" t="str">
        <f t="shared" si="31"/>
        <v>40G</v>
      </c>
      <c r="C203" s="88" t="str">
        <f t="shared" si="31"/>
        <v>10 km</v>
      </c>
      <c r="D203" s="89" t="str">
        <f t="shared" si="31"/>
        <v>CFP</v>
      </c>
      <c r="E203" s="110">
        <f t="shared" ref="E203:G203" si="36">IF(E33=0,,E33*E118/10^6)</f>
        <v>7.4284258264680547</v>
      </c>
      <c r="F203" s="110">
        <f t="shared" si="36"/>
        <v>3.6524276733586274</v>
      </c>
      <c r="G203" s="110">
        <f t="shared" si="36"/>
        <v>0</v>
      </c>
      <c r="H203" s="110"/>
      <c r="I203" s="110"/>
      <c r="J203" s="110"/>
      <c r="K203" s="110"/>
      <c r="L203" s="110"/>
      <c r="M203" s="110"/>
      <c r="N203" s="110"/>
      <c r="O203" s="110"/>
      <c r="P203" s="110"/>
      <c r="R203" s="489"/>
    </row>
    <row r="204" spans="2:18">
      <c r="B204" s="87" t="str">
        <f t="shared" si="31"/>
        <v>40G</v>
      </c>
      <c r="C204" s="88" t="str">
        <f t="shared" si="31"/>
        <v>10 km</v>
      </c>
      <c r="D204" s="89" t="str">
        <f t="shared" si="31"/>
        <v>QSFP+</v>
      </c>
      <c r="E204" s="110">
        <f t="shared" ref="E204:G204" si="37">IF(E34=0,,E34*E119/10^6)</f>
        <v>0</v>
      </c>
      <c r="F204" s="110">
        <f t="shared" si="37"/>
        <v>0</v>
      </c>
      <c r="G204" s="110">
        <f t="shared" si="37"/>
        <v>0</v>
      </c>
      <c r="H204" s="110"/>
      <c r="I204" s="110"/>
      <c r="J204" s="110"/>
      <c r="K204" s="110"/>
      <c r="L204" s="110"/>
      <c r="M204" s="110"/>
      <c r="N204" s="110"/>
      <c r="O204" s="110"/>
      <c r="P204" s="110"/>
      <c r="R204" s="489"/>
    </row>
    <row r="205" spans="2:18">
      <c r="B205" s="83" t="str">
        <f t="shared" si="31"/>
        <v>40G</v>
      </c>
      <c r="C205" s="84" t="str">
        <f t="shared" si="31"/>
        <v>40 km</v>
      </c>
      <c r="D205" s="85" t="str">
        <f t="shared" si="31"/>
        <v>QSFP+</v>
      </c>
      <c r="E205" s="109">
        <f t="shared" ref="E205:G205" si="38">IF(E35=0,,E35*E120/10^6)</f>
        <v>2.456382628644874</v>
      </c>
      <c r="F205" s="109">
        <f t="shared" si="38"/>
        <v>1.8231073760232492</v>
      </c>
      <c r="G205" s="109">
        <f t="shared" si="38"/>
        <v>1.6514460799999986</v>
      </c>
      <c r="H205" s="109"/>
      <c r="I205" s="109"/>
      <c r="J205" s="109"/>
      <c r="K205" s="109"/>
      <c r="L205" s="109"/>
      <c r="M205" s="109"/>
      <c r="N205" s="109"/>
      <c r="O205" s="109"/>
      <c r="P205" s="109"/>
      <c r="R205" s="489"/>
    </row>
    <row r="206" spans="2:18">
      <c r="B206" s="79" t="str">
        <f t="shared" si="31"/>
        <v xml:space="preserve">50G </v>
      </c>
      <c r="C206" s="80" t="str">
        <f t="shared" si="31"/>
        <v>100 m</v>
      </c>
      <c r="D206" s="81" t="str">
        <f t="shared" si="31"/>
        <v>all</v>
      </c>
      <c r="E206" s="108">
        <f t="shared" ref="E206:G206" si="39">IF(E36=0,,E36*E121/10^6)</f>
        <v>0</v>
      </c>
      <c r="F206" s="108">
        <f t="shared" si="39"/>
        <v>0</v>
      </c>
      <c r="G206" s="108">
        <f t="shared" si="39"/>
        <v>0</v>
      </c>
      <c r="H206" s="108"/>
      <c r="I206" s="108"/>
      <c r="J206" s="108"/>
      <c r="K206" s="108"/>
      <c r="L206" s="108"/>
      <c r="M206" s="108"/>
      <c r="N206" s="108"/>
      <c r="O206" s="108"/>
      <c r="P206" s="108"/>
      <c r="R206" s="489"/>
    </row>
    <row r="207" spans="2:18">
      <c r="B207" s="87" t="str">
        <f t="shared" si="31"/>
        <v xml:space="preserve">50G </v>
      </c>
      <c r="C207" s="88" t="str">
        <f t="shared" si="31"/>
        <v>2 km</v>
      </c>
      <c r="D207" s="89" t="str">
        <f t="shared" si="31"/>
        <v>all</v>
      </c>
      <c r="E207" s="110">
        <f t="shared" ref="E207:G207" si="40">IF(E37=0,,E37*E122/10^6)</f>
        <v>0</v>
      </c>
      <c r="F207" s="110">
        <f t="shared" si="40"/>
        <v>0</v>
      </c>
      <c r="G207" s="110">
        <f t="shared" si="40"/>
        <v>0</v>
      </c>
      <c r="H207" s="110"/>
      <c r="I207" s="110"/>
      <c r="J207" s="110"/>
      <c r="K207" s="110"/>
      <c r="L207" s="110"/>
      <c r="M207" s="110"/>
      <c r="N207" s="110"/>
      <c r="O207" s="110"/>
      <c r="P207" s="110"/>
      <c r="R207" s="489"/>
    </row>
    <row r="208" spans="2:18">
      <c r="B208" s="87" t="str">
        <f t="shared" si="31"/>
        <v xml:space="preserve">50G </v>
      </c>
      <c r="C208" s="88" t="str">
        <f t="shared" si="31"/>
        <v>10 km</v>
      </c>
      <c r="D208" s="89" t="str">
        <f t="shared" si="31"/>
        <v>all</v>
      </c>
      <c r="E208" s="110">
        <f t="shared" ref="E208:G208" si="41">IF(E38=0,,E38*E123/10^6)</f>
        <v>0</v>
      </c>
      <c r="F208" s="110">
        <f t="shared" si="41"/>
        <v>0</v>
      </c>
      <c r="G208" s="110">
        <f t="shared" si="41"/>
        <v>0</v>
      </c>
      <c r="H208" s="110"/>
      <c r="I208" s="110"/>
      <c r="J208" s="110"/>
      <c r="K208" s="110"/>
      <c r="L208" s="110"/>
      <c r="M208" s="110"/>
      <c r="N208" s="110"/>
      <c r="O208" s="110"/>
      <c r="P208" s="110"/>
      <c r="R208" s="489"/>
    </row>
    <row r="209" spans="2:18">
      <c r="B209" s="87" t="str">
        <f t="shared" si="31"/>
        <v xml:space="preserve">50G </v>
      </c>
      <c r="C209" s="88" t="str">
        <f t="shared" si="31"/>
        <v>40 km</v>
      </c>
      <c r="D209" s="89" t="str">
        <f t="shared" si="31"/>
        <v>all</v>
      </c>
      <c r="E209" s="110">
        <f t="shared" ref="E209:G209" si="42">IF(E39=0,,E39*E124/10^6)</f>
        <v>0</v>
      </c>
      <c r="F209" s="110">
        <f t="shared" si="42"/>
        <v>0</v>
      </c>
      <c r="G209" s="110">
        <f t="shared" si="42"/>
        <v>0</v>
      </c>
      <c r="H209" s="110"/>
      <c r="I209" s="110"/>
      <c r="J209" s="110"/>
      <c r="K209" s="110"/>
      <c r="L209" s="110"/>
      <c r="M209" s="110"/>
      <c r="N209" s="110"/>
      <c r="O209" s="110"/>
      <c r="P209" s="110"/>
      <c r="R209" s="489"/>
    </row>
    <row r="210" spans="2:18">
      <c r="B210" s="87" t="str">
        <f t="shared" si="31"/>
        <v xml:space="preserve">50G </v>
      </c>
      <c r="C210" s="88" t="str">
        <f t="shared" si="31"/>
        <v>80 km</v>
      </c>
      <c r="D210" s="89" t="str">
        <f t="shared" si="31"/>
        <v>all</v>
      </c>
      <c r="E210" s="110">
        <f t="shared" ref="E210:G210" si="43">IF(E40=0,,E40*E125/10^6)</f>
        <v>0</v>
      </c>
      <c r="F210" s="110">
        <f t="shared" si="43"/>
        <v>0</v>
      </c>
      <c r="G210" s="110">
        <f t="shared" si="43"/>
        <v>0</v>
      </c>
      <c r="H210" s="110"/>
      <c r="I210" s="110"/>
      <c r="J210" s="110"/>
      <c r="K210" s="110"/>
      <c r="L210" s="110"/>
      <c r="M210" s="110"/>
      <c r="N210" s="110"/>
      <c r="O210" s="110"/>
      <c r="P210" s="110"/>
      <c r="R210" s="489"/>
    </row>
    <row r="211" spans="2:18">
      <c r="B211" s="79" t="str">
        <f t="shared" si="31"/>
        <v>100G SR4</v>
      </c>
      <c r="C211" s="80" t="str">
        <f t="shared" si="31"/>
        <v>100 m</v>
      </c>
      <c r="D211" s="81" t="str">
        <f t="shared" si="31"/>
        <v>CFP</v>
      </c>
      <c r="E211" s="108">
        <f t="shared" ref="E211:G211" si="44">IF(E41=0,,E41*E126/10^6)</f>
        <v>21.078782</v>
      </c>
      <c r="F211" s="108">
        <f t="shared" si="44"/>
        <v>8.8030050000000024</v>
      </c>
      <c r="G211" s="108">
        <f t="shared" si="44"/>
        <v>5.1903120000000031</v>
      </c>
      <c r="H211" s="108"/>
      <c r="I211" s="108"/>
      <c r="J211" s="108"/>
      <c r="K211" s="108"/>
      <c r="L211" s="108"/>
      <c r="M211" s="108"/>
      <c r="N211" s="108"/>
      <c r="O211" s="108"/>
      <c r="P211" s="108"/>
      <c r="R211" s="489"/>
    </row>
    <row r="212" spans="2:18">
      <c r="B212" s="87" t="str">
        <f t="shared" si="31"/>
        <v>100G SR4</v>
      </c>
      <c r="C212" s="88" t="str">
        <f t="shared" si="31"/>
        <v>100 m</v>
      </c>
      <c r="D212" s="89" t="str">
        <f t="shared" si="31"/>
        <v>CFP2/4</v>
      </c>
      <c r="E212" s="110">
        <f t="shared" ref="E212:G212" si="45">IF(E42=0,,E42*E127/10^6)</f>
        <v>5.2611999999999997</v>
      </c>
      <c r="F212" s="110">
        <f t="shared" si="45"/>
        <v>2.4791280000000007</v>
      </c>
      <c r="G212" s="110">
        <f t="shared" si="45"/>
        <v>2.0080936800000004</v>
      </c>
      <c r="H212" s="110"/>
      <c r="I212" s="110"/>
      <c r="J212" s="110"/>
      <c r="K212" s="110"/>
      <c r="L212" s="110"/>
      <c r="M212" s="110"/>
      <c r="N212" s="110"/>
      <c r="O212" s="110"/>
      <c r="P212" s="110"/>
      <c r="R212" s="489"/>
    </row>
    <row r="213" spans="2:18">
      <c r="B213" s="87" t="str">
        <f t="shared" si="31"/>
        <v>100G SR4</v>
      </c>
      <c r="C213" s="88" t="str">
        <f t="shared" si="31"/>
        <v>100 m</v>
      </c>
      <c r="D213" s="89" t="str">
        <f t="shared" si="31"/>
        <v>QSFP28</v>
      </c>
      <c r="E213" s="110">
        <f t="shared" ref="E213:G213" si="46">IF(E43=0,,E43*E128/10^6)</f>
        <v>0</v>
      </c>
      <c r="F213" s="110">
        <f t="shared" si="46"/>
        <v>0</v>
      </c>
      <c r="G213" s="110">
        <f t="shared" si="46"/>
        <v>4.3506989373378797</v>
      </c>
      <c r="H213" s="110"/>
      <c r="I213" s="110"/>
      <c r="J213" s="110"/>
      <c r="K213" s="110"/>
      <c r="L213" s="110"/>
      <c r="M213" s="110"/>
      <c r="N213" s="110"/>
      <c r="O213" s="110"/>
      <c r="P213" s="110"/>
      <c r="R213" s="489"/>
    </row>
    <row r="214" spans="2:18">
      <c r="B214" s="87" t="str">
        <f t="shared" si="31"/>
        <v>100G SR2</v>
      </c>
      <c r="C214" s="88" t="str">
        <f t="shared" si="31"/>
        <v>100 m</v>
      </c>
      <c r="D214" s="89" t="str">
        <f t="shared" si="31"/>
        <v>All</v>
      </c>
      <c r="E214" s="110">
        <f t="shared" ref="E214:G214" si="47">IF(E44=0,,E44*E129/10^6)</f>
        <v>0</v>
      </c>
      <c r="F214" s="110">
        <f t="shared" si="47"/>
        <v>0</v>
      </c>
      <c r="G214" s="110">
        <f t="shared" si="47"/>
        <v>0</v>
      </c>
      <c r="H214" s="110"/>
      <c r="I214" s="110"/>
      <c r="J214" s="110"/>
      <c r="K214" s="110"/>
      <c r="L214" s="110"/>
      <c r="M214" s="110"/>
      <c r="N214" s="110"/>
      <c r="O214" s="110"/>
      <c r="P214" s="110"/>
      <c r="R214" s="489"/>
    </row>
    <row r="215" spans="2:18">
      <c r="B215" s="87" t="str">
        <f t="shared" si="31"/>
        <v>100G MM Duplex</v>
      </c>
      <c r="C215" s="88" t="str">
        <f t="shared" si="31"/>
        <v>100 - 300 m</v>
      </c>
      <c r="D215" s="89" t="str">
        <f t="shared" si="31"/>
        <v>QSFP28</v>
      </c>
      <c r="E215" s="110">
        <f t="shared" ref="E215:G215" si="48">IF(E45=0,,E45*E130/10^6)</f>
        <v>0</v>
      </c>
      <c r="F215" s="110">
        <f t="shared" si="48"/>
        <v>0</v>
      </c>
      <c r="G215" s="110">
        <f t="shared" si="48"/>
        <v>0</v>
      </c>
      <c r="H215" s="110"/>
      <c r="I215" s="110"/>
      <c r="J215" s="110"/>
      <c r="K215" s="110"/>
      <c r="L215" s="110"/>
      <c r="M215" s="110"/>
      <c r="N215" s="110"/>
      <c r="O215" s="110"/>
      <c r="P215" s="110"/>
      <c r="R215" s="489"/>
    </row>
    <row r="216" spans="2:18">
      <c r="B216" s="87" t="str">
        <f t="shared" si="31"/>
        <v>100G eSR4</v>
      </c>
      <c r="C216" s="88" t="str">
        <f t="shared" si="31"/>
        <v>300 m</v>
      </c>
      <c r="D216" s="89" t="str">
        <f t="shared" si="31"/>
        <v>QSFP28</v>
      </c>
      <c r="E216" s="110">
        <f t="shared" ref="E216:G216" si="49">IF(E46=0,,E46*E131/10^6)</f>
        <v>0</v>
      </c>
      <c r="F216" s="110">
        <f t="shared" si="49"/>
        <v>0</v>
      </c>
      <c r="G216" s="110">
        <f t="shared" si="49"/>
        <v>0</v>
      </c>
      <c r="H216" s="110"/>
      <c r="I216" s="110"/>
      <c r="J216" s="110"/>
      <c r="K216" s="110"/>
      <c r="L216" s="110"/>
      <c r="M216" s="110"/>
      <c r="N216" s="110"/>
      <c r="O216" s="110"/>
      <c r="P216" s="110"/>
      <c r="R216" s="489"/>
    </row>
    <row r="217" spans="2:18">
      <c r="B217" s="87" t="str">
        <f t="shared" si="31"/>
        <v>100G PSM4</v>
      </c>
      <c r="C217" s="88" t="str">
        <f t="shared" si="31"/>
        <v>500 m</v>
      </c>
      <c r="D217" s="89" t="str">
        <f t="shared" si="31"/>
        <v>QSFP28</v>
      </c>
      <c r="E217" s="110">
        <f t="shared" ref="E217:G217" si="50">IF(E47=0,,E47*E132/10^6)</f>
        <v>0</v>
      </c>
      <c r="F217" s="110">
        <f t="shared" si="50"/>
        <v>0</v>
      </c>
      <c r="G217" s="110">
        <f t="shared" si="50"/>
        <v>0</v>
      </c>
      <c r="H217" s="110"/>
      <c r="I217" s="110"/>
      <c r="J217" s="110"/>
      <c r="K217" s="110"/>
      <c r="L217" s="110"/>
      <c r="M217" s="110"/>
      <c r="N217" s="110"/>
      <c r="O217" s="110"/>
      <c r="P217" s="110"/>
      <c r="R217" s="489"/>
    </row>
    <row r="218" spans="2:18">
      <c r="B218" s="87" t="str">
        <f t="shared" si="31"/>
        <v>100G DR</v>
      </c>
      <c r="C218" s="88" t="str">
        <f t="shared" si="31"/>
        <v>500m</v>
      </c>
      <c r="D218" s="89" t="str">
        <f t="shared" si="31"/>
        <v>QSFP28</v>
      </c>
      <c r="E218" s="110">
        <f t="shared" ref="E218:G218" si="51">IF(E48=0,,E48*E133/10^6)</f>
        <v>0</v>
      </c>
      <c r="F218" s="110">
        <f t="shared" si="51"/>
        <v>0</v>
      </c>
      <c r="G218" s="110">
        <f t="shared" si="51"/>
        <v>0</v>
      </c>
      <c r="H218" s="110"/>
      <c r="I218" s="110"/>
      <c r="J218" s="110"/>
      <c r="K218" s="110"/>
      <c r="L218" s="110"/>
      <c r="M218" s="110"/>
      <c r="N218" s="110"/>
      <c r="O218" s="110"/>
      <c r="P218" s="110"/>
      <c r="R218" s="489"/>
    </row>
    <row r="219" spans="2:18">
      <c r="B219" s="87" t="str">
        <f t="shared" ref="B219:D232" si="52">B49</f>
        <v>100G CWDM4-subspec</v>
      </c>
      <c r="C219" s="88" t="str">
        <f t="shared" si="52"/>
        <v>500 m</v>
      </c>
      <c r="D219" s="89" t="str">
        <f t="shared" si="52"/>
        <v>QSFP28</v>
      </c>
      <c r="E219" s="110">
        <f t="shared" ref="E219:G219" si="53">IF(E49=0,,E49*E134/10^6)</f>
        <v>0</v>
      </c>
      <c r="F219" s="110">
        <f t="shared" si="53"/>
        <v>0</v>
      </c>
      <c r="G219" s="110">
        <f t="shared" si="53"/>
        <v>0</v>
      </c>
      <c r="H219" s="110"/>
      <c r="I219" s="110"/>
      <c r="J219" s="110"/>
      <c r="K219" s="110"/>
      <c r="L219" s="110"/>
      <c r="M219" s="110"/>
      <c r="N219" s="110"/>
      <c r="O219" s="110"/>
      <c r="P219" s="110"/>
      <c r="R219" s="489"/>
    </row>
    <row r="220" spans="2:18">
      <c r="B220" s="87" t="str">
        <f t="shared" si="52"/>
        <v>100G CWDM4</v>
      </c>
      <c r="C220" s="88" t="str">
        <f t="shared" si="52"/>
        <v>2 km</v>
      </c>
      <c r="D220" s="89" t="str">
        <f t="shared" si="52"/>
        <v>QSFP28</v>
      </c>
      <c r="E220" s="110">
        <f t="shared" ref="E220:G220" si="54">IF(E50=0,,E50*E135/10^6)</f>
        <v>0</v>
      </c>
      <c r="F220" s="110">
        <f t="shared" si="54"/>
        <v>0</v>
      </c>
      <c r="G220" s="110">
        <f t="shared" si="54"/>
        <v>0</v>
      </c>
      <c r="H220" s="110"/>
      <c r="I220" s="110"/>
      <c r="J220" s="110"/>
      <c r="K220" s="110"/>
      <c r="L220" s="110"/>
      <c r="M220" s="110"/>
      <c r="N220" s="110"/>
      <c r="O220" s="110"/>
      <c r="P220" s="110"/>
      <c r="R220" s="489"/>
    </row>
    <row r="221" spans="2:18">
      <c r="B221" s="87" t="str">
        <f t="shared" si="52"/>
        <v>100G FR, DR+</v>
      </c>
      <c r="C221" s="88" t="str">
        <f t="shared" si="52"/>
        <v>2 km</v>
      </c>
      <c r="D221" s="89" t="str">
        <f t="shared" si="52"/>
        <v>QSFP28</v>
      </c>
      <c r="E221" s="110">
        <f t="shared" ref="E221:G221" si="55">IF(E51=0,,E51*E136/10^6)</f>
        <v>0</v>
      </c>
      <c r="F221" s="110">
        <f t="shared" si="55"/>
        <v>0</v>
      </c>
      <c r="G221" s="110">
        <f t="shared" si="55"/>
        <v>0</v>
      </c>
      <c r="H221" s="110"/>
      <c r="I221" s="110"/>
      <c r="J221" s="110"/>
      <c r="K221" s="110"/>
      <c r="L221" s="110"/>
      <c r="M221" s="110"/>
      <c r="N221" s="110"/>
      <c r="O221" s="110"/>
      <c r="P221" s="110"/>
    </row>
    <row r="222" spans="2:18">
      <c r="B222" s="87" t="str">
        <f t="shared" si="52"/>
        <v>100G LR4</v>
      </c>
      <c r="C222" s="88" t="str">
        <f t="shared" si="52"/>
        <v>10 km</v>
      </c>
      <c r="D222" s="89" t="str">
        <f t="shared" si="52"/>
        <v>CFP</v>
      </c>
      <c r="E222" s="110">
        <f t="shared" ref="E222:G222" si="56">IF(E52=0,,E52*E137/10^6)</f>
        <v>387.84002208207454</v>
      </c>
      <c r="F222" s="110">
        <f t="shared" si="56"/>
        <v>186.42675405916248</v>
      </c>
      <c r="G222" s="110">
        <f t="shared" si="56"/>
        <v>81.455872165940619</v>
      </c>
      <c r="H222" s="110"/>
      <c r="I222" s="110"/>
      <c r="J222" s="110"/>
      <c r="K222" s="110"/>
      <c r="L222" s="110"/>
      <c r="M222" s="110"/>
      <c r="N222" s="110"/>
      <c r="O222" s="110"/>
      <c r="P222" s="110"/>
    </row>
    <row r="223" spans="2:18">
      <c r="B223" s="87" t="str">
        <f t="shared" si="52"/>
        <v>100G LR4</v>
      </c>
      <c r="C223" s="88" t="str">
        <f t="shared" si="52"/>
        <v>10 km</v>
      </c>
      <c r="D223" s="89" t="str">
        <f t="shared" si="52"/>
        <v>CFP2/4</v>
      </c>
      <c r="E223" s="110">
        <f t="shared" ref="E223:G223" si="57">IF(E53=0,,E53*E138/10^6)</f>
        <v>265.89292589706986</v>
      </c>
      <c r="F223" s="110">
        <f t="shared" si="57"/>
        <v>167.37814313065076</v>
      </c>
      <c r="G223" s="110">
        <f t="shared" si="57"/>
        <v>101.21498299999995</v>
      </c>
      <c r="H223" s="110"/>
      <c r="I223" s="110"/>
      <c r="J223" s="110"/>
      <c r="K223" s="110"/>
      <c r="L223" s="110"/>
      <c r="M223" s="110"/>
      <c r="N223" s="110"/>
      <c r="O223" s="110"/>
      <c r="P223" s="110"/>
    </row>
    <row r="224" spans="2:18">
      <c r="B224" s="87" t="str">
        <f t="shared" si="52"/>
        <v>100G LR4 and LR1</v>
      </c>
      <c r="C224" s="88" t="str">
        <f t="shared" si="52"/>
        <v>10 km</v>
      </c>
      <c r="D224" s="89" t="str">
        <f t="shared" si="52"/>
        <v>QSFP28</v>
      </c>
      <c r="E224" s="110">
        <f t="shared" ref="E224:G224" si="58">IF(E54=0,,E54*E139/10^6)</f>
        <v>35.058421943272599</v>
      </c>
      <c r="F224" s="110">
        <f t="shared" si="58"/>
        <v>130.44672</v>
      </c>
      <c r="G224" s="110">
        <f t="shared" si="58"/>
        <v>99.532400954490555</v>
      </c>
      <c r="H224" s="110"/>
      <c r="I224" s="110"/>
      <c r="J224" s="110"/>
      <c r="K224" s="110"/>
      <c r="L224" s="110"/>
      <c r="M224" s="110"/>
      <c r="N224" s="110"/>
      <c r="O224" s="110"/>
      <c r="P224" s="110"/>
    </row>
    <row r="225" spans="2:16">
      <c r="B225" s="87" t="str">
        <f t="shared" si="52"/>
        <v>100G 4WDM10</v>
      </c>
      <c r="C225" s="88" t="str">
        <f t="shared" si="52"/>
        <v>10 km</v>
      </c>
      <c r="D225" s="89" t="str">
        <f t="shared" si="52"/>
        <v>QSFP28</v>
      </c>
      <c r="E225" s="110">
        <f t="shared" ref="E225:G225" si="59">IF(E55=0,,E55*E140/10^6)</f>
        <v>0</v>
      </c>
      <c r="F225" s="110">
        <f t="shared" si="59"/>
        <v>0</v>
      </c>
      <c r="G225" s="110">
        <f t="shared" si="59"/>
        <v>0</v>
      </c>
      <c r="H225" s="110"/>
      <c r="I225" s="110"/>
      <c r="J225" s="110"/>
      <c r="K225" s="110"/>
      <c r="L225" s="110"/>
      <c r="M225" s="110"/>
      <c r="N225" s="110"/>
      <c r="O225" s="110"/>
      <c r="P225" s="110"/>
    </row>
    <row r="226" spans="2:16" ht="12.75" customHeight="1">
      <c r="B226" s="87" t="str">
        <f t="shared" si="52"/>
        <v>100G 4WDM20</v>
      </c>
      <c r="C226" s="88" t="str">
        <f t="shared" si="52"/>
        <v>20 km</v>
      </c>
      <c r="D226" s="89" t="str">
        <f t="shared" si="52"/>
        <v>QSFP28</v>
      </c>
      <c r="E226" s="110">
        <f t="shared" ref="E226:G226" si="60">IF(E56=0,,E56*E141/10^6)</f>
        <v>0</v>
      </c>
      <c r="F226" s="110">
        <f t="shared" si="60"/>
        <v>0</v>
      </c>
      <c r="G226" s="110">
        <f t="shared" si="60"/>
        <v>0</v>
      </c>
      <c r="H226" s="110"/>
      <c r="I226" s="110"/>
      <c r="J226" s="110"/>
      <c r="K226" s="110"/>
      <c r="L226" s="110"/>
      <c r="M226" s="110"/>
      <c r="N226" s="110"/>
      <c r="O226" s="110"/>
      <c r="P226" s="110"/>
    </row>
    <row r="227" spans="2:16" ht="12.75" customHeight="1">
      <c r="B227" s="87" t="str">
        <f t="shared" si="52"/>
        <v>100G ER4-Lite</v>
      </c>
      <c r="C227" s="88" t="str">
        <f t="shared" si="52"/>
        <v>30 km</v>
      </c>
      <c r="D227" s="89" t="str">
        <f t="shared" si="52"/>
        <v>QSFP28</v>
      </c>
      <c r="E227" s="110">
        <f t="shared" ref="E227:G227" si="61">IF(E57=0,,E57*E142/10^6)</f>
        <v>0</v>
      </c>
      <c r="F227" s="110">
        <f t="shared" si="61"/>
        <v>5.5795878312070659</v>
      </c>
      <c r="G227" s="110">
        <f t="shared" si="61"/>
        <v>15.068293125925925</v>
      </c>
      <c r="H227" s="110"/>
      <c r="I227" s="110"/>
      <c r="J227" s="110"/>
      <c r="K227" s="110"/>
      <c r="L227" s="110"/>
      <c r="M227" s="110"/>
      <c r="N227" s="110"/>
      <c r="O227" s="110"/>
      <c r="P227" s="110"/>
    </row>
    <row r="228" spans="2:16" ht="12.75" customHeight="1">
      <c r="B228" s="87" t="str">
        <f t="shared" si="52"/>
        <v>100G ER4</v>
      </c>
      <c r="C228" s="88" t="str">
        <f t="shared" si="52"/>
        <v>40 km</v>
      </c>
      <c r="D228" s="89" t="str">
        <f t="shared" si="52"/>
        <v>QSFP28</v>
      </c>
      <c r="E228" s="110">
        <f t="shared" ref="E228:G228" si="62">IF(E58=0,,E58*E143/10^6)</f>
        <v>53.637631627312636</v>
      </c>
      <c r="F228" s="110">
        <f t="shared" si="62"/>
        <v>44.175693291689278</v>
      </c>
      <c r="G228" s="110">
        <f t="shared" si="62"/>
        <v>16.005369442637175</v>
      </c>
      <c r="H228" s="110"/>
      <c r="I228" s="110"/>
      <c r="J228" s="110"/>
      <c r="K228" s="110"/>
      <c r="L228" s="110"/>
      <c r="M228" s="110"/>
      <c r="N228" s="110"/>
      <c r="O228" s="110"/>
      <c r="P228" s="110"/>
    </row>
    <row r="229" spans="2:16">
      <c r="B229" s="83" t="str">
        <f t="shared" si="52"/>
        <v>100G ZR4</v>
      </c>
      <c r="C229" s="84" t="str">
        <f t="shared" si="52"/>
        <v>80 km</v>
      </c>
      <c r="D229" s="85" t="str">
        <f t="shared" si="52"/>
        <v>QSFP28</v>
      </c>
      <c r="E229" s="109">
        <f t="shared" ref="E229:G229" si="63">IF(E59=0,,E59*E144/10^6)</f>
        <v>0</v>
      </c>
      <c r="F229" s="109">
        <f t="shared" si="63"/>
        <v>0</v>
      </c>
      <c r="G229" s="109">
        <f t="shared" si="63"/>
        <v>0</v>
      </c>
      <c r="H229" s="109"/>
      <c r="I229" s="109"/>
      <c r="J229" s="109"/>
      <c r="K229" s="109"/>
      <c r="L229" s="109"/>
      <c r="M229" s="109"/>
      <c r="N229" s="109"/>
      <c r="O229" s="109"/>
      <c r="P229" s="109"/>
    </row>
    <row r="230" spans="2:16">
      <c r="B230" s="79" t="str">
        <f t="shared" si="52"/>
        <v>200G SR4</v>
      </c>
      <c r="C230" s="80" t="str">
        <f t="shared" si="52"/>
        <v>100 m</v>
      </c>
      <c r="D230" s="81" t="str">
        <f t="shared" si="52"/>
        <v>QSFP56</v>
      </c>
      <c r="E230" s="108">
        <f t="shared" ref="E230:G230" si="64">IF(E60=0,,E60*E145/10^6)</f>
        <v>0</v>
      </c>
      <c r="F230" s="108">
        <f t="shared" si="64"/>
        <v>0</v>
      </c>
      <c r="G230" s="108">
        <f t="shared" si="64"/>
        <v>0</v>
      </c>
      <c r="H230" s="108"/>
      <c r="I230" s="108"/>
      <c r="J230" s="108"/>
      <c r="K230" s="108"/>
      <c r="L230" s="108"/>
      <c r="M230" s="108"/>
      <c r="N230" s="108"/>
      <c r="O230" s="108"/>
      <c r="P230" s="108"/>
    </row>
    <row r="231" spans="2:16">
      <c r="B231" s="87" t="str">
        <f t="shared" si="52"/>
        <v>200G DR</v>
      </c>
      <c r="C231" s="88" t="str">
        <f t="shared" si="52"/>
        <v>500 m</v>
      </c>
      <c r="D231" s="89" t="str">
        <f t="shared" si="52"/>
        <v>TBD</v>
      </c>
      <c r="E231" s="110">
        <f t="shared" ref="E231:G232" si="65">IF(E61=0,,E61*E146/10^6)</f>
        <v>0</v>
      </c>
      <c r="F231" s="110">
        <f t="shared" si="65"/>
        <v>0</v>
      </c>
      <c r="G231" s="110">
        <f t="shared" si="65"/>
        <v>0</v>
      </c>
      <c r="H231" s="110"/>
      <c r="I231" s="110"/>
      <c r="J231" s="110"/>
      <c r="K231" s="110"/>
      <c r="L231" s="110"/>
      <c r="M231" s="110"/>
      <c r="N231" s="110"/>
      <c r="O231" s="110"/>
      <c r="P231" s="110"/>
    </row>
    <row r="232" spans="2:16">
      <c r="B232" s="87" t="str">
        <f t="shared" si="52"/>
        <v>200G FR4</v>
      </c>
      <c r="C232" s="88" t="str">
        <f t="shared" si="52"/>
        <v>3 km</v>
      </c>
      <c r="D232" s="89" t="str">
        <f t="shared" si="52"/>
        <v>QSFP56</v>
      </c>
      <c r="E232" s="110">
        <f t="shared" si="65"/>
        <v>0</v>
      </c>
      <c r="F232" s="110">
        <f t="shared" si="65"/>
        <v>0</v>
      </c>
      <c r="G232" s="110">
        <f t="shared" si="65"/>
        <v>0</v>
      </c>
      <c r="H232" s="110"/>
      <c r="I232" s="110"/>
      <c r="J232" s="110"/>
      <c r="K232" s="110"/>
      <c r="L232" s="110"/>
      <c r="M232" s="110"/>
      <c r="N232" s="110"/>
      <c r="O232" s="110"/>
      <c r="P232" s="110"/>
    </row>
    <row r="233" spans="2:16">
      <c r="B233" s="87" t="str">
        <f t="shared" ref="B233:D233" si="66">B63</f>
        <v>200G LR</v>
      </c>
      <c r="C233" s="88" t="str">
        <f t="shared" si="66"/>
        <v>10 km</v>
      </c>
      <c r="D233" s="89" t="str">
        <f t="shared" si="66"/>
        <v>TBD</v>
      </c>
      <c r="E233" s="110">
        <f t="shared" ref="E233:G233" si="67">IF(E63=0,,E63*E148/10^6)</f>
        <v>0</v>
      </c>
      <c r="F233" s="110">
        <f t="shared" si="67"/>
        <v>0</v>
      </c>
      <c r="G233" s="110">
        <f t="shared" si="67"/>
        <v>0</v>
      </c>
      <c r="H233" s="110"/>
      <c r="I233" s="110"/>
      <c r="J233" s="110"/>
      <c r="K233" s="110"/>
      <c r="L233" s="110"/>
      <c r="M233" s="110"/>
      <c r="N233" s="110"/>
      <c r="O233" s="110"/>
      <c r="P233" s="110"/>
    </row>
    <row r="234" spans="2:16">
      <c r="B234" s="87" t="str">
        <f t="shared" ref="B234:D234" si="68">B64</f>
        <v>200G ER4</v>
      </c>
      <c r="C234" s="88" t="str">
        <f t="shared" si="68"/>
        <v>40 km</v>
      </c>
      <c r="D234" s="89" t="str">
        <f t="shared" si="68"/>
        <v>TBD</v>
      </c>
      <c r="E234" s="110">
        <f t="shared" ref="E234:G234" si="69">IF(E64=0,,E64*E149/10^6)</f>
        <v>0</v>
      </c>
      <c r="F234" s="110">
        <f t="shared" si="69"/>
        <v>0</v>
      </c>
      <c r="G234" s="110">
        <f t="shared" si="69"/>
        <v>0</v>
      </c>
      <c r="H234" s="110"/>
      <c r="I234" s="110"/>
      <c r="J234" s="110"/>
      <c r="K234" s="110"/>
      <c r="L234" s="110"/>
      <c r="M234" s="110"/>
      <c r="N234" s="110"/>
      <c r="O234" s="110"/>
      <c r="P234" s="110"/>
    </row>
    <row r="235" spans="2:16">
      <c r="B235" s="79" t="str">
        <f t="shared" ref="B235:D244" si="70">B65</f>
        <v>2x200 (400G-SR8)</v>
      </c>
      <c r="C235" s="80" t="str">
        <f t="shared" si="70"/>
        <v>100 m</v>
      </c>
      <c r="D235" s="81" t="str">
        <f t="shared" si="70"/>
        <v>OSFP, QSFP-DD</v>
      </c>
      <c r="E235" s="108">
        <f t="shared" ref="E235:G235" si="71">IF(E65=0,,E65*E150/10^6)</f>
        <v>0</v>
      </c>
      <c r="F235" s="108">
        <f t="shared" si="71"/>
        <v>0</v>
      </c>
      <c r="G235" s="108">
        <f t="shared" si="71"/>
        <v>0</v>
      </c>
      <c r="H235" s="108"/>
      <c r="I235" s="108"/>
      <c r="J235" s="108"/>
      <c r="K235" s="108"/>
      <c r="L235" s="108"/>
      <c r="M235" s="108"/>
      <c r="N235" s="108"/>
      <c r="O235" s="108"/>
      <c r="P235" s="108"/>
    </row>
    <row r="236" spans="2:16">
      <c r="B236" s="87" t="str">
        <f t="shared" si="70"/>
        <v>400G SR4.2</v>
      </c>
      <c r="C236" s="88" t="str">
        <f t="shared" si="70"/>
        <v>100 m</v>
      </c>
      <c r="D236" s="89" t="str">
        <f t="shared" si="70"/>
        <v>OSFP, QSFP-DD</v>
      </c>
      <c r="E236" s="110">
        <f t="shared" ref="E236:G236" si="72">IF(E66=0,,E66*E151/10^6)</f>
        <v>0</v>
      </c>
      <c r="F236" s="110">
        <f t="shared" si="72"/>
        <v>0</v>
      </c>
      <c r="G236" s="110">
        <f t="shared" si="72"/>
        <v>0</v>
      </c>
      <c r="H236" s="110"/>
      <c r="I236" s="110"/>
      <c r="J236" s="110"/>
      <c r="K236" s="110"/>
      <c r="L236" s="110"/>
      <c r="M236" s="110"/>
      <c r="N236" s="110"/>
      <c r="O236" s="110"/>
      <c r="P236" s="110"/>
    </row>
    <row r="237" spans="2:16">
      <c r="B237" s="87" t="str">
        <f t="shared" si="70"/>
        <v>400G DR4</v>
      </c>
      <c r="C237" s="88" t="str">
        <f t="shared" si="70"/>
        <v>500 m</v>
      </c>
      <c r="D237" s="89" t="str">
        <f t="shared" si="70"/>
        <v>OSFP, QSFP-DD, QSFP112</v>
      </c>
      <c r="E237" s="110">
        <f t="shared" ref="E237:G237" si="73">IF(E67=0,,E67*E152/10^6)</f>
        <v>0</v>
      </c>
      <c r="F237" s="110">
        <f t="shared" si="73"/>
        <v>0</v>
      </c>
      <c r="G237" s="110">
        <f t="shared" si="73"/>
        <v>0</v>
      </c>
      <c r="H237" s="110"/>
      <c r="I237" s="110"/>
      <c r="J237" s="110"/>
      <c r="K237" s="110"/>
      <c r="L237" s="110"/>
      <c r="M237" s="110"/>
      <c r="N237" s="110"/>
      <c r="O237" s="110"/>
      <c r="P237" s="110"/>
    </row>
    <row r="238" spans="2:16">
      <c r="B238" s="87" t="str">
        <f t="shared" si="70"/>
        <v>2x(200G FR4)</v>
      </c>
      <c r="C238" s="88" t="str">
        <f t="shared" si="70"/>
        <v>2 km</v>
      </c>
      <c r="D238" s="89" t="str">
        <f t="shared" si="70"/>
        <v>OSFP</v>
      </c>
      <c r="E238" s="110">
        <f t="shared" ref="E238:G238" si="74">IF(E68=0,,E68*E153/10^6)</f>
        <v>0</v>
      </c>
      <c r="F238" s="110">
        <f t="shared" si="74"/>
        <v>0</v>
      </c>
      <c r="G238" s="110">
        <f t="shared" si="74"/>
        <v>0</v>
      </c>
      <c r="H238" s="110"/>
      <c r="I238" s="110"/>
      <c r="J238" s="110"/>
      <c r="K238" s="110"/>
      <c r="L238" s="110"/>
      <c r="M238" s="110"/>
      <c r="N238" s="110"/>
      <c r="O238" s="110"/>
      <c r="P238" s="110"/>
    </row>
    <row r="239" spans="2:16">
      <c r="B239" s="87" t="str">
        <f t="shared" si="70"/>
        <v>400G FR4</v>
      </c>
      <c r="C239" s="88" t="str">
        <f t="shared" si="70"/>
        <v>2 km</v>
      </c>
      <c r="D239" s="89" t="str">
        <f t="shared" si="70"/>
        <v>OSFP, QSFP-DD, QSFP112</v>
      </c>
      <c r="E239" s="110">
        <f t="shared" ref="E239:G239" si="75">IF(E69=0,,E69*E154/10^6)</f>
        <v>0</v>
      </c>
      <c r="F239" s="110">
        <f t="shared" si="75"/>
        <v>0</v>
      </c>
      <c r="G239" s="110">
        <f t="shared" si="75"/>
        <v>0</v>
      </c>
      <c r="H239" s="110"/>
      <c r="I239" s="110"/>
      <c r="J239" s="110"/>
      <c r="K239" s="110"/>
      <c r="L239" s="110"/>
      <c r="M239" s="110"/>
      <c r="N239" s="110"/>
      <c r="O239" s="110"/>
      <c r="P239" s="110"/>
    </row>
    <row r="240" spans="2:16">
      <c r="B240" s="83" t="str">
        <f t="shared" si="70"/>
        <v>400G LR8, LR4</v>
      </c>
      <c r="C240" s="84" t="str">
        <f t="shared" si="70"/>
        <v>10 km</v>
      </c>
      <c r="D240" s="85" t="str">
        <f t="shared" si="70"/>
        <v>OSFP, QSFP-DD, QSFP112</v>
      </c>
      <c r="E240" s="109">
        <f t="shared" ref="E240:G241" si="76">IF(E70=0,,E70*E155/10^6)</f>
        <v>0</v>
      </c>
      <c r="F240" s="109">
        <f t="shared" si="76"/>
        <v>1.2669999999999999</v>
      </c>
      <c r="G240" s="109">
        <f t="shared" si="76"/>
        <v>7.2</v>
      </c>
      <c r="H240" s="109"/>
      <c r="I240" s="109"/>
      <c r="J240" s="109"/>
      <c r="K240" s="109"/>
      <c r="L240" s="109"/>
      <c r="M240" s="109"/>
      <c r="N240" s="109"/>
      <c r="O240" s="109"/>
      <c r="P240" s="109"/>
    </row>
    <row r="241" spans="2:16">
      <c r="B241" s="83" t="str">
        <f t="shared" si="70"/>
        <v>400G ER4</v>
      </c>
      <c r="C241" s="84" t="str">
        <f t="shared" si="70"/>
        <v>40 km</v>
      </c>
      <c r="D241" s="85" t="str">
        <f t="shared" si="70"/>
        <v>TBD</v>
      </c>
      <c r="E241" s="109">
        <f t="shared" si="76"/>
        <v>0</v>
      </c>
      <c r="F241" s="109">
        <f t="shared" si="76"/>
        <v>0</v>
      </c>
      <c r="G241" s="109">
        <f t="shared" si="76"/>
        <v>0</v>
      </c>
      <c r="H241" s="109"/>
      <c r="I241" s="109"/>
      <c r="J241" s="109"/>
      <c r="K241" s="109"/>
      <c r="L241" s="109"/>
      <c r="M241" s="109"/>
      <c r="N241" s="109"/>
      <c r="O241" s="109"/>
      <c r="P241" s="109"/>
    </row>
    <row r="242" spans="2:16" s="92" customFormat="1">
      <c r="B242" s="87" t="str">
        <f t="shared" si="70"/>
        <v>800G SR8</v>
      </c>
      <c r="C242" s="88" t="str">
        <f t="shared" si="70"/>
        <v>50 m</v>
      </c>
      <c r="D242" s="89" t="str">
        <f t="shared" si="70"/>
        <v>OSFP, QSFP-DD800</v>
      </c>
      <c r="E242" s="110">
        <f t="shared" ref="E242:G242" si="77">IF(E72=0,,E72*E157/10^6)</f>
        <v>0</v>
      </c>
      <c r="F242" s="110">
        <f t="shared" si="77"/>
        <v>0</v>
      </c>
      <c r="G242" s="110">
        <f t="shared" si="77"/>
        <v>0</v>
      </c>
      <c r="H242" s="110"/>
      <c r="I242" s="110"/>
      <c r="J242" s="110"/>
      <c r="K242" s="110"/>
      <c r="L242" s="110"/>
      <c r="M242" s="110"/>
      <c r="N242" s="110"/>
      <c r="O242" s="110"/>
      <c r="P242" s="110"/>
    </row>
    <row r="243" spans="2:16" s="92" customFormat="1">
      <c r="B243" s="87" t="str">
        <f t="shared" si="70"/>
        <v>800G DR8, DR4</v>
      </c>
      <c r="C243" s="88" t="str">
        <f t="shared" si="70"/>
        <v>500 m</v>
      </c>
      <c r="D243" s="89" t="str">
        <f t="shared" si="70"/>
        <v>OSFP, QSFP-DD800</v>
      </c>
      <c r="E243" s="110">
        <f t="shared" ref="E243:G243" si="78">IF(E73=0,,E73*E158/10^6)</f>
        <v>0</v>
      </c>
      <c r="F243" s="110">
        <f t="shared" si="78"/>
        <v>0</v>
      </c>
      <c r="G243" s="110">
        <f t="shared" si="78"/>
        <v>0</v>
      </c>
      <c r="H243" s="110"/>
      <c r="I243" s="110"/>
      <c r="J243" s="110"/>
      <c r="K243" s="110"/>
      <c r="L243" s="110"/>
      <c r="M243" s="110"/>
      <c r="N243" s="110"/>
      <c r="O243" s="110"/>
      <c r="P243" s="110"/>
    </row>
    <row r="244" spans="2:16" s="92" customFormat="1">
      <c r="B244" s="87" t="str">
        <f t="shared" si="70"/>
        <v>2x(400G FR4), 800G FR4</v>
      </c>
      <c r="C244" s="88" t="str">
        <f t="shared" si="70"/>
        <v>2 km</v>
      </c>
      <c r="D244" s="89" t="str">
        <f t="shared" si="70"/>
        <v>OSFP, QSFP-DD800</v>
      </c>
      <c r="E244" s="110">
        <f t="shared" ref="E244:G244" si="79">IF(E74=0,,E74*E159/10^6)</f>
        <v>0</v>
      </c>
      <c r="F244" s="110">
        <f t="shared" si="79"/>
        <v>0</v>
      </c>
      <c r="G244" s="110">
        <f t="shared" si="79"/>
        <v>0</v>
      </c>
      <c r="H244" s="110"/>
      <c r="I244" s="110"/>
      <c r="J244" s="110"/>
      <c r="K244" s="110"/>
      <c r="L244" s="110"/>
      <c r="M244" s="110"/>
      <c r="N244" s="110"/>
      <c r="O244" s="110"/>
      <c r="P244" s="110"/>
    </row>
    <row r="245" spans="2:16" s="92" customFormat="1">
      <c r="B245" s="87" t="str">
        <f t="shared" ref="B245:D257" si="80">B75</f>
        <v>800G LR8, LR4</v>
      </c>
      <c r="C245" s="88" t="str">
        <f t="shared" si="80"/>
        <v>6, 10 km</v>
      </c>
      <c r="D245" s="89" t="str">
        <f t="shared" si="80"/>
        <v>TBD</v>
      </c>
      <c r="E245" s="110">
        <f t="shared" ref="E245:G245" si="81">IF(E75=0,,E75*E160/10^6)</f>
        <v>0</v>
      </c>
      <c r="F245" s="110">
        <f t="shared" si="81"/>
        <v>0</v>
      </c>
      <c r="G245" s="110">
        <f t="shared" si="81"/>
        <v>0</v>
      </c>
      <c r="H245" s="110"/>
      <c r="I245" s="110"/>
      <c r="J245" s="110"/>
      <c r="K245" s="110"/>
      <c r="L245" s="110"/>
      <c r="M245" s="110"/>
      <c r="N245" s="110"/>
      <c r="O245" s="110"/>
      <c r="P245" s="110"/>
    </row>
    <row r="246" spans="2:16" s="92" customFormat="1">
      <c r="B246" s="87" t="str">
        <f t="shared" si="80"/>
        <v>800G ZRlite</v>
      </c>
      <c r="C246" s="88" t="str">
        <f t="shared" si="80"/>
        <v>10 km, 20 km</v>
      </c>
      <c r="D246" s="89" t="str">
        <f t="shared" si="80"/>
        <v>TBD</v>
      </c>
      <c r="E246" s="110">
        <f t="shared" ref="E246:G246" si="82">IF(E76=0,,E76*E161/10^6)</f>
        <v>0</v>
      </c>
      <c r="F246" s="110">
        <f t="shared" si="82"/>
        <v>0</v>
      </c>
      <c r="G246" s="110">
        <f t="shared" si="82"/>
        <v>0</v>
      </c>
      <c r="H246" s="110"/>
      <c r="I246" s="110"/>
      <c r="J246" s="110"/>
      <c r="K246" s="110"/>
      <c r="L246" s="110"/>
      <c r="M246" s="110"/>
      <c r="N246" s="110"/>
      <c r="O246" s="110"/>
      <c r="P246" s="110"/>
    </row>
    <row r="247" spans="2:16" s="92" customFormat="1">
      <c r="B247" s="83" t="str">
        <f t="shared" si="80"/>
        <v>800G ER4</v>
      </c>
      <c r="C247" s="84" t="str">
        <f t="shared" si="80"/>
        <v>40 km</v>
      </c>
      <c r="D247" s="85" t="str">
        <f t="shared" si="80"/>
        <v>TBD</v>
      </c>
      <c r="E247" s="109">
        <f t="shared" ref="E247:G247" si="83">IF(E77=0,,E77*E162/10^6)</f>
        <v>0</v>
      </c>
      <c r="F247" s="109">
        <f t="shared" si="83"/>
        <v>0</v>
      </c>
      <c r="G247" s="109">
        <f t="shared" si="83"/>
        <v>0</v>
      </c>
      <c r="H247" s="109"/>
      <c r="I247" s="109"/>
      <c r="J247" s="109"/>
      <c r="K247" s="109"/>
      <c r="L247" s="109"/>
      <c r="M247" s="109"/>
      <c r="N247" s="109"/>
      <c r="O247" s="109"/>
      <c r="P247" s="109"/>
    </row>
    <row r="248" spans="2:16" s="92" customFormat="1">
      <c r="B248" s="87" t="str">
        <f t="shared" si="80"/>
        <v>1.6T SR16</v>
      </c>
      <c r="C248" s="88" t="str">
        <f t="shared" si="80"/>
        <v>100 m</v>
      </c>
      <c r="D248" s="89" t="str">
        <f t="shared" si="80"/>
        <v>OSFP-XD and TBD</v>
      </c>
      <c r="E248" s="110">
        <f t="shared" ref="E248:G248" si="84">IF(E78=0,,E78*E163/10^6)</f>
        <v>0</v>
      </c>
      <c r="F248" s="110">
        <f t="shared" si="84"/>
        <v>0</v>
      </c>
      <c r="G248" s="110">
        <f t="shared" si="84"/>
        <v>0</v>
      </c>
      <c r="H248" s="110"/>
      <c r="I248" s="110"/>
      <c r="J248" s="110"/>
      <c r="K248" s="110"/>
      <c r="L248" s="110"/>
      <c r="M248" s="110"/>
      <c r="N248" s="110"/>
      <c r="O248" s="110"/>
      <c r="P248" s="110"/>
    </row>
    <row r="249" spans="2:16" s="92" customFormat="1">
      <c r="B249" s="87" t="str">
        <f t="shared" si="80"/>
        <v>1.6T DR8</v>
      </c>
      <c r="C249" s="88" t="str">
        <f t="shared" si="80"/>
        <v>500 m</v>
      </c>
      <c r="D249" s="89" t="str">
        <f t="shared" si="80"/>
        <v>OSFP-XD and TBD</v>
      </c>
      <c r="E249" s="110">
        <f t="shared" ref="E249:G249" si="85">IF(E79=0,,E79*E164/10^6)</f>
        <v>0</v>
      </c>
      <c r="F249" s="110">
        <f t="shared" si="85"/>
        <v>0</v>
      </c>
      <c r="G249" s="110">
        <f t="shared" si="85"/>
        <v>0</v>
      </c>
      <c r="H249" s="110"/>
      <c r="I249" s="110"/>
      <c r="J249" s="110"/>
      <c r="K249" s="110"/>
      <c r="L249" s="110"/>
      <c r="M249" s="110"/>
      <c r="N249" s="110"/>
      <c r="O249" s="110"/>
      <c r="P249" s="110"/>
    </row>
    <row r="250" spans="2:16" s="92" customFormat="1">
      <c r="B250" s="87" t="str">
        <f t="shared" si="80"/>
        <v>1.6T FR8</v>
      </c>
      <c r="C250" s="88" t="str">
        <f t="shared" si="80"/>
        <v>2 km</v>
      </c>
      <c r="D250" s="89" t="str">
        <f t="shared" si="80"/>
        <v>OSFP-XD and TBD</v>
      </c>
      <c r="E250" s="110">
        <f t="shared" ref="E250:G250" si="86">IF(E80=0,,E80*E165/10^6)</f>
        <v>0</v>
      </c>
      <c r="F250" s="110">
        <f t="shared" si="86"/>
        <v>0</v>
      </c>
      <c r="G250" s="110">
        <f t="shared" si="86"/>
        <v>0</v>
      </c>
      <c r="H250" s="110"/>
      <c r="I250" s="110"/>
      <c r="J250" s="110"/>
      <c r="K250" s="110"/>
      <c r="L250" s="110"/>
      <c r="M250" s="110"/>
      <c r="N250" s="110"/>
      <c r="O250" s="110"/>
      <c r="P250" s="110"/>
    </row>
    <row r="251" spans="2:16" s="92" customFormat="1">
      <c r="B251" s="87" t="str">
        <f t="shared" si="80"/>
        <v>1.6T LR8</v>
      </c>
      <c r="C251" s="88" t="str">
        <f t="shared" si="80"/>
        <v>10 km</v>
      </c>
      <c r="D251" s="89" t="str">
        <f t="shared" si="80"/>
        <v>OSFP-XD and TBD</v>
      </c>
      <c r="E251" s="110">
        <f t="shared" ref="E251:G251" si="87">IF(E81=0,,E81*E166/10^6)</f>
        <v>0</v>
      </c>
      <c r="F251" s="110">
        <f t="shared" si="87"/>
        <v>0</v>
      </c>
      <c r="G251" s="110">
        <f t="shared" si="87"/>
        <v>0</v>
      </c>
      <c r="H251" s="110"/>
      <c r="I251" s="110"/>
      <c r="J251" s="110"/>
      <c r="K251" s="110"/>
      <c r="L251" s="110"/>
      <c r="M251" s="110"/>
      <c r="N251" s="110"/>
      <c r="O251" s="110"/>
      <c r="P251" s="110"/>
    </row>
    <row r="252" spans="2:16" s="92" customFormat="1">
      <c r="B252" s="83" t="str">
        <f t="shared" si="80"/>
        <v>1.6T ER8</v>
      </c>
      <c r="C252" s="84" t="str">
        <f t="shared" si="80"/>
        <v>&gt;10 km</v>
      </c>
      <c r="D252" s="85" t="str">
        <f t="shared" si="80"/>
        <v>OSFP-XD and TBD</v>
      </c>
      <c r="E252" s="109">
        <f t="shared" ref="E252:G252" si="88">IF(E82=0,,E82*E167/10^6)</f>
        <v>0</v>
      </c>
      <c r="F252" s="109">
        <f t="shared" si="88"/>
        <v>0</v>
      </c>
      <c r="G252" s="109">
        <f t="shared" si="88"/>
        <v>0</v>
      </c>
      <c r="H252" s="109"/>
      <c r="I252" s="109"/>
      <c r="J252" s="109"/>
      <c r="K252" s="109"/>
      <c r="L252" s="109"/>
      <c r="M252" s="109"/>
      <c r="N252" s="109"/>
      <c r="O252" s="109"/>
      <c r="P252" s="109"/>
    </row>
    <row r="253" spans="2:16" s="92" customFormat="1">
      <c r="B253" s="87" t="str">
        <f t="shared" si="80"/>
        <v>3.2T SR</v>
      </c>
      <c r="C253" s="88" t="str">
        <f t="shared" si="80"/>
        <v>100 m</v>
      </c>
      <c r="D253" s="89" t="str">
        <f t="shared" si="80"/>
        <v>OSFP-XD and TBD</v>
      </c>
      <c r="E253" s="110">
        <f t="shared" ref="E253:G253" si="89">IF(E83=0,,E83*E168/10^6)</f>
        <v>0</v>
      </c>
      <c r="F253" s="110">
        <f t="shared" si="89"/>
        <v>0</v>
      </c>
      <c r="G253" s="110">
        <f t="shared" si="89"/>
        <v>0</v>
      </c>
      <c r="H253" s="110"/>
      <c r="I253" s="110"/>
      <c r="J253" s="110"/>
      <c r="K253" s="110"/>
      <c r="L253" s="110"/>
      <c r="M253" s="110"/>
      <c r="N253" s="110"/>
      <c r="O253" s="110"/>
      <c r="P253" s="110"/>
    </row>
    <row r="254" spans="2:16" s="92" customFormat="1">
      <c r="B254" s="87" t="str">
        <f t="shared" si="80"/>
        <v>3.2T DR</v>
      </c>
      <c r="C254" s="88" t="str">
        <f t="shared" si="80"/>
        <v>500 m</v>
      </c>
      <c r="D254" s="89" t="str">
        <f t="shared" si="80"/>
        <v>OSFP-XD and TBD</v>
      </c>
      <c r="E254" s="110">
        <f t="shared" ref="E254:G254" si="90">IF(E84=0,,E84*E169/10^6)</f>
        <v>0</v>
      </c>
      <c r="F254" s="110">
        <f t="shared" si="90"/>
        <v>0</v>
      </c>
      <c r="G254" s="110">
        <f t="shared" si="90"/>
        <v>0</v>
      </c>
      <c r="H254" s="110"/>
      <c r="I254" s="110"/>
      <c r="J254" s="110"/>
      <c r="K254" s="110"/>
      <c r="L254" s="110"/>
      <c r="M254" s="110"/>
      <c r="N254" s="110"/>
      <c r="O254" s="110"/>
      <c r="P254" s="110"/>
    </row>
    <row r="255" spans="2:16" s="92" customFormat="1">
      <c r="B255" s="87" t="str">
        <f t="shared" si="80"/>
        <v>3.2T FR</v>
      </c>
      <c r="C255" s="88" t="str">
        <f t="shared" si="80"/>
        <v>2 km</v>
      </c>
      <c r="D255" s="89" t="str">
        <f t="shared" si="80"/>
        <v>OSFP-XD and TBD</v>
      </c>
      <c r="E255" s="110">
        <f t="shared" ref="E255:G255" si="91">IF(E85=0,,E85*E170/10^6)</f>
        <v>0</v>
      </c>
      <c r="F255" s="110">
        <f t="shared" si="91"/>
        <v>0</v>
      </c>
      <c r="G255" s="110">
        <f t="shared" si="91"/>
        <v>0</v>
      </c>
      <c r="H255" s="110"/>
      <c r="I255" s="110"/>
      <c r="J255" s="110"/>
      <c r="K255" s="110"/>
      <c r="L255" s="110"/>
      <c r="M255" s="110"/>
      <c r="N255" s="110"/>
      <c r="O255" s="110"/>
      <c r="P255" s="110"/>
    </row>
    <row r="256" spans="2:16" s="92" customFormat="1">
      <c r="B256" s="87" t="str">
        <f t="shared" si="80"/>
        <v>3.2T LR</v>
      </c>
      <c r="C256" s="88" t="str">
        <f t="shared" si="80"/>
        <v>10 km</v>
      </c>
      <c r="D256" s="89" t="str">
        <f t="shared" si="80"/>
        <v>OSFP-XD and TBD</v>
      </c>
      <c r="E256" s="110">
        <f t="shared" ref="E256:G256" si="92">IF(E86=0,,E86*E171/10^6)</f>
        <v>0</v>
      </c>
      <c r="F256" s="110">
        <f t="shared" si="92"/>
        <v>0</v>
      </c>
      <c r="G256" s="110">
        <f t="shared" si="92"/>
        <v>0</v>
      </c>
      <c r="H256" s="110"/>
      <c r="I256" s="110"/>
      <c r="J256" s="110"/>
      <c r="K256" s="110"/>
      <c r="L256" s="110"/>
      <c r="M256" s="110"/>
      <c r="N256" s="110"/>
      <c r="O256" s="110"/>
      <c r="P256" s="110"/>
    </row>
    <row r="257" spans="2:16" s="92" customFormat="1">
      <c r="B257" s="87" t="str">
        <f t="shared" si="80"/>
        <v>3.2T ER</v>
      </c>
      <c r="C257" s="88" t="str">
        <f t="shared" si="80"/>
        <v>&gt;10 km</v>
      </c>
      <c r="D257" s="89" t="str">
        <f t="shared" si="80"/>
        <v>OSFP-XD and TBD</v>
      </c>
      <c r="E257" s="110">
        <f t="shared" ref="E257:G257" si="93">IF(E87=0,,E87*E172/10^6)</f>
        <v>0</v>
      </c>
      <c r="F257" s="110">
        <f t="shared" si="93"/>
        <v>0</v>
      </c>
      <c r="G257" s="110">
        <f t="shared" si="93"/>
        <v>0</v>
      </c>
      <c r="H257" s="110"/>
      <c r="I257" s="110"/>
      <c r="J257" s="110"/>
      <c r="K257" s="110"/>
      <c r="L257" s="110"/>
      <c r="M257" s="110"/>
      <c r="N257" s="110"/>
      <c r="O257" s="110"/>
      <c r="P257" s="110"/>
    </row>
    <row r="258" spans="2:16" s="92" customFormat="1">
      <c r="B258" s="87"/>
      <c r="C258" s="88"/>
      <c r="D258" s="89"/>
      <c r="E258" s="110"/>
      <c r="F258" s="110"/>
      <c r="G258" s="110"/>
      <c r="H258" s="110"/>
      <c r="I258" s="110"/>
      <c r="J258" s="110"/>
      <c r="K258" s="110"/>
      <c r="L258" s="110"/>
      <c r="M258" s="110"/>
      <c r="N258" s="110"/>
      <c r="O258" s="110"/>
      <c r="P258" s="110"/>
    </row>
    <row r="259" spans="2:16">
      <c r="B259" s="38" t="s">
        <v>20</v>
      </c>
      <c r="C259" s="39"/>
      <c r="D259" s="40"/>
      <c r="E259" s="621">
        <f>SUM(E179:E258)</f>
        <v>970.95883262807854</v>
      </c>
      <c r="F259" s="622">
        <f t="shared" ref="F259:G259" si="94">SUM(F179:F258)</f>
        <v>686.97300036965203</v>
      </c>
      <c r="G259" s="622">
        <f t="shared" si="94"/>
        <v>515.46297620496682</v>
      </c>
      <c r="H259" s="622"/>
      <c r="I259" s="622"/>
      <c r="J259" s="622"/>
      <c r="K259" s="622"/>
      <c r="L259" s="622"/>
      <c r="M259" s="622"/>
      <c r="N259" s="622"/>
      <c r="O259" s="622"/>
      <c r="P259" s="622"/>
    </row>
    <row r="260" spans="2:16">
      <c r="P260" s="99"/>
    </row>
  </sheetData>
  <conditionalFormatting sqref="P260">
    <cfRule type="cellIs" dxfId="5" priority="1" operator="lessThan">
      <formula>0</formula>
    </cfRule>
    <cfRule type="cellIs" dxfId="4" priority="2" operator="greaterThan">
      <formula>0</formula>
    </cfRule>
  </conditionalFormatting>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Introduction</vt:lpstr>
      <vt:lpstr>Methodology</vt:lpstr>
      <vt:lpstr>Products</vt:lpstr>
      <vt:lpstr>Summary</vt:lpstr>
      <vt:lpstr>Products x speed</vt:lpstr>
      <vt:lpstr>112 Adoption</vt:lpstr>
      <vt:lpstr>Cost per Gbps</vt:lpstr>
      <vt:lpstr>Figures for Report</vt:lpstr>
      <vt:lpstr>Telecom</vt:lpstr>
      <vt:lpstr>Enterprise</vt:lpstr>
      <vt:lpstr>Cloud</vt:lpstr>
      <vt:lpstr>Products x segment</vt:lpstr>
      <vt:lpstr>Segment dashbd</vt:lpstr>
      <vt:lpstr>PriceDCE</vt:lpstr>
      <vt:lpstr>PriceDCM</vt:lpstr>
      <vt:lpstr>PriceTEL</vt:lpstr>
      <vt:lpstr>RevDCE</vt:lpstr>
      <vt:lpstr>RevDCM</vt:lpstr>
      <vt:lpstr>Revenue</vt:lpstr>
      <vt:lpstr>RevTEL</vt:lpstr>
      <vt:lpstr>VolDCE</vt:lpstr>
      <vt:lpstr>VolDCM</vt:lpstr>
      <vt:lpstr>VolTEL</vt:lpstr>
      <vt:lpstr>Volume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2014-02-18T16:48:58Z</cp:lastPrinted>
  <dcterms:created xsi:type="dcterms:W3CDTF">2009-02-04T20:40:14Z</dcterms:created>
  <dcterms:modified xsi:type="dcterms:W3CDTF">2022-03-31T19:55:48Z</dcterms:modified>
</cp:coreProperties>
</file>