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5.xml" ContentType="application/vnd.openxmlformats-officedocument.drawing+xml"/>
  <Override PartName="/xl/charts/chart63.xml" ContentType="application/vnd.openxmlformats-officedocument.drawingml.chart+xml"/>
  <Override PartName="/xl/drawings/drawing6.xml" ContentType="application/vnd.openxmlformats-officedocument.drawingml.chartshapes+xml"/>
  <Override PartName="/xl/charts/chart64.xml" ContentType="application/vnd.openxmlformats-officedocument.drawingml.chart+xml"/>
  <Override PartName="/xl/drawings/drawing7.xml" ContentType="application/vnd.openxmlformats-officedocument.drawingml.chartshapes+xml"/>
  <Override PartName="/xl/charts/chart65.xml" ContentType="application/vnd.openxmlformats-officedocument.drawingml.chart+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drawings/drawing10.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drawings/drawing11.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1140" yWindow="1200" windowWidth="19420" windowHeight="11020" tabRatio="842"/>
  </bookViews>
  <sheets>
    <sheet name="Introduction" sheetId="60" r:id="rId1"/>
    <sheet name="Methodology" sheetId="10" r:id="rId2"/>
    <sheet name="Products" sheetId="33" r:id="rId3"/>
    <sheet name="Summary" sheetId="96" r:id="rId4"/>
    <sheet name="Dashboard" sheetId="76" r:id="rId5"/>
    <sheet name="Products x speed" sheetId="91" r:id="rId6"/>
    <sheet name="112 Adoption" sheetId="123" r:id="rId7"/>
    <sheet name="Cost per Gbps" sheetId="87" r:id="rId8"/>
    <sheet name="Figures for Report" sheetId="102" r:id="rId9"/>
  </sheets>
  <externalReferences>
    <externalReference r:id="rId10"/>
  </externalReferences>
  <definedNames>
    <definedName name="Codes">[1]Ethernet!$AE$9:$AE$47</definedName>
    <definedName name="Current_cell">!A1</definedName>
    <definedName name="Revenue">'Products x speed'!$B$159:$N$228</definedName>
    <definedName name="Volume">'Products x speed'!$B$9:$N$78</definedName>
  </definedNames>
  <calcPr calcId="14562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0" i="91" l="1"/>
  <c r="G120" i="91"/>
  <c r="D698" i="96" l="1"/>
  <c r="C698" i="96"/>
  <c r="D83" i="87" l="1"/>
  <c r="D84" i="87"/>
  <c r="D85" i="87"/>
  <c r="D86" i="87"/>
  <c r="D87" i="87"/>
  <c r="D88" i="87"/>
  <c r="D89" i="87"/>
  <c r="D90" i="87"/>
  <c r="D91" i="87"/>
  <c r="D72" i="87"/>
  <c r="D73" i="87"/>
  <c r="D74" i="87"/>
  <c r="D75" i="87"/>
  <c r="D76" i="87"/>
  <c r="D77" i="87"/>
  <c r="D78" i="87"/>
  <c r="D79" i="87"/>
  <c r="D80" i="87"/>
  <c r="G216" i="96"/>
  <c r="G226" i="96"/>
  <c r="F860" i="96"/>
  <c r="C840" i="96"/>
  <c r="D840" i="96"/>
  <c r="E840" i="96"/>
  <c r="F840" i="96"/>
  <c r="G840" i="96"/>
  <c r="C841" i="96"/>
  <c r="D841" i="96"/>
  <c r="E841" i="96"/>
  <c r="F841" i="96"/>
  <c r="G841" i="96"/>
  <c r="C842" i="96"/>
  <c r="D842" i="96"/>
  <c r="E842" i="96"/>
  <c r="F842" i="96"/>
  <c r="G842" i="96"/>
  <c r="D860" i="96"/>
  <c r="B860" i="96"/>
  <c r="E860" i="96"/>
  <c r="B852" i="96"/>
  <c r="B229" i="96" l="1"/>
  <c r="B230" i="96"/>
  <c r="B231" i="96"/>
  <c r="B232" i="96"/>
  <c r="B233" i="96"/>
  <c r="B234" i="96"/>
  <c r="B235" i="96"/>
  <c r="B236" i="96"/>
  <c r="B237" i="96"/>
  <c r="B144" i="96"/>
  <c r="B3" i="123" l="1"/>
  <c r="B2" i="123"/>
  <c r="N36" i="123" l="1"/>
  <c r="N54" i="123" s="1"/>
  <c r="N52" i="123"/>
  <c r="N53" i="123"/>
  <c r="X54" i="123"/>
  <c r="W54" i="123"/>
  <c r="V54" i="123"/>
  <c r="U54" i="123"/>
  <c r="N51" i="123"/>
  <c r="N46" i="123"/>
  <c r="N47" i="123"/>
  <c r="X48" i="123"/>
  <c r="W48" i="123"/>
  <c r="V48" i="123"/>
  <c r="U48" i="123"/>
  <c r="N45" i="123"/>
  <c r="N40" i="123"/>
  <c r="N41" i="123"/>
  <c r="X42" i="123"/>
  <c r="W42" i="123"/>
  <c r="V42" i="123"/>
  <c r="U42" i="123"/>
  <c r="N39" i="123"/>
  <c r="B39" i="123"/>
  <c r="B41" i="123"/>
  <c r="B40" i="123"/>
  <c r="I54" i="123"/>
  <c r="J54" i="123"/>
  <c r="K54" i="123"/>
  <c r="L54" i="123"/>
  <c r="J48" i="123"/>
  <c r="K48" i="123"/>
  <c r="L48" i="123"/>
  <c r="I48" i="123"/>
  <c r="B51" i="123"/>
  <c r="B53" i="123"/>
  <c r="B52" i="123"/>
  <c r="B45" i="123"/>
  <c r="B47" i="123"/>
  <c r="B46" i="123"/>
  <c r="B36" i="123"/>
  <c r="N48" i="123" l="1"/>
  <c r="N42" i="123"/>
  <c r="B42" i="123"/>
  <c r="B48" i="123"/>
  <c r="B54" i="123"/>
  <c r="D868" i="96" l="1"/>
  <c r="E868" i="96"/>
  <c r="F868" i="96"/>
  <c r="C868" i="96"/>
  <c r="D867" i="96"/>
  <c r="E867" i="96"/>
  <c r="F867" i="96"/>
  <c r="C867" i="96"/>
  <c r="D865" i="96"/>
  <c r="E865" i="96"/>
  <c r="F865" i="96"/>
  <c r="C865" i="96"/>
  <c r="C866" i="96" l="1"/>
  <c r="F866" i="96"/>
  <c r="E866" i="96"/>
  <c r="D866" i="96"/>
  <c r="B146" i="91" l="1"/>
  <c r="C146" i="91"/>
  <c r="D146" i="91"/>
  <c r="B147" i="91"/>
  <c r="C147" i="91"/>
  <c r="D147" i="91"/>
  <c r="E224" i="91"/>
  <c r="F224" i="91"/>
  <c r="G224" i="91"/>
  <c r="H224" i="91"/>
  <c r="O71" i="91"/>
  <c r="G868" i="96" l="1"/>
  <c r="G867" i="96"/>
  <c r="G866" i="96" l="1"/>
  <c r="G865" i="96"/>
  <c r="F88" i="91" l="1"/>
  <c r="G88" i="91"/>
  <c r="G143" i="91"/>
  <c r="G142" i="91"/>
  <c r="G141" i="91"/>
  <c r="G144" i="91"/>
  <c r="T38" i="87" l="1"/>
  <c r="H143" i="91" l="1"/>
  <c r="I142" i="91"/>
  <c r="H142" i="91"/>
  <c r="H141" i="91"/>
  <c r="B228" i="91"/>
  <c r="B153" i="91" s="1"/>
  <c r="C228" i="91"/>
  <c r="C153" i="91" s="1"/>
  <c r="D228" i="91"/>
  <c r="D153" i="91" s="1"/>
  <c r="E228" i="91"/>
  <c r="F228" i="91"/>
  <c r="G228" i="91"/>
  <c r="H228" i="91"/>
  <c r="F78" i="91"/>
  <c r="H78" i="91"/>
  <c r="E78" i="91"/>
  <c r="O78" i="91"/>
  <c r="C67" i="91"/>
  <c r="C217" i="91" s="1"/>
  <c r="D67" i="91"/>
  <c r="D217" i="91" s="1"/>
  <c r="C68" i="91"/>
  <c r="C218" i="91" s="1"/>
  <c r="D68" i="91"/>
  <c r="D143" i="91" s="1"/>
  <c r="G857" i="96"/>
  <c r="G858" i="96"/>
  <c r="I216" i="96" l="1"/>
  <c r="I840" i="96"/>
  <c r="I841" i="96"/>
  <c r="J216" i="96"/>
  <c r="J840" i="96"/>
  <c r="H842" i="96"/>
  <c r="H216" i="96"/>
  <c r="H840" i="96"/>
  <c r="H841" i="96"/>
  <c r="H226" i="96"/>
  <c r="K842" i="96"/>
  <c r="J78" i="91"/>
  <c r="C143" i="91"/>
  <c r="D218" i="91"/>
  <c r="I141" i="91"/>
  <c r="I143" i="91"/>
  <c r="C142" i="91"/>
  <c r="D142" i="91"/>
  <c r="I78" i="91"/>
  <c r="I153" i="91" s="1"/>
  <c r="K226" i="96" l="1"/>
  <c r="K841" i="96"/>
  <c r="B222" i="91" l="1"/>
  <c r="C222" i="91"/>
  <c r="D222" i="91"/>
  <c r="B223" i="91"/>
  <c r="C223" i="91"/>
  <c r="D223" i="91"/>
  <c r="B224" i="91"/>
  <c r="C224" i="91"/>
  <c r="D224" i="91"/>
  <c r="B225" i="91"/>
  <c r="C225" i="91"/>
  <c r="D225" i="91"/>
  <c r="B226" i="91"/>
  <c r="C226" i="91"/>
  <c r="D226" i="91"/>
  <c r="B227" i="91"/>
  <c r="B152" i="91" s="1"/>
  <c r="C227" i="91"/>
  <c r="C152" i="91" s="1"/>
  <c r="D227" i="91"/>
  <c r="D152" i="91" s="1"/>
  <c r="O70" i="91" l="1"/>
  <c r="O23" i="91"/>
  <c r="O13" i="91"/>
  <c r="G221" i="91" l="1"/>
  <c r="E142" i="96" l="1"/>
  <c r="G226" i="91"/>
  <c r="G227" i="91"/>
  <c r="E143" i="96"/>
  <c r="G78" i="91"/>
  <c r="I842" i="96" l="1"/>
  <c r="I226" i="96"/>
  <c r="K78" i="91"/>
  <c r="D566" i="96" l="1"/>
  <c r="T99" i="87"/>
  <c r="T109" i="87"/>
  <c r="T39" i="87"/>
  <c r="L572" i="96" l="1"/>
  <c r="N98" i="91"/>
  <c r="L571" i="96" l="1"/>
  <c r="N116" i="91"/>
  <c r="N89" i="91"/>
  <c r="L453" i="96"/>
  <c r="L455" i="96"/>
  <c r="N117" i="91"/>
  <c r="T100" i="87"/>
  <c r="T128" i="87"/>
  <c r="L556" i="96"/>
  <c r="L564" i="96" s="1"/>
  <c r="T127" i="87"/>
  <c r="L555" i="96"/>
  <c r="L563" i="96" l="1"/>
  <c r="C157" i="96"/>
  <c r="C153" i="96"/>
  <c r="F127" i="96"/>
  <c r="G98" i="91"/>
  <c r="L842" i="96"/>
  <c r="S51" i="123"/>
  <c r="S53" i="123" s="1"/>
  <c r="S52" i="123" s="1"/>
  <c r="P51" i="123"/>
  <c r="G455" i="96"/>
  <c r="K455" i="96"/>
  <c r="G453" i="96"/>
  <c r="E572" i="96"/>
  <c r="E486" i="96"/>
  <c r="E485" i="96"/>
  <c r="B39" i="91"/>
  <c r="C39" i="91"/>
  <c r="D39" i="91"/>
  <c r="B40" i="91"/>
  <c r="B115" i="91" s="1"/>
  <c r="C40" i="91"/>
  <c r="D40" i="91"/>
  <c r="D190" i="91" s="1"/>
  <c r="B69" i="91"/>
  <c r="B68" i="91"/>
  <c r="B67" i="91"/>
  <c r="E98" i="91"/>
  <c r="B66" i="91"/>
  <c r="C66" i="91"/>
  <c r="C152" i="87" s="1"/>
  <c r="D66" i="91"/>
  <c r="D152" i="87" s="1"/>
  <c r="D128" i="96"/>
  <c r="E128" i="96"/>
  <c r="B49" i="91"/>
  <c r="C49" i="91"/>
  <c r="C135" i="87" s="1"/>
  <c r="D49" i="91"/>
  <c r="D124" i="91" s="1"/>
  <c r="B50" i="91"/>
  <c r="C50" i="91"/>
  <c r="D50" i="91"/>
  <c r="B55" i="91"/>
  <c r="C55" i="91"/>
  <c r="C130" i="91" s="1"/>
  <c r="D55" i="91"/>
  <c r="D130" i="91" s="1"/>
  <c r="D671" i="96"/>
  <c r="B51" i="91"/>
  <c r="B201" i="91" s="1"/>
  <c r="C51" i="91"/>
  <c r="C126" i="91" s="1"/>
  <c r="D51" i="91"/>
  <c r="D201" i="91" s="1"/>
  <c r="E45" i="123"/>
  <c r="E47" i="123" s="1"/>
  <c r="E46" i="123" s="1"/>
  <c r="B48" i="91"/>
  <c r="B123" i="91" s="1"/>
  <c r="C48" i="91"/>
  <c r="D48" i="91"/>
  <c r="B44" i="91"/>
  <c r="C44" i="91"/>
  <c r="D44" i="91"/>
  <c r="D119" i="91" s="1"/>
  <c r="C555" i="96"/>
  <c r="C33" i="123"/>
  <c r="C35" i="123" s="1"/>
  <c r="D51" i="123"/>
  <c r="E644" i="96"/>
  <c r="B41" i="91"/>
  <c r="B116" i="91" s="1"/>
  <c r="C41" i="91"/>
  <c r="D41" i="91"/>
  <c r="D127" i="87" s="1"/>
  <c r="B42" i="91"/>
  <c r="B192" i="91" s="1"/>
  <c r="C42" i="91"/>
  <c r="D42" i="91"/>
  <c r="B43" i="91"/>
  <c r="C43" i="91"/>
  <c r="C193" i="91" s="1"/>
  <c r="D43" i="91"/>
  <c r="D118" i="91" s="1"/>
  <c r="B45" i="91"/>
  <c r="C45" i="91"/>
  <c r="D45" i="91"/>
  <c r="D120" i="91" s="1"/>
  <c r="B46" i="91"/>
  <c r="C46" i="91"/>
  <c r="D46" i="91"/>
  <c r="D196" i="91" s="1"/>
  <c r="B47" i="91"/>
  <c r="B122" i="91" s="1"/>
  <c r="C47" i="91"/>
  <c r="C122" i="91" s="1"/>
  <c r="D47" i="91"/>
  <c r="D122" i="91" s="1"/>
  <c r="B52" i="91"/>
  <c r="C52" i="91"/>
  <c r="D52" i="91"/>
  <c r="B53" i="91"/>
  <c r="C53" i="91"/>
  <c r="D53" i="91"/>
  <c r="D128" i="91" s="1"/>
  <c r="B54" i="91"/>
  <c r="C54" i="91"/>
  <c r="C204" i="91" s="1"/>
  <c r="D54" i="91"/>
  <c r="D140" i="87" s="1"/>
  <c r="B56" i="91"/>
  <c r="C56" i="91"/>
  <c r="D56" i="91"/>
  <c r="B57" i="91"/>
  <c r="B207" i="91" s="1"/>
  <c r="C57" i="91"/>
  <c r="C207" i="91" s="1"/>
  <c r="D57" i="91"/>
  <c r="E667" i="96"/>
  <c r="D667" i="96"/>
  <c r="D664" i="96"/>
  <c r="K106" i="87"/>
  <c r="E222" i="91"/>
  <c r="E101" i="91"/>
  <c r="D406" i="96"/>
  <c r="D435" i="96"/>
  <c r="D453" i="96"/>
  <c r="D438" i="96"/>
  <c r="D456" i="96"/>
  <c r="D439" i="96"/>
  <c r="D572" i="96"/>
  <c r="D669" i="96"/>
  <c r="D670" i="96"/>
  <c r="D718" i="96" s="1"/>
  <c r="D673" i="96"/>
  <c r="D224" i="96"/>
  <c r="D672" i="96"/>
  <c r="M150" i="87"/>
  <c r="G224" i="96"/>
  <c r="E224" i="96"/>
  <c r="F575" i="96"/>
  <c r="B30" i="91"/>
  <c r="B754" i="96"/>
  <c r="B760" i="96" s="1"/>
  <c r="B813" i="96"/>
  <c r="B803" i="96"/>
  <c r="C36" i="91"/>
  <c r="C186" i="91" s="1"/>
  <c r="C37" i="91"/>
  <c r="C112" i="91" s="1"/>
  <c r="C38" i="91"/>
  <c r="B485" i="96" s="1"/>
  <c r="C25" i="91"/>
  <c r="C26" i="91"/>
  <c r="C176" i="91" s="1"/>
  <c r="C24" i="91"/>
  <c r="B136" i="96"/>
  <c r="B137" i="96"/>
  <c r="B138" i="96"/>
  <c r="B139" i="96"/>
  <c r="B140" i="96"/>
  <c r="B141" i="96"/>
  <c r="B142" i="96"/>
  <c r="B143" i="96"/>
  <c r="B146" i="96"/>
  <c r="B3" i="102"/>
  <c r="B2" i="102"/>
  <c r="O77" i="91"/>
  <c r="O76" i="91"/>
  <c r="O75" i="91"/>
  <c r="O74" i="91"/>
  <c r="O73" i="91"/>
  <c r="O72" i="91"/>
  <c r="B24" i="91"/>
  <c r="B110" i="87" s="1"/>
  <c r="D151" i="91"/>
  <c r="C151" i="91"/>
  <c r="B151" i="91"/>
  <c r="D150" i="91"/>
  <c r="C150" i="91"/>
  <c r="B150" i="91"/>
  <c r="D149" i="91"/>
  <c r="C149" i="91"/>
  <c r="B149" i="91"/>
  <c r="D148" i="91"/>
  <c r="C148" i="91"/>
  <c r="B148" i="91"/>
  <c r="B571" i="96"/>
  <c r="B572" i="96"/>
  <c r="B573" i="96"/>
  <c r="B574" i="96"/>
  <c r="B575" i="96"/>
  <c r="B563" i="96"/>
  <c r="B564" i="96"/>
  <c r="B565" i="96"/>
  <c r="B566" i="96"/>
  <c r="B567" i="96"/>
  <c r="B62" i="91"/>
  <c r="B212" i="91" s="1"/>
  <c r="B788" i="96" s="1"/>
  <c r="C62" i="91"/>
  <c r="D62" i="91"/>
  <c r="B63" i="91"/>
  <c r="C63" i="91"/>
  <c r="D63" i="91"/>
  <c r="D149" i="87" s="1"/>
  <c r="B64" i="91"/>
  <c r="C64" i="91"/>
  <c r="C139" i="91" s="1"/>
  <c r="D64" i="91"/>
  <c r="D214" i="91" s="1"/>
  <c r="B65" i="91"/>
  <c r="C65" i="91"/>
  <c r="D65" i="91"/>
  <c r="B61" i="91"/>
  <c r="B211" i="91" s="1"/>
  <c r="B790" i="96" s="1"/>
  <c r="C61" i="91"/>
  <c r="C147" i="87" s="1"/>
  <c r="D61" i="91"/>
  <c r="B59" i="91"/>
  <c r="B209" i="91" s="1"/>
  <c r="B787" i="96" s="1"/>
  <c r="C59" i="91"/>
  <c r="D59" i="91"/>
  <c r="D145" i="87" s="1"/>
  <c r="B60" i="91"/>
  <c r="C60" i="91"/>
  <c r="D60" i="91"/>
  <c r="C58" i="91"/>
  <c r="C208" i="91" s="1"/>
  <c r="D58" i="91"/>
  <c r="B27" i="91"/>
  <c r="B102" i="91" s="1"/>
  <c r="B28" i="91"/>
  <c r="B29" i="91"/>
  <c r="B104" i="91" s="1"/>
  <c r="B31" i="91"/>
  <c r="B32" i="91"/>
  <c r="B182" i="91" s="1"/>
  <c r="B33" i="91"/>
  <c r="B34" i="91"/>
  <c r="B35" i="91"/>
  <c r="B36" i="91"/>
  <c r="B37" i="91"/>
  <c r="B38" i="91"/>
  <c r="B124" i="87" s="1"/>
  <c r="B58" i="91"/>
  <c r="B133" i="91" s="1"/>
  <c r="B25" i="91"/>
  <c r="B26" i="91"/>
  <c r="B14" i="91"/>
  <c r="B15" i="91"/>
  <c r="B101" i="87" s="1"/>
  <c r="B16" i="91"/>
  <c r="B17" i="91"/>
  <c r="B18" i="91"/>
  <c r="B19" i="91"/>
  <c r="B169" i="91" s="1"/>
  <c r="B20" i="91"/>
  <c r="B95" i="91" s="1"/>
  <c r="B21" i="91"/>
  <c r="B22" i="91"/>
  <c r="B109" i="87"/>
  <c r="B9" i="91"/>
  <c r="B84" i="91" s="1"/>
  <c r="B10" i="91"/>
  <c r="B96" i="87" s="1"/>
  <c r="B11" i="91"/>
  <c r="B161" i="91" s="1"/>
  <c r="B12" i="91"/>
  <c r="B162" i="91" s="1"/>
  <c r="C9" i="91"/>
  <c r="D9" i="91"/>
  <c r="C10" i="91"/>
  <c r="D10" i="91"/>
  <c r="D85" i="91" s="1"/>
  <c r="C11" i="91"/>
  <c r="C86" i="91" s="1"/>
  <c r="D11" i="91"/>
  <c r="C12" i="91"/>
  <c r="C87" i="91" s="1"/>
  <c r="D12" i="91"/>
  <c r="C14" i="91"/>
  <c r="C164" i="91" s="1"/>
  <c r="D14" i="91"/>
  <c r="C15" i="91"/>
  <c r="C90" i="91" s="1"/>
  <c r="D15" i="91"/>
  <c r="D165" i="91" s="1"/>
  <c r="C16" i="91"/>
  <c r="D16" i="91"/>
  <c r="C17" i="91"/>
  <c r="C92" i="91" s="1"/>
  <c r="D17" i="91"/>
  <c r="C18" i="91"/>
  <c r="C93" i="91" s="1"/>
  <c r="D18" i="91"/>
  <c r="C19" i="91"/>
  <c r="C169" i="91" s="1"/>
  <c r="D19" i="91"/>
  <c r="D169" i="91" s="1"/>
  <c r="C20" i="91"/>
  <c r="C170" i="91" s="1"/>
  <c r="D20" i="91"/>
  <c r="C21" i="91"/>
  <c r="D21" i="91"/>
  <c r="C22" i="91"/>
  <c r="C172" i="91" s="1"/>
  <c r="D22" i="91"/>
  <c r="D24" i="91"/>
  <c r="D174" i="91" s="1"/>
  <c r="D25" i="91"/>
  <c r="D26" i="91"/>
  <c r="D176" i="91" s="1"/>
  <c r="C27" i="91"/>
  <c r="D27" i="91"/>
  <c r="C28" i="91"/>
  <c r="D28" i="91"/>
  <c r="D178" i="91" s="1"/>
  <c r="C29" i="91"/>
  <c r="C179" i="91" s="1"/>
  <c r="D29" i="91"/>
  <c r="D115" i="87" s="1"/>
  <c r="C31" i="91"/>
  <c r="D31" i="91"/>
  <c r="D181" i="91" s="1"/>
  <c r="C32" i="91"/>
  <c r="D32" i="91"/>
  <c r="D107" i="91" s="1"/>
  <c r="C33" i="91"/>
  <c r="D33" i="91"/>
  <c r="D108" i="91" s="1"/>
  <c r="C34" i="91"/>
  <c r="C120" i="87" s="1"/>
  <c r="D34" i="91"/>
  <c r="D184" i="91" s="1"/>
  <c r="C35" i="91"/>
  <c r="C121" i="87" s="1"/>
  <c r="D35" i="91"/>
  <c r="D121" i="87" s="1"/>
  <c r="D36" i="91"/>
  <c r="D37" i="91"/>
  <c r="D112" i="91" s="1"/>
  <c r="D38" i="91"/>
  <c r="C455" i="96"/>
  <c r="C457" i="96"/>
  <c r="C488" i="96"/>
  <c r="D488" i="96"/>
  <c r="C128" i="96"/>
  <c r="B128" i="96"/>
  <c r="B145" i="96" s="1"/>
  <c r="B3" i="96"/>
  <c r="B2" i="96"/>
  <c r="B674" i="96"/>
  <c r="B660" i="96"/>
  <c r="B576" i="96"/>
  <c r="B568" i="96"/>
  <c r="B457" i="96"/>
  <c r="B456" i="96"/>
  <c r="B455" i="96"/>
  <c r="B454" i="96"/>
  <c r="B453" i="96"/>
  <c r="B452" i="96"/>
  <c r="B449" i="96"/>
  <c r="B448" i="96"/>
  <c r="B447" i="96"/>
  <c r="B446" i="96"/>
  <c r="B445" i="96"/>
  <c r="B444" i="96"/>
  <c r="B443" i="96"/>
  <c r="B408" i="96"/>
  <c r="B403" i="96" s="1"/>
  <c r="B407" i="96"/>
  <c r="B402" i="96" s="1"/>
  <c r="B406" i="96"/>
  <c r="B401" i="96" s="1"/>
  <c r="K99" i="87"/>
  <c r="L99" i="87"/>
  <c r="M99" i="87"/>
  <c r="N99" i="87"/>
  <c r="O99" i="87"/>
  <c r="P99" i="87"/>
  <c r="Q99" i="87"/>
  <c r="R99" i="87"/>
  <c r="S99" i="87"/>
  <c r="O109" i="87"/>
  <c r="P109" i="87"/>
  <c r="Q109" i="87"/>
  <c r="R109" i="87"/>
  <c r="S109" i="87"/>
  <c r="C116" i="87"/>
  <c r="D116" i="87"/>
  <c r="I98" i="91"/>
  <c r="J98" i="91"/>
  <c r="K98" i="91"/>
  <c r="L98" i="91"/>
  <c r="M98" i="91"/>
  <c r="B98" i="91"/>
  <c r="C98" i="91"/>
  <c r="D98" i="91"/>
  <c r="E88" i="91"/>
  <c r="B88" i="91"/>
  <c r="C88" i="91"/>
  <c r="D88" i="91"/>
  <c r="B173" i="91"/>
  <c r="C173" i="91"/>
  <c r="D173" i="91"/>
  <c r="B163" i="91"/>
  <c r="C163" i="91"/>
  <c r="D163" i="91"/>
  <c r="D180" i="91"/>
  <c r="C180" i="91"/>
  <c r="D158" i="91"/>
  <c r="C158" i="91"/>
  <c r="B158" i="91"/>
  <c r="H153" i="91"/>
  <c r="G153" i="91"/>
  <c r="F153" i="91"/>
  <c r="E153" i="91"/>
  <c r="D105" i="91"/>
  <c r="C105" i="91"/>
  <c r="D83" i="91"/>
  <c r="C83" i="91"/>
  <c r="B83" i="91"/>
  <c r="B3" i="91"/>
  <c r="B2" i="91"/>
  <c r="B3" i="87"/>
  <c r="B2" i="87"/>
  <c r="A61" i="33"/>
  <c r="A59" i="33"/>
  <c r="A56" i="33"/>
  <c r="A55" i="33"/>
  <c r="B3" i="76"/>
  <c r="B3" i="33"/>
  <c r="B3" i="10"/>
  <c r="B2" i="76"/>
  <c r="B2" i="33"/>
  <c r="B2" i="10"/>
  <c r="D454" i="96"/>
  <c r="E97" i="91"/>
  <c r="D367" i="96"/>
  <c r="G220" i="91"/>
  <c r="M151" i="87"/>
  <c r="K122" i="87"/>
  <c r="G558" i="96"/>
  <c r="D520" i="96"/>
  <c r="E812" i="96"/>
  <c r="E396" i="96"/>
  <c r="E811" i="96"/>
  <c r="C398" i="96"/>
  <c r="C396" i="96"/>
  <c r="C324" i="96"/>
  <c r="K108" i="87"/>
  <c r="D556" i="96"/>
  <c r="D668" i="96"/>
  <c r="F109" i="91"/>
  <c r="K132" i="87"/>
  <c r="C194" i="91"/>
  <c r="D324" i="96"/>
  <c r="F100" i="91"/>
  <c r="D208" i="96"/>
  <c r="G103" i="91"/>
  <c r="E672" i="96"/>
  <c r="L148" i="87"/>
  <c r="D408" i="96"/>
  <c r="D214" i="96"/>
  <c r="D571" i="96"/>
  <c r="L100" i="87"/>
  <c r="L144" i="87"/>
  <c r="C188" i="91"/>
  <c r="C145" i="87"/>
  <c r="B107" i="87"/>
  <c r="D142" i="87"/>
  <c r="D131" i="91"/>
  <c r="C203" i="91"/>
  <c r="D197" i="91"/>
  <c r="D133" i="87"/>
  <c r="C196" i="91"/>
  <c r="D128" i="87"/>
  <c r="C116" i="91"/>
  <c r="C118" i="87"/>
  <c r="C182" i="91"/>
  <c r="D170" i="91"/>
  <c r="D95" i="91"/>
  <c r="B176" i="91"/>
  <c r="B126" i="91"/>
  <c r="K130" i="87"/>
  <c r="C107" i="91"/>
  <c r="D137" i="87"/>
  <c r="D126" i="91"/>
  <c r="C200" i="91"/>
  <c r="C136" i="87"/>
  <c r="C125" i="91"/>
  <c r="D187" i="91"/>
  <c r="D147" i="87"/>
  <c r="D136" i="91"/>
  <c r="D211" i="91"/>
  <c r="D120" i="87"/>
  <c r="D109" i="91"/>
  <c r="B168" i="91"/>
  <c r="C85" i="91"/>
  <c r="C160" i="91"/>
  <c r="B146" i="87"/>
  <c r="B210" i="91"/>
  <c r="B747" i="96" s="1"/>
  <c r="B135" i="91"/>
  <c r="C150" i="87"/>
  <c r="B130" i="87"/>
  <c r="G559" i="96"/>
  <c r="C124" i="91"/>
  <c r="E124" i="91"/>
  <c r="C665" i="96"/>
  <c r="C199" i="91"/>
  <c r="C190" i="91"/>
  <c r="C115" i="91"/>
  <c r="F572" i="96"/>
  <c r="H127" i="96"/>
  <c r="H453" i="96"/>
  <c r="I455" i="96"/>
  <c r="I453" i="96"/>
  <c r="H455" i="96"/>
  <c r="J455" i="96"/>
  <c r="J453" i="96"/>
  <c r="K453" i="96"/>
  <c r="D144" i="87"/>
  <c r="D208" i="91"/>
  <c r="D133" i="91"/>
  <c r="B118" i="87"/>
  <c r="B107" i="91"/>
  <c r="K135" i="87"/>
  <c r="E665" i="96"/>
  <c r="E484" i="96"/>
  <c r="D185" i="91"/>
  <c r="D110" i="91"/>
  <c r="D119" i="87"/>
  <c r="D106" i="91"/>
  <c r="D114" i="87"/>
  <c r="D103" i="91"/>
  <c r="D101" i="91"/>
  <c r="C97" i="91"/>
  <c r="C95" i="91"/>
  <c r="C161" i="91"/>
  <c r="D117" i="87"/>
  <c r="D183" i="91"/>
  <c r="B104" i="87"/>
  <c r="B171" i="91"/>
  <c r="B85" i="91"/>
  <c r="E574" i="96"/>
  <c r="D557" i="96"/>
  <c r="D696" i="96" s="1"/>
  <c r="F87" i="91"/>
  <c r="E575" i="96"/>
  <c r="D663" i="96"/>
  <c r="D715" i="96" s="1"/>
  <c r="F122" i="91"/>
  <c r="E73" i="91"/>
  <c r="C397" i="96"/>
  <c r="C325" i="96"/>
  <c r="E99" i="91"/>
  <c r="C210" i="96"/>
  <c r="C281" i="96"/>
  <c r="C280" i="96"/>
  <c r="E85" i="91"/>
  <c r="I76" i="91"/>
  <c r="C637" i="96"/>
  <c r="S100" i="87"/>
  <c r="L84" i="87"/>
  <c r="M141" i="87"/>
  <c r="C144" i="87"/>
  <c r="D209" i="91"/>
  <c r="D134" i="91"/>
  <c r="C151" i="87"/>
  <c r="C140" i="91"/>
  <c r="C215" i="91"/>
  <c r="B150" i="87"/>
  <c r="B214" i="91"/>
  <c r="B791" i="96" s="1"/>
  <c r="B139" i="91"/>
  <c r="C206" i="91"/>
  <c r="C131" i="91"/>
  <c r="C142" i="87"/>
  <c r="D182" i="91"/>
  <c r="B117" i="87"/>
  <c r="B181" i="91"/>
  <c r="B127" i="87"/>
  <c r="B191" i="91"/>
  <c r="C137" i="87"/>
  <c r="C201" i="91"/>
  <c r="B106" i="87"/>
  <c r="B170" i="91"/>
  <c r="B103" i="87"/>
  <c r="B92" i="91"/>
  <c r="B167" i="91"/>
  <c r="B213" i="91"/>
  <c r="B789" i="96" s="1"/>
  <c r="B149" i="87"/>
  <c r="B138" i="91"/>
  <c r="C202" i="91"/>
  <c r="C127" i="91"/>
  <c r="C138" i="87"/>
  <c r="C118" i="91"/>
  <c r="C129" i="87"/>
  <c r="D135" i="87"/>
  <c r="B189" i="91"/>
  <c r="D148" i="87"/>
  <c r="D212" i="91"/>
  <c r="B99" i="91"/>
  <c r="C134" i="91"/>
  <c r="D137" i="91"/>
  <c r="B143" i="87"/>
  <c r="B132" i="91"/>
  <c r="D210" i="91"/>
  <c r="C209" i="91"/>
  <c r="C189" i="91"/>
  <c r="C114" i="91"/>
  <c r="B133" i="87"/>
  <c r="B197" i="91"/>
  <c r="D195" i="91"/>
  <c r="D131" i="87"/>
  <c r="B128" i="87"/>
  <c r="B190" i="91"/>
  <c r="B126" i="87"/>
  <c r="B114" i="91"/>
  <c r="F93" i="91"/>
  <c r="K104" i="87"/>
  <c r="D137" i="96"/>
  <c r="L104" i="87"/>
  <c r="C137" i="96"/>
  <c r="E93" i="91"/>
  <c r="K84" i="87"/>
  <c r="G572" i="96"/>
  <c r="G127" i="96"/>
  <c r="C638" i="96"/>
  <c r="L123" i="87"/>
  <c r="M142" i="87"/>
  <c r="D527" i="96"/>
  <c r="L139" i="87"/>
  <c r="E127" i="91"/>
  <c r="C223" i="96"/>
  <c r="C640" i="96"/>
  <c r="K138" i="87"/>
  <c r="C519" i="96"/>
  <c r="C282" i="96"/>
  <c r="C124" i="96"/>
  <c r="C526" i="96"/>
  <c r="D643" i="96"/>
  <c r="L141" i="87"/>
  <c r="F130" i="91"/>
  <c r="D519" i="96"/>
  <c r="L138" i="87"/>
  <c r="D526" i="96"/>
  <c r="E131" i="91"/>
  <c r="L142" i="87"/>
  <c r="C642" i="96"/>
  <c r="C700" i="96" s="1"/>
  <c r="K140" i="87"/>
  <c r="F139" i="91"/>
  <c r="E407" i="96"/>
  <c r="D638" i="96"/>
  <c r="B124" i="91"/>
  <c r="B135" i="87"/>
  <c r="C141" i="91"/>
  <c r="M126" i="87"/>
  <c r="D115" i="91"/>
  <c r="E671" i="96"/>
  <c r="H572" i="96"/>
  <c r="E51" i="123"/>
  <c r="E53" i="123" s="1"/>
  <c r="E52" i="123" s="1"/>
  <c r="E668" i="96"/>
  <c r="E670" i="96"/>
  <c r="E718" i="96" s="1"/>
  <c r="I572" i="96"/>
  <c r="J572" i="96"/>
  <c r="G571" i="96"/>
  <c r="K572" i="96"/>
  <c r="N123" i="87"/>
  <c r="G76" i="91" l="1"/>
  <c r="E226" i="91"/>
  <c r="L106" i="87"/>
  <c r="F89" i="91"/>
  <c r="K113" i="87"/>
  <c r="E222" i="96"/>
  <c r="B140" i="91"/>
  <c r="B215" i="91"/>
  <c r="B792" i="96" s="1"/>
  <c r="B151" i="87"/>
  <c r="C137" i="91"/>
  <c r="C148" i="87"/>
  <c r="B116" i="87"/>
  <c r="B180" i="91"/>
  <c r="D200" i="91"/>
  <c r="D125" i="91"/>
  <c r="D136" i="87"/>
  <c r="E212" i="96"/>
  <c r="E483" i="96"/>
  <c r="E488" i="96" s="1"/>
  <c r="M122" i="87"/>
  <c r="D141" i="91"/>
  <c r="F101" i="91"/>
  <c r="D199" i="91"/>
  <c r="C211" i="91"/>
  <c r="C133" i="91"/>
  <c r="M125" i="87"/>
  <c r="D213" i="91"/>
  <c r="D216" i="91"/>
  <c r="C216" i="91"/>
  <c r="B187" i="91"/>
  <c r="B123" i="87"/>
  <c r="B112" i="91"/>
  <c r="B183" i="91"/>
  <c r="B108" i="91"/>
  <c r="B119" i="87"/>
  <c r="B114" i="87"/>
  <c r="B103" i="91"/>
  <c r="B196" i="91"/>
  <c r="B132" i="87"/>
  <c r="B121" i="91"/>
  <c r="D114" i="91"/>
  <c r="D189" i="91"/>
  <c r="E123" i="96"/>
  <c r="D138" i="91"/>
  <c r="K109" i="87"/>
  <c r="C119" i="87"/>
  <c r="C108" i="91"/>
  <c r="F77" i="91"/>
  <c r="L145" i="87"/>
  <c r="L97" i="87"/>
  <c r="F86" i="91"/>
  <c r="E77" i="91"/>
  <c r="E225" i="91"/>
  <c r="C135" i="91"/>
  <c r="C210" i="91"/>
  <c r="F226" i="91"/>
  <c r="D434" i="96"/>
  <c r="C138" i="96"/>
  <c r="L131" i="87"/>
  <c r="G77" i="91"/>
  <c r="E227" i="91"/>
  <c r="F76" i="91"/>
  <c r="E76" i="91"/>
  <c r="D716" i="96"/>
  <c r="C699" i="96"/>
  <c r="D657" i="96"/>
  <c r="D225" i="96"/>
  <c r="P45" i="123"/>
  <c r="P47" i="123" s="1"/>
  <c r="P46" i="123" s="1"/>
  <c r="O51" i="123"/>
  <c r="O45" i="123"/>
  <c r="D53" i="123"/>
  <c r="D52" i="123" s="1"/>
  <c r="E284" i="96"/>
  <c r="E39" i="123"/>
  <c r="G125" i="96"/>
  <c r="E787" i="96"/>
  <c r="E126" i="96"/>
  <c r="M145" i="87"/>
  <c r="E789" i="96"/>
  <c r="Q39" i="123"/>
  <c r="C34" i="123"/>
  <c r="L134" i="87"/>
  <c r="D284" i="96"/>
  <c r="D39" i="123"/>
  <c r="D41" i="123" s="1"/>
  <c r="D40" i="123" s="1"/>
  <c r="D45" i="123"/>
  <c r="D47" i="123" s="1"/>
  <c r="D46" i="123" s="1"/>
  <c r="H559" i="96"/>
  <c r="E125" i="96"/>
  <c r="M148" i="87"/>
  <c r="E215" i="96"/>
  <c r="Q33" i="123"/>
  <c r="P39" i="123"/>
  <c r="D126" i="96"/>
  <c r="O39" i="123"/>
  <c r="D33" i="123"/>
  <c r="E123" i="91"/>
  <c r="C39" i="123"/>
  <c r="E126" i="91"/>
  <c r="C45" i="123"/>
  <c r="C47" i="123" s="1"/>
  <c r="C46" i="123" s="1"/>
  <c r="G225" i="96"/>
  <c r="T39" i="123"/>
  <c r="E225" i="96"/>
  <c r="Q45" i="123"/>
  <c r="M147" i="87"/>
  <c r="G140" i="91"/>
  <c r="Q51" i="123"/>
  <c r="D215" i="96"/>
  <c r="P33" i="123"/>
  <c r="K148" i="87"/>
  <c r="O33" i="123"/>
  <c r="C51" i="123"/>
  <c r="C53" i="123" s="1"/>
  <c r="C52" i="123" s="1"/>
  <c r="P53" i="123"/>
  <c r="P52" i="123" s="1"/>
  <c r="G39" i="123"/>
  <c r="G41" i="123" s="1"/>
  <c r="G40" i="123" s="1"/>
  <c r="G284" i="96"/>
  <c r="H558" i="96"/>
  <c r="G45" i="123"/>
  <c r="G47" i="123" s="1"/>
  <c r="G46" i="123" s="1"/>
  <c r="S39" i="123"/>
  <c r="S41" i="123" s="1"/>
  <c r="S40" i="123" s="1"/>
  <c r="S45" i="123"/>
  <c r="L113" i="87"/>
  <c r="D278" i="96"/>
  <c r="F96" i="91"/>
  <c r="F94" i="91"/>
  <c r="C278" i="96"/>
  <c r="E221" i="91"/>
  <c r="G483" i="96"/>
  <c r="F221" i="91"/>
  <c r="E74" i="91"/>
  <c r="E149" i="91" s="1"/>
  <c r="C208" i="96"/>
  <c r="G74" i="91"/>
  <c r="F71" i="91"/>
  <c r="J89" i="91"/>
  <c r="F74" i="91"/>
  <c r="F149" i="91" s="1"/>
  <c r="K143" i="87"/>
  <c r="M113" i="87"/>
  <c r="E791" i="96"/>
  <c r="F92" i="91"/>
  <c r="N109" i="87"/>
  <c r="H98" i="91"/>
  <c r="E356" i="96"/>
  <c r="N132" i="87"/>
  <c r="D118" i="87"/>
  <c r="C167" i="91"/>
  <c r="D99" i="91"/>
  <c r="K77" i="87"/>
  <c r="C573" i="96"/>
  <c r="C714" i="96" s="1"/>
  <c r="B185" i="91"/>
  <c r="B110" i="91"/>
  <c r="H121" i="91"/>
  <c r="C94" i="91"/>
  <c r="K142" i="87"/>
  <c r="K128" i="87"/>
  <c r="E75" i="91"/>
  <c r="K102" i="87"/>
  <c r="C136" i="91"/>
  <c r="D160" i="91"/>
  <c r="B166" i="91"/>
  <c r="B91" i="91"/>
  <c r="C174" i="91"/>
  <c r="B323" i="96"/>
  <c r="C121" i="96"/>
  <c r="K37" i="87" s="1"/>
  <c r="C141" i="96"/>
  <c r="K40" i="87" s="1"/>
  <c r="B90" i="91"/>
  <c r="B165" i="91"/>
  <c r="C99" i="91"/>
  <c r="D139" i="91"/>
  <c r="B177" i="91"/>
  <c r="B102" i="87"/>
  <c r="L86" i="87"/>
  <c r="D186" i="91"/>
  <c r="D111" i="91"/>
  <c r="C113" i="87"/>
  <c r="C102" i="91"/>
  <c r="C177" i="91"/>
  <c r="D168" i="91"/>
  <c r="D93" i="91"/>
  <c r="D166" i="91"/>
  <c r="D91" i="91"/>
  <c r="D161" i="91"/>
  <c r="D86" i="91"/>
  <c r="B208" i="91"/>
  <c r="B746" i="96" s="1"/>
  <c r="B159" i="91"/>
  <c r="C212" i="91"/>
  <c r="L137" i="87"/>
  <c r="L111" i="87"/>
  <c r="L85" i="87" s="1"/>
  <c r="L108" i="87"/>
  <c r="F95" i="91"/>
  <c r="E102" i="91"/>
  <c r="E95" i="91"/>
  <c r="B137" i="87"/>
  <c r="D150" i="87"/>
  <c r="C183" i="91"/>
  <c r="D94" i="91"/>
  <c r="E220" i="91"/>
  <c r="K89" i="91"/>
  <c r="L89" i="91"/>
  <c r="B94" i="91"/>
  <c r="C89" i="91"/>
  <c r="B121" i="87"/>
  <c r="C214" i="91"/>
  <c r="B113" i="91"/>
  <c r="B87" i="91"/>
  <c r="F128" i="91"/>
  <c r="D135" i="91"/>
  <c r="D146" i="87"/>
  <c r="F222" i="91"/>
  <c r="L77" i="87"/>
  <c r="E109" i="91"/>
  <c r="E89" i="91"/>
  <c r="K97" i="87"/>
  <c r="D143" i="96"/>
  <c r="D157" i="96" s="1"/>
  <c r="B142" i="87"/>
  <c r="B206" i="91"/>
  <c r="D641" i="96"/>
  <c r="D655" i="96" s="1"/>
  <c r="D130" i="87"/>
  <c r="D194" i="91"/>
  <c r="F123" i="91"/>
  <c r="D188" i="91"/>
  <c r="D113" i="91"/>
  <c r="C185" i="91"/>
  <c r="C110" i="91"/>
  <c r="C117" i="87"/>
  <c r="C106" i="91"/>
  <c r="C181" i="91"/>
  <c r="D100" i="91"/>
  <c r="D175" i="91"/>
  <c r="D92" i="91"/>
  <c r="D167" i="91"/>
  <c r="B97" i="87"/>
  <c r="B86" i="91"/>
  <c r="B108" i="87"/>
  <c r="B97" i="91"/>
  <c r="B164" i="91"/>
  <c r="B89" i="91"/>
  <c r="B109" i="91"/>
  <c r="B184" i="91"/>
  <c r="B115" i="87"/>
  <c r="B179" i="91"/>
  <c r="D151" i="87"/>
  <c r="D215" i="91"/>
  <c r="D437" i="96"/>
  <c r="D407" i="96"/>
  <c r="D409" i="96" s="1"/>
  <c r="L102" i="87"/>
  <c r="F91" i="91"/>
  <c r="L95" i="87"/>
  <c r="L72" i="87" s="1"/>
  <c r="F84" i="91"/>
  <c r="C434" i="96"/>
  <c r="K111" i="87"/>
  <c r="K85" i="87" s="1"/>
  <c r="E100" i="91"/>
  <c r="C128" i="91"/>
  <c r="C139" i="87"/>
  <c r="B202" i="91"/>
  <c r="B138" i="87"/>
  <c r="C527" i="96"/>
  <c r="C119" i="91"/>
  <c r="C130" i="87"/>
  <c r="K137" i="87"/>
  <c r="E130" i="91"/>
  <c r="K141" i="87"/>
  <c r="D359" i="96"/>
  <c r="J571" i="96"/>
  <c r="H556" i="96"/>
  <c r="H564" i="96" s="1"/>
  <c r="C103" i="91"/>
  <c r="C178" i="91"/>
  <c r="D171" i="91"/>
  <c r="D96" i="91"/>
  <c r="D129" i="91"/>
  <c r="D204" i="91"/>
  <c r="K134" i="87"/>
  <c r="I571" i="96"/>
  <c r="K571" i="96"/>
  <c r="M89" i="91"/>
  <c r="C168" i="91"/>
  <c r="C121" i="91"/>
  <c r="C132" i="87"/>
  <c r="F131" i="91"/>
  <c r="B194" i="91"/>
  <c r="B119" i="91"/>
  <c r="E122" i="91"/>
  <c r="K121" i="87"/>
  <c r="C91" i="91"/>
  <c r="C166" i="91"/>
  <c r="C159" i="91"/>
  <c r="C84" i="91"/>
  <c r="B148" i="87"/>
  <c r="B137" i="91"/>
  <c r="B325" i="96"/>
  <c r="C101" i="91"/>
  <c r="B147" i="87"/>
  <c r="F132" i="91"/>
  <c r="L143" i="87"/>
  <c r="D136" i="96"/>
  <c r="F113" i="91"/>
  <c r="C138" i="91"/>
  <c r="C213" i="91"/>
  <c r="C111" i="91"/>
  <c r="B483" i="96"/>
  <c r="F108" i="91"/>
  <c r="L119" i="87"/>
  <c r="C109" i="91"/>
  <c r="C184" i="91"/>
  <c r="C104" i="91"/>
  <c r="C115" i="87"/>
  <c r="D97" i="91"/>
  <c r="D172" i="91"/>
  <c r="D89" i="91"/>
  <c r="D164" i="91"/>
  <c r="D84" i="91"/>
  <c r="D159" i="91"/>
  <c r="B101" i="91"/>
  <c r="B112" i="87"/>
  <c r="B128" i="91"/>
  <c r="B203" i="91"/>
  <c r="B120" i="91"/>
  <c r="B131" i="87"/>
  <c r="B195" i="91"/>
  <c r="D192" i="91"/>
  <c r="D117" i="91"/>
  <c r="C191" i="91"/>
  <c r="C127" i="87"/>
  <c r="L128" i="87"/>
  <c r="F117" i="91"/>
  <c r="F119" i="91"/>
  <c r="D198" i="91"/>
  <c r="D123" i="91"/>
  <c r="D134" i="87"/>
  <c r="D141" i="87"/>
  <c r="D205" i="91"/>
  <c r="O128" i="87"/>
  <c r="C149" i="87"/>
  <c r="C165" i="91"/>
  <c r="G556" i="96"/>
  <c r="G564" i="96" s="1"/>
  <c r="C666" i="96"/>
  <c r="C652" i="96" s="1"/>
  <c r="K88" i="87"/>
  <c r="D455" i="96"/>
  <c r="F73" i="91"/>
  <c r="I117" i="91"/>
  <c r="D138" i="96"/>
  <c r="K100" i="87"/>
  <c r="E86" i="91"/>
  <c r="E125" i="91"/>
  <c r="E746" i="96"/>
  <c r="F71" i="102"/>
  <c r="E214" i="96"/>
  <c r="F73" i="102"/>
  <c r="E71" i="102"/>
  <c r="F151" i="91"/>
  <c r="L121" i="87"/>
  <c r="F110" i="91"/>
  <c r="D457" i="96"/>
  <c r="D448" i="96" s="1"/>
  <c r="L117" i="87"/>
  <c r="F106" i="91"/>
  <c r="F223" i="91"/>
  <c r="D139" i="96"/>
  <c r="F104" i="91"/>
  <c r="D398" i="96"/>
  <c r="D403" i="96" s="1"/>
  <c r="D357" i="96"/>
  <c r="L115" i="87"/>
  <c r="D211" i="96"/>
  <c r="F102" i="91"/>
  <c r="L75" i="87"/>
  <c r="D210" i="96"/>
  <c r="D323" i="96"/>
  <c r="F99" i="91"/>
  <c r="L110" i="87"/>
  <c r="L74" i="87" s="1"/>
  <c r="L107" i="87"/>
  <c r="L105" i="87"/>
  <c r="D281" i="96"/>
  <c r="L103" i="87"/>
  <c r="D120" i="96"/>
  <c r="L36" i="87" s="1"/>
  <c r="L98" i="87"/>
  <c r="D218" i="96"/>
  <c r="F85" i="91"/>
  <c r="D119" i="96"/>
  <c r="L96" i="87"/>
  <c r="L83" i="87" s="1"/>
  <c r="E152" i="91"/>
  <c r="E151" i="91"/>
  <c r="E118" i="91"/>
  <c r="K129" i="87"/>
  <c r="K123" i="87"/>
  <c r="E112" i="91"/>
  <c r="K120" i="87"/>
  <c r="C456" i="96"/>
  <c r="C454" i="96"/>
  <c r="K118" i="87"/>
  <c r="E107" i="91"/>
  <c r="C452" i="96"/>
  <c r="E105" i="91"/>
  <c r="K116" i="87"/>
  <c r="C356" i="96"/>
  <c r="K114" i="87"/>
  <c r="E103" i="91"/>
  <c r="C220" i="96"/>
  <c r="K112" i="87"/>
  <c r="C323" i="96"/>
  <c r="C326" i="96" s="1"/>
  <c r="E72" i="91"/>
  <c r="E147" i="91" s="1"/>
  <c r="K110" i="87"/>
  <c r="K74" i="87" s="1"/>
  <c r="K107" i="87"/>
  <c r="K105" i="87"/>
  <c r="E94" i="91"/>
  <c r="C219" i="96"/>
  <c r="E84" i="91"/>
  <c r="K95" i="87"/>
  <c r="K72" i="87" s="1"/>
  <c r="C136" i="96"/>
  <c r="B140" i="87"/>
  <c r="B129" i="91"/>
  <c r="D138" i="87"/>
  <c r="D202" i="91"/>
  <c r="D127" i="91"/>
  <c r="C133" i="87"/>
  <c r="C197" i="91"/>
  <c r="D193" i="91"/>
  <c r="D129" i="87"/>
  <c r="C117" i="91"/>
  <c r="C128" i="87"/>
  <c r="C192" i="91"/>
  <c r="L140" i="87"/>
  <c r="D642" i="96"/>
  <c r="D700" i="96" s="1"/>
  <c r="D709" i="96" s="1"/>
  <c r="F129" i="91"/>
  <c r="F121" i="91"/>
  <c r="L132" i="87"/>
  <c r="D516" i="96"/>
  <c r="F116" i="91"/>
  <c r="D213" i="96"/>
  <c r="D555" i="96"/>
  <c r="D560" i="96" s="1"/>
  <c r="E128" i="91"/>
  <c r="K139" i="87"/>
  <c r="C641" i="96"/>
  <c r="C872" i="96" s="1"/>
  <c r="K131" i="87"/>
  <c r="E120" i="91"/>
  <c r="E119" i="91"/>
  <c r="E636" i="96"/>
  <c r="E698" i="96" s="1"/>
  <c r="C134" i="87"/>
  <c r="C123" i="91"/>
  <c r="C198" i="91"/>
  <c r="C141" i="87"/>
  <c r="C205" i="91"/>
  <c r="C518" i="96"/>
  <c r="L109" i="87"/>
  <c r="F98" i="91"/>
  <c r="C113" i="91"/>
  <c r="D87" i="91"/>
  <c r="D162" i="91"/>
  <c r="B484" i="96"/>
  <c r="C187" i="91"/>
  <c r="D113" i="87"/>
  <c r="D102" i="91"/>
  <c r="C96" i="91"/>
  <c r="C171" i="91"/>
  <c r="E72" i="102"/>
  <c r="F111" i="91"/>
  <c r="D360" i="96"/>
  <c r="L120" i="87"/>
  <c r="L118" i="87"/>
  <c r="D436" i="96"/>
  <c r="D445" i="96" s="1"/>
  <c r="F107" i="91"/>
  <c r="D358" i="96"/>
  <c r="F105" i="91"/>
  <c r="D221" i="96"/>
  <c r="L116" i="87"/>
  <c r="D72" i="102"/>
  <c r="K147" i="87"/>
  <c r="K96" i="87"/>
  <c r="K83" i="87" s="1"/>
  <c r="C140" i="87"/>
  <c r="C129" i="91"/>
  <c r="L133" i="87"/>
  <c r="D635" i="96"/>
  <c r="E129" i="91"/>
  <c r="E121" i="91"/>
  <c r="E116" i="91"/>
  <c r="K127" i="87"/>
  <c r="C516" i="96"/>
  <c r="G130" i="91"/>
  <c r="E643" i="96"/>
  <c r="E657" i="96" s="1"/>
  <c r="E104" i="91"/>
  <c r="K115" i="87"/>
  <c r="O62" i="91"/>
  <c r="L127" i="87"/>
  <c r="G96" i="91"/>
  <c r="G110" i="91"/>
  <c r="G90" i="91"/>
  <c r="G93" i="91"/>
  <c r="G85" i="91"/>
  <c r="G124" i="91"/>
  <c r="G100" i="91"/>
  <c r="G86" i="91"/>
  <c r="G102" i="91"/>
  <c r="C672" i="96"/>
  <c r="G121" i="91"/>
  <c r="M132" i="87"/>
  <c r="G123" i="91"/>
  <c r="G126" i="91"/>
  <c r="G113" i="91"/>
  <c r="G92" i="91"/>
  <c r="G84" i="91"/>
  <c r="F637" i="96"/>
  <c r="G91" i="91"/>
  <c r="G89" i="91"/>
  <c r="O47" i="91"/>
  <c r="C520" i="96"/>
  <c r="C645" i="96"/>
  <c r="O48" i="91"/>
  <c r="O51" i="91"/>
  <c r="O55" i="91"/>
  <c r="G105" i="91"/>
  <c r="G135" i="91"/>
  <c r="K144" i="87"/>
  <c r="C453" i="96"/>
  <c r="C357" i="96"/>
  <c r="C211" i="96"/>
  <c r="H555" i="96"/>
  <c r="G129" i="91"/>
  <c r="G106" i="91"/>
  <c r="G122" i="91"/>
  <c r="C664" i="96"/>
  <c r="G134" i="91"/>
  <c r="G139" i="91"/>
  <c r="E132" i="91"/>
  <c r="K119" i="87"/>
  <c r="O50" i="91"/>
  <c r="B125" i="91"/>
  <c r="C408" i="96"/>
  <c r="C403" i="96" s="1"/>
  <c r="G112" i="91"/>
  <c r="C671" i="96"/>
  <c r="G133" i="91"/>
  <c r="G138" i="91"/>
  <c r="C670" i="96"/>
  <c r="G131" i="91"/>
  <c r="G119" i="91"/>
  <c r="G111" i="91"/>
  <c r="G114" i="91"/>
  <c r="C667" i="96"/>
  <c r="G136" i="91"/>
  <c r="G137" i="91"/>
  <c r="C669" i="96"/>
  <c r="C655" i="96" s="1"/>
  <c r="C572" i="96"/>
  <c r="G117" i="91"/>
  <c r="C145" i="96"/>
  <c r="G115" i="91"/>
  <c r="G87" i="91"/>
  <c r="O35" i="91"/>
  <c r="F220" i="91"/>
  <c r="B95" i="87"/>
  <c r="O9" i="91"/>
  <c r="O20" i="91"/>
  <c r="O16" i="91"/>
  <c r="O25" i="91"/>
  <c r="B122" i="87"/>
  <c r="O36" i="91"/>
  <c r="O32" i="91"/>
  <c r="B113" i="87"/>
  <c r="O27" i="91"/>
  <c r="O60" i="91"/>
  <c r="O64" i="91"/>
  <c r="B174" i="91"/>
  <c r="O24" i="91"/>
  <c r="B105" i="91"/>
  <c r="O30" i="91"/>
  <c r="G484" i="96"/>
  <c r="G212" i="96"/>
  <c r="G747" i="96"/>
  <c r="B127" i="91"/>
  <c r="O52" i="91"/>
  <c r="O43" i="91"/>
  <c r="D528" i="96"/>
  <c r="D529" i="96" s="1"/>
  <c r="O66" i="91"/>
  <c r="B840" i="96" s="1"/>
  <c r="O40" i="91"/>
  <c r="B98" i="87"/>
  <c r="O12" i="91"/>
  <c r="B105" i="87"/>
  <c r="O19" i="91"/>
  <c r="O15" i="91"/>
  <c r="B144" i="87"/>
  <c r="O58" i="91"/>
  <c r="B106" i="91"/>
  <c r="O31" i="91"/>
  <c r="O65" i="91"/>
  <c r="B139" i="87"/>
  <c r="O53" i="91"/>
  <c r="O45" i="91"/>
  <c r="O44" i="91"/>
  <c r="O11" i="91"/>
  <c r="B172" i="91"/>
  <c r="O22" i="91"/>
  <c r="B93" i="91"/>
  <c r="O18" i="91"/>
  <c r="B100" i="87"/>
  <c r="O14" i="91"/>
  <c r="B188" i="91"/>
  <c r="O38" i="91"/>
  <c r="B120" i="87"/>
  <c r="O34" i="91"/>
  <c r="O29" i="91"/>
  <c r="B136" i="91"/>
  <c r="O61" i="91"/>
  <c r="O57" i="91"/>
  <c r="B204" i="91"/>
  <c r="O54" i="91"/>
  <c r="O46" i="91"/>
  <c r="O41" i="91"/>
  <c r="B199" i="91"/>
  <c r="O49" i="91"/>
  <c r="B217" i="91"/>
  <c r="O67" i="91"/>
  <c r="B841" i="96" s="1"/>
  <c r="G790" i="96"/>
  <c r="B160" i="91"/>
  <c r="O10" i="91"/>
  <c r="B96" i="91"/>
  <c r="O21" i="91"/>
  <c r="O17" i="91"/>
  <c r="O26" i="91"/>
  <c r="O37" i="91"/>
  <c r="O33" i="91"/>
  <c r="B178" i="91"/>
  <c r="O28" i="91"/>
  <c r="B145" i="87"/>
  <c r="O59" i="91"/>
  <c r="O63" i="91"/>
  <c r="H212" i="96"/>
  <c r="B117" i="91"/>
  <c r="O42" i="91"/>
  <c r="C528" i="96"/>
  <c r="B218" i="91"/>
  <c r="O68" i="91"/>
  <c r="B842" i="96" s="1"/>
  <c r="B125" i="87"/>
  <c r="O39" i="91"/>
  <c r="G792" i="96"/>
  <c r="D143" i="87"/>
  <c r="D132" i="91"/>
  <c r="D207" i="91"/>
  <c r="D206" i="91"/>
  <c r="O56" i="91"/>
  <c r="U39" i="123"/>
  <c r="U41" i="123" s="1"/>
  <c r="U40" i="123" s="1"/>
  <c r="H483" i="96"/>
  <c r="B143" i="91"/>
  <c r="B152" i="87"/>
  <c r="B216" i="91"/>
  <c r="B141" i="91"/>
  <c r="G671" i="96"/>
  <c r="H224" i="96"/>
  <c r="H487" i="96"/>
  <c r="F487" i="96"/>
  <c r="K555" i="96"/>
  <c r="K556" i="96"/>
  <c r="K564" i="96" s="1"/>
  <c r="R128" i="87"/>
  <c r="J484" i="96"/>
  <c r="J116" i="91"/>
  <c r="I116" i="91"/>
  <c r="M101" i="87"/>
  <c r="E642" i="96"/>
  <c r="P100" i="87"/>
  <c r="E434" i="96"/>
  <c r="I555" i="96"/>
  <c r="E439" i="96"/>
  <c r="H639" i="96"/>
  <c r="D325" i="96"/>
  <c r="D326" i="96" s="1"/>
  <c r="E209" i="96"/>
  <c r="J555" i="96"/>
  <c r="M117" i="87"/>
  <c r="F72" i="91"/>
  <c r="F147" i="91" s="1"/>
  <c r="E280" i="96"/>
  <c r="D209" i="96"/>
  <c r="D280" i="96"/>
  <c r="F558" i="96"/>
  <c r="E558" i="96"/>
  <c r="E566" i="96" s="1"/>
  <c r="K151" i="87"/>
  <c r="E113" i="91"/>
  <c r="E87" i="91"/>
  <c r="F787" i="96"/>
  <c r="D71" i="102"/>
  <c r="P126" i="87"/>
  <c r="N126" i="87"/>
  <c r="H115" i="91"/>
  <c r="O126" i="87"/>
  <c r="D104" i="91"/>
  <c r="D177" i="91"/>
  <c r="D179" i="91"/>
  <c r="C162" i="91"/>
  <c r="G149" i="91"/>
  <c r="D73" i="102"/>
  <c r="E96" i="91"/>
  <c r="H116" i="91"/>
  <c r="C175" i="91"/>
  <c r="B324" i="96"/>
  <c r="C100" i="91"/>
  <c r="F746" i="96"/>
  <c r="F214" i="96"/>
  <c r="D356" i="96"/>
  <c r="D397" i="96"/>
  <c r="D122" i="96"/>
  <c r="L114" i="87"/>
  <c r="F103" i="91"/>
  <c r="D368" i="96"/>
  <c r="D369" i="96" s="1"/>
  <c r="F97" i="91"/>
  <c r="D219" i="96"/>
  <c r="E110" i="91"/>
  <c r="C439" i="96"/>
  <c r="C448" i="96" s="1"/>
  <c r="C361" i="96"/>
  <c r="C368" i="96"/>
  <c r="C360" i="96"/>
  <c r="E108" i="91"/>
  <c r="C437" i="96"/>
  <c r="C446" i="96" s="1"/>
  <c r="C221" i="96"/>
  <c r="T246" i="96" s="1"/>
  <c r="K117" i="87"/>
  <c r="C359" i="96"/>
  <c r="C435" i="96"/>
  <c r="E106" i="91"/>
  <c r="C367" i="96"/>
  <c r="C122" i="96"/>
  <c r="K86" i="87"/>
  <c r="C407" i="96"/>
  <c r="C402" i="96" s="1"/>
  <c r="C139" i="96"/>
  <c r="K75" i="87"/>
  <c r="E223" i="91"/>
  <c r="E148" i="91" s="1"/>
  <c r="K103" i="87"/>
  <c r="E92" i="91"/>
  <c r="C218" i="96"/>
  <c r="C119" i="96"/>
  <c r="D812" i="96"/>
  <c r="D132" i="87"/>
  <c r="D121" i="91"/>
  <c r="C131" i="87"/>
  <c r="C195" i="91"/>
  <c r="C120" i="91"/>
  <c r="B129" i="87"/>
  <c r="B118" i="91"/>
  <c r="B193" i="91"/>
  <c r="D116" i="91"/>
  <c r="D191" i="91"/>
  <c r="D645" i="96"/>
  <c r="F127" i="91"/>
  <c r="L129" i="87"/>
  <c r="F118" i="91"/>
  <c r="C517" i="96"/>
  <c r="K133" i="87"/>
  <c r="C213" i="96"/>
  <c r="E117" i="91"/>
  <c r="C556" i="96"/>
  <c r="B134" i="87"/>
  <c r="B198" i="91"/>
  <c r="B141" i="87"/>
  <c r="B130" i="91"/>
  <c r="B200" i="91"/>
  <c r="B136" i="87"/>
  <c r="M109" i="87"/>
  <c r="B111" i="87"/>
  <c r="B175" i="91"/>
  <c r="B100" i="91"/>
  <c r="D637" i="96"/>
  <c r="D699" i="96" s="1"/>
  <c r="D90" i="91"/>
  <c r="B131" i="91"/>
  <c r="D203" i="91"/>
  <c r="D517" i="96"/>
  <c r="C132" i="91"/>
  <c r="D139" i="87"/>
  <c r="C143" i="87"/>
  <c r="G214" i="96"/>
  <c r="S128" i="87"/>
  <c r="M117" i="91"/>
  <c r="F571" i="96"/>
  <c r="F555" i="96"/>
  <c r="L136" i="87"/>
  <c r="F90" i="91"/>
  <c r="F148" i="91"/>
  <c r="N127" i="87"/>
  <c r="F125" i="91"/>
  <c r="G746" i="96"/>
  <c r="G748" i="96" s="1"/>
  <c r="E358" i="96"/>
  <c r="D121" i="96"/>
  <c r="B644" i="96"/>
  <c r="B658" i="96" s="1"/>
  <c r="H71" i="102"/>
  <c r="L112" i="87"/>
  <c r="D444" i="96"/>
  <c r="D666" i="96"/>
  <c r="D652" i="96" s="1"/>
  <c r="B205" i="91"/>
  <c r="B637" i="96"/>
  <c r="B665" i="96" s="1"/>
  <c r="B640" i="96"/>
  <c r="B186" i="91"/>
  <c r="B142" i="91"/>
  <c r="B812" i="96"/>
  <c r="C114" i="87"/>
  <c r="C146" i="87"/>
  <c r="D140" i="91"/>
  <c r="B134" i="91"/>
  <c r="B111" i="91"/>
  <c r="G555" i="96"/>
  <c r="H792" i="96"/>
  <c r="J556" i="96"/>
  <c r="J564" i="96" s="1"/>
  <c r="D124" i="96"/>
  <c r="L117" i="91"/>
  <c r="O127" i="87"/>
  <c r="F807" i="96"/>
  <c r="H134" i="91"/>
  <c r="L116" i="91"/>
  <c r="K116" i="91"/>
  <c r="Q128" i="87"/>
  <c r="D811" i="96"/>
  <c r="D518" i="96"/>
  <c r="F75" i="91"/>
  <c r="D702" i="96" s="1"/>
  <c r="D282" i="96"/>
  <c r="E150" i="91"/>
  <c r="R127" i="87"/>
  <c r="H119" i="91"/>
  <c r="N130" i="87"/>
  <c r="L151" i="87"/>
  <c r="F140" i="91"/>
  <c r="D283" i="96"/>
  <c r="G667" i="96"/>
  <c r="O137" i="87"/>
  <c r="I126" i="91"/>
  <c r="F758" i="96"/>
  <c r="N144" i="87"/>
  <c r="N78" i="87" s="1"/>
  <c r="H133" i="91"/>
  <c r="K117" i="91"/>
  <c r="D573" i="96"/>
  <c r="F665" i="96"/>
  <c r="H124" i="91"/>
  <c r="N135" i="87"/>
  <c r="L88" i="87"/>
  <c r="D141" i="96"/>
  <c r="D665" i="96"/>
  <c r="D717" i="96" s="1"/>
  <c r="F225" i="91"/>
  <c r="D720" i="96" s="1"/>
  <c r="L135" i="87"/>
  <c r="F276" i="96"/>
  <c r="G636" i="96"/>
  <c r="K136" i="87"/>
  <c r="Q100" i="87"/>
  <c r="H789" i="96"/>
  <c r="L149" i="87"/>
  <c r="D361" i="96"/>
  <c r="C673" i="96"/>
  <c r="C668" i="96"/>
  <c r="C654" i="96" s="1"/>
  <c r="C571" i="96"/>
  <c r="C276" i="96"/>
  <c r="L124" i="87"/>
  <c r="L130" i="87"/>
  <c r="G639" i="96"/>
  <c r="F453" i="96"/>
  <c r="M116" i="91"/>
  <c r="P127" i="87"/>
  <c r="I556" i="96"/>
  <c r="I564" i="96" s="1"/>
  <c r="P128" i="87"/>
  <c r="H484" i="96"/>
  <c r="D791" i="96"/>
  <c r="G789" i="96"/>
  <c r="F484" i="96"/>
  <c r="D452" i="96"/>
  <c r="D443" i="96" s="1"/>
  <c r="K149" i="87"/>
  <c r="K145" i="87"/>
  <c r="C663" i="96"/>
  <c r="C715" i="96" s="1"/>
  <c r="K124" i="87"/>
  <c r="C557" i="96"/>
  <c r="C696" i="96" s="1"/>
  <c r="F643" i="96"/>
  <c r="D145" i="96"/>
  <c r="M124" i="87"/>
  <c r="L126" i="87"/>
  <c r="L125" i="87"/>
  <c r="G276" i="96"/>
  <c r="S127" i="87"/>
  <c r="Q127" i="87"/>
  <c r="I484" i="96"/>
  <c r="H643" i="96"/>
  <c r="J117" i="91"/>
  <c r="G643" i="96"/>
  <c r="E73" i="102"/>
  <c r="F559" i="96"/>
  <c r="F112" i="91"/>
  <c r="M123" i="87"/>
  <c r="L147" i="87"/>
  <c r="L122" i="87"/>
  <c r="D276" i="96"/>
  <c r="K98" i="87"/>
  <c r="D640" i="96"/>
  <c r="C635" i="96"/>
  <c r="C697" i="96" s="1"/>
  <c r="F126" i="91"/>
  <c r="E487" i="96"/>
  <c r="K126" i="87"/>
  <c r="K125" i="87"/>
  <c r="D792" i="96"/>
  <c r="I127" i="96"/>
  <c r="F128" i="96"/>
  <c r="H108" i="91"/>
  <c r="F124" i="91"/>
  <c r="R100" i="87"/>
  <c r="D220" i="96"/>
  <c r="G791" i="96"/>
  <c r="L146" i="87"/>
  <c r="D396" i="96"/>
  <c r="D401" i="96" s="1"/>
  <c r="E111" i="91"/>
  <c r="C438" i="96"/>
  <c r="C436" i="96"/>
  <c r="C358" i="96"/>
  <c r="C406" i="96"/>
  <c r="F145" i="96"/>
  <c r="F72" i="102"/>
  <c r="M144" i="87"/>
  <c r="M114" i="87"/>
  <c r="M107" i="87"/>
  <c r="E218" i="96"/>
  <c r="M131" i="87"/>
  <c r="E283" i="96"/>
  <c r="E279" i="96"/>
  <c r="E810" i="96"/>
  <c r="M137" i="87"/>
  <c r="M103" i="87"/>
  <c r="M104" i="87"/>
  <c r="E119" i="96"/>
  <c r="E790" i="96"/>
  <c r="E454" i="96"/>
  <c r="M97" i="87"/>
  <c r="E747" i="96"/>
  <c r="M102" i="87"/>
  <c r="E145" i="96"/>
  <c r="E573" i="96"/>
  <c r="E714" i="96" s="1"/>
  <c r="M130" i="87"/>
  <c r="M89" i="87"/>
  <c r="E397" i="96"/>
  <c r="E402" i="96" s="1"/>
  <c r="E807" i="96"/>
  <c r="E792" i="96"/>
  <c r="E802" i="96" s="1"/>
  <c r="E559" i="96"/>
  <c r="M134" i="87"/>
  <c r="M133" i="87"/>
  <c r="M84" i="87"/>
  <c r="E361" i="96"/>
  <c r="E517" i="96"/>
  <c r="E571" i="96"/>
  <c r="L73" i="87"/>
  <c r="L101" i="87"/>
  <c r="D277" i="96"/>
  <c r="D864" i="96" s="1"/>
  <c r="F70" i="91"/>
  <c r="G487" i="96"/>
  <c r="N119" i="87"/>
  <c r="G208" i="96"/>
  <c r="E556" i="96"/>
  <c r="E564" i="96" s="1"/>
  <c r="M128" i="87"/>
  <c r="H112" i="91"/>
  <c r="F437" i="96"/>
  <c r="F208" i="96"/>
  <c r="N141" i="87"/>
  <c r="H130" i="91"/>
  <c r="F671" i="96"/>
  <c r="E140" i="96"/>
  <c r="M135" i="87"/>
  <c r="M140" i="87"/>
  <c r="E663" i="96"/>
  <c r="E715" i="96" s="1"/>
  <c r="D447" i="96"/>
  <c r="M90" i="87"/>
  <c r="E809" i="96"/>
  <c r="E799" i="96" s="1"/>
  <c r="M149" i="87"/>
  <c r="M146" i="87"/>
  <c r="E759" i="96"/>
  <c r="E801" i="96"/>
  <c r="E788" i="96"/>
  <c r="E758" i="96"/>
  <c r="E664" i="96"/>
  <c r="E716" i="96" s="1"/>
  <c r="E637" i="96"/>
  <c r="E635" i="96"/>
  <c r="E697" i="96" s="1"/>
  <c r="E706" i="96" s="1"/>
  <c r="E456" i="96"/>
  <c r="J115" i="91"/>
  <c r="C651" i="96"/>
  <c r="E91" i="91"/>
  <c r="D564" i="96"/>
  <c r="D223" i="96"/>
  <c r="I115" i="91"/>
  <c r="D813" i="96" l="1"/>
  <c r="D708" i="96"/>
  <c r="D656" i="96"/>
  <c r="J76" i="91"/>
  <c r="C706" i="96"/>
  <c r="C705" i="96"/>
  <c r="C702" i="96"/>
  <c r="C720" i="96"/>
  <c r="D711" i="96"/>
  <c r="F146" i="91"/>
  <c r="F227" i="91"/>
  <c r="D576" i="96"/>
  <c r="D714" i="96"/>
  <c r="D705" i="96" s="1"/>
  <c r="E707" i="96"/>
  <c r="C656" i="96"/>
  <c r="C718" i="96"/>
  <c r="C709" i="96" s="1"/>
  <c r="C717" i="96"/>
  <c r="C708" i="96" s="1"/>
  <c r="C716" i="96"/>
  <c r="G698" i="96"/>
  <c r="E567" i="96"/>
  <c r="C874" i="96"/>
  <c r="C873" i="96" s="1"/>
  <c r="E656" i="96"/>
  <c r="E700" i="96"/>
  <c r="E709" i="96" s="1"/>
  <c r="C131" i="96"/>
  <c r="L37" i="87"/>
  <c r="D649" i="96"/>
  <c r="D697" i="96"/>
  <c r="E651" i="96"/>
  <c r="C646" i="96"/>
  <c r="C701" i="96"/>
  <c r="C521" i="96"/>
  <c r="D793" i="96"/>
  <c r="D803" i="96" s="1"/>
  <c r="F651" i="96"/>
  <c r="G118" i="91"/>
  <c r="E33" i="123"/>
  <c r="E760" i="96"/>
  <c r="B801" i="96"/>
  <c r="E748" i="96"/>
  <c r="E41" i="123"/>
  <c r="E40" i="123" s="1"/>
  <c r="O47" i="123"/>
  <c r="O46" i="123" s="1"/>
  <c r="B799" i="96"/>
  <c r="B849" i="96"/>
  <c r="B857" i="96"/>
  <c r="H125" i="96"/>
  <c r="H571" i="96"/>
  <c r="O35" i="123"/>
  <c r="O34" i="123" s="1"/>
  <c r="T41" i="123"/>
  <c r="T40" i="123" s="1"/>
  <c r="D35" i="123"/>
  <c r="D29" i="123" s="1"/>
  <c r="O41" i="123"/>
  <c r="O40" i="123" s="1"/>
  <c r="P41" i="123"/>
  <c r="P40" i="123" s="1"/>
  <c r="E793" i="96"/>
  <c r="H284" i="96"/>
  <c r="I224" i="96"/>
  <c r="E843" i="96"/>
  <c r="E844" i="96" s="1"/>
  <c r="E852" i="96" s="1"/>
  <c r="D843" i="96"/>
  <c r="D844" i="96" s="1"/>
  <c r="D852" i="96" s="1"/>
  <c r="Q47" i="123"/>
  <c r="Q46" i="123" s="1"/>
  <c r="O53" i="123"/>
  <c r="O52" i="123" s="1"/>
  <c r="B858" i="96"/>
  <c r="B850" i="96"/>
  <c r="B856" i="96"/>
  <c r="B848" i="96"/>
  <c r="H225" i="96"/>
  <c r="N145" i="87"/>
  <c r="P35" i="123"/>
  <c r="Q53" i="123"/>
  <c r="Q52" i="123" s="1"/>
  <c r="C41" i="123"/>
  <c r="C29" i="123" s="1"/>
  <c r="Q35" i="123"/>
  <c r="Q34" i="123" s="1"/>
  <c r="Q41" i="123"/>
  <c r="Q40" i="123" s="1"/>
  <c r="F752" i="96"/>
  <c r="E800" i="96"/>
  <c r="F797" i="96"/>
  <c r="E797" i="96"/>
  <c r="C458" i="96"/>
  <c r="C245" i="96"/>
  <c r="D440" i="96"/>
  <c r="B802" i="96"/>
  <c r="C444" i="96"/>
  <c r="D245" i="96"/>
  <c r="C659" i="96"/>
  <c r="C246" i="96"/>
  <c r="C443" i="96"/>
  <c r="C160" i="96"/>
  <c r="C564" i="96"/>
  <c r="C576" i="96"/>
  <c r="D402" i="96"/>
  <c r="D446" i="96"/>
  <c r="K35" i="87"/>
  <c r="P141" i="87"/>
  <c r="H747" i="96"/>
  <c r="I639" i="96"/>
  <c r="I45" i="123"/>
  <c r="I47" i="123" s="1"/>
  <c r="I46" i="123" s="1"/>
  <c r="T45" i="123"/>
  <c r="T47" i="123" s="1"/>
  <c r="T46" i="123" s="1"/>
  <c r="T51" i="123"/>
  <c r="T53" i="123" s="1"/>
  <c r="T52" i="123" s="1"/>
  <c r="J45" i="123"/>
  <c r="J47" i="123" s="1"/>
  <c r="J46" i="123" s="1"/>
  <c r="H667" i="96"/>
  <c r="H653" i="96" s="1"/>
  <c r="H746" i="96"/>
  <c r="H45" i="123"/>
  <c r="H47" i="123" s="1"/>
  <c r="H46" i="123" s="1"/>
  <c r="S47" i="123"/>
  <c r="S46" i="123" s="1"/>
  <c r="H39" i="123"/>
  <c r="H41" i="123" s="1"/>
  <c r="H40" i="123" s="1"/>
  <c r="D239" i="96"/>
  <c r="D872" i="96"/>
  <c r="C529" i="96"/>
  <c r="Q137" i="87"/>
  <c r="I563" i="96"/>
  <c r="G563" i="96"/>
  <c r="D659" i="96"/>
  <c r="D874" i="96"/>
  <c r="D873" i="96" s="1"/>
  <c r="K563" i="96"/>
  <c r="H563" i="96"/>
  <c r="D160" i="96"/>
  <c r="J563" i="96"/>
  <c r="C871" i="96"/>
  <c r="D563" i="96"/>
  <c r="D871" i="96"/>
  <c r="I483" i="96"/>
  <c r="O100" i="87"/>
  <c r="I790" i="96"/>
  <c r="B643" i="96"/>
  <c r="B657" i="96" s="1"/>
  <c r="B811" i="96"/>
  <c r="J126" i="91"/>
  <c r="P137" i="87"/>
  <c r="I89" i="91"/>
  <c r="I671" i="96"/>
  <c r="I71" i="102"/>
  <c r="I558" i="96"/>
  <c r="J483" i="96"/>
  <c r="B645" i="96"/>
  <c r="B659" i="96" s="1"/>
  <c r="E650" i="96"/>
  <c r="C240" i="96"/>
  <c r="B636" i="96"/>
  <c r="L38" i="87"/>
  <c r="C447" i="96"/>
  <c r="C146" i="96"/>
  <c r="C149" i="96" s="1"/>
  <c r="H790" i="96"/>
  <c r="D152" i="96"/>
  <c r="L35" i="87"/>
  <c r="O141" i="87"/>
  <c r="C156" i="96"/>
  <c r="D327" i="96"/>
  <c r="C362" i="96"/>
  <c r="C247" i="96"/>
  <c r="C248" i="96" s="1"/>
  <c r="U245" i="96"/>
  <c r="U247" i="96" s="1"/>
  <c r="G127" i="91"/>
  <c r="G109" i="91"/>
  <c r="G657" i="96"/>
  <c r="F152" i="91"/>
  <c r="B635" i="96"/>
  <c r="H214" i="96"/>
  <c r="D129" i="96"/>
  <c r="D132" i="96" s="1"/>
  <c r="G104" i="91"/>
  <c r="G99" i="91"/>
  <c r="I130" i="91"/>
  <c r="B638" i="96"/>
  <c r="B639" i="96"/>
  <c r="E753" i="96"/>
  <c r="D651" i="96"/>
  <c r="B672" i="96"/>
  <c r="D146" i="96"/>
  <c r="L44" i="87" s="1"/>
  <c r="D362" i="96"/>
  <c r="J212" i="96"/>
  <c r="C649" i="96"/>
  <c r="I212" i="96"/>
  <c r="I789" i="96"/>
  <c r="B642" i="96"/>
  <c r="B641" i="96"/>
  <c r="D458" i="96"/>
  <c r="H791" i="96"/>
  <c r="K126" i="91"/>
  <c r="I667" i="96"/>
  <c r="G787" i="96"/>
  <c r="H72" i="102"/>
  <c r="J96" i="91"/>
  <c r="D294" i="96"/>
  <c r="J639" i="96"/>
  <c r="I96" i="91"/>
  <c r="H276" i="96"/>
  <c r="F145" i="91"/>
  <c r="F209" i="96"/>
  <c r="D521" i="96"/>
  <c r="D531" i="96" s="1"/>
  <c r="C369" i="96"/>
  <c r="D370" i="96" s="1"/>
  <c r="T245" i="96"/>
  <c r="T247" i="96" s="1"/>
  <c r="T248" i="96"/>
  <c r="K38" i="87"/>
  <c r="D298" i="96"/>
  <c r="D299" i="96" s="1"/>
  <c r="C674" i="96"/>
  <c r="J130" i="91"/>
  <c r="D674" i="96"/>
  <c r="D675" i="96" s="1"/>
  <c r="G144" i="96"/>
  <c r="B651" i="96"/>
  <c r="H671" i="96"/>
  <c r="H657" i="96" s="1"/>
  <c r="G151" i="91"/>
  <c r="F150" i="91"/>
  <c r="F563" i="96"/>
  <c r="B808" i="96"/>
  <c r="B798" i="96"/>
  <c r="B654" i="96"/>
  <c r="B668" i="96"/>
  <c r="G653" i="96"/>
  <c r="D289" i="96"/>
  <c r="E576" i="96"/>
  <c r="D530" i="96"/>
  <c r="D287" i="96"/>
  <c r="D288" i="96"/>
  <c r="F657" i="96"/>
  <c r="D295" i="96"/>
  <c r="D565" i="96"/>
  <c r="E649" i="96"/>
  <c r="C409" i="96"/>
  <c r="C401" i="96"/>
  <c r="C440" i="96"/>
  <c r="C445" i="96"/>
  <c r="D153" i="96"/>
  <c r="D131" i="96"/>
  <c r="D156" i="96"/>
  <c r="L40" i="87"/>
  <c r="D148" i="96"/>
  <c r="C560" i="96"/>
  <c r="C565" i="96"/>
  <c r="I747" i="96"/>
  <c r="J71" i="102"/>
  <c r="C563" i="96"/>
  <c r="H208" i="96"/>
  <c r="D646" i="96"/>
  <c r="D654" i="96"/>
  <c r="H636" i="96"/>
  <c r="H698" i="96" s="1"/>
  <c r="O107" i="87"/>
  <c r="J108" i="91"/>
  <c r="P119" i="87"/>
  <c r="H437" i="96"/>
  <c r="G437" i="96"/>
  <c r="I108" i="91"/>
  <c r="O119" i="87"/>
  <c r="N131" i="87"/>
  <c r="F574" i="96"/>
  <c r="F566" i="96" s="1"/>
  <c r="M41" i="87"/>
  <c r="E153" i="96"/>
  <c r="E808" i="96"/>
  <c r="E813" i="96" s="1"/>
  <c r="G152" i="91"/>
  <c r="E752" i="96"/>
  <c r="P107" i="87"/>
  <c r="E455" i="96"/>
  <c r="M111" i="87"/>
  <c r="M85" i="87" s="1"/>
  <c r="E277" i="96"/>
  <c r="E864" i="96" s="1"/>
  <c r="E398" i="96"/>
  <c r="E211" i="96"/>
  <c r="E357" i="96"/>
  <c r="E438" i="96"/>
  <c r="E447" i="96" s="1"/>
  <c r="M120" i="87"/>
  <c r="E557" i="96"/>
  <c r="M129" i="87"/>
  <c r="M138" i="87"/>
  <c r="E640" i="96"/>
  <c r="E453" i="96"/>
  <c r="E210" i="96"/>
  <c r="E323" i="96"/>
  <c r="M110" i="87"/>
  <c r="M74" i="87" s="1"/>
  <c r="D149" i="96"/>
  <c r="D568" i="96"/>
  <c r="D237" i="96"/>
  <c r="D241" i="96"/>
  <c r="D235" i="96"/>
  <c r="U246" i="96"/>
  <c r="U248" i="96" s="1"/>
  <c r="D231" i="96"/>
  <c r="D246" i="96"/>
  <c r="D242" i="96"/>
  <c r="D240" i="96"/>
  <c r="D247" i="96"/>
  <c r="D248" i="96" s="1"/>
  <c r="D233" i="96"/>
  <c r="D236" i="96"/>
  <c r="D234" i="96"/>
  <c r="D232" i="96"/>
  <c r="D230" i="96"/>
  <c r="D229" i="96"/>
  <c r="E408" i="96"/>
  <c r="M115" i="87"/>
  <c r="P29" i="123" l="1"/>
  <c r="O28" i="123"/>
  <c r="C711" i="96"/>
  <c r="I125" i="96"/>
  <c r="K76" i="91"/>
  <c r="C531" i="96"/>
  <c r="I653" i="96"/>
  <c r="D701" i="96"/>
  <c r="D706" i="96"/>
  <c r="F567" i="96"/>
  <c r="C647" i="96"/>
  <c r="D647" i="96"/>
  <c r="E565" i="96"/>
  <c r="E696" i="96"/>
  <c r="E705" i="96" s="1"/>
  <c r="H748" i="96"/>
  <c r="B650" i="96"/>
  <c r="D363" i="96"/>
  <c r="B809" i="96"/>
  <c r="B673" i="96"/>
  <c r="D449" i="96"/>
  <c r="C568" i="96"/>
  <c r="Q28" i="123"/>
  <c r="I284" i="96"/>
  <c r="G856" i="96"/>
  <c r="D34" i="123"/>
  <c r="D28" i="123" s="1"/>
  <c r="B759" i="96"/>
  <c r="B753" i="96"/>
  <c r="B758" i="96"/>
  <c r="B752" i="96"/>
  <c r="J224" i="96"/>
  <c r="B671" i="96"/>
  <c r="K216" i="96"/>
  <c r="K840" i="96"/>
  <c r="Q29" i="123"/>
  <c r="O29" i="123"/>
  <c r="I225" i="96"/>
  <c r="C449" i="96"/>
  <c r="V39" i="123"/>
  <c r="V41" i="123" s="1"/>
  <c r="V40" i="123" s="1"/>
  <c r="L841" i="96"/>
  <c r="L226" i="96"/>
  <c r="G807" i="96"/>
  <c r="C40" i="123"/>
  <c r="C28" i="123" s="1"/>
  <c r="P34" i="123"/>
  <c r="P28" i="123" s="1"/>
  <c r="B800" i="96"/>
  <c r="B810" i="96"/>
  <c r="B797" i="96"/>
  <c r="B807" i="96"/>
  <c r="E35" i="123"/>
  <c r="E29" i="123" s="1"/>
  <c r="U45" i="123"/>
  <c r="U47" i="123" s="1"/>
  <c r="U46" i="123" s="1"/>
  <c r="C660" i="96"/>
  <c r="C719" i="96" s="1"/>
  <c r="C710" i="96" s="1"/>
  <c r="C675" i="96"/>
  <c r="U51" i="123"/>
  <c r="U53" i="123" s="1"/>
  <c r="U52" i="123" s="1"/>
  <c r="H807" i="96"/>
  <c r="O145" i="87"/>
  <c r="I39" i="123"/>
  <c r="I41" i="123" s="1"/>
  <c r="I40" i="123" s="1"/>
  <c r="P145" i="87"/>
  <c r="E654" i="96"/>
  <c r="B664" i="96"/>
  <c r="D147" i="96"/>
  <c r="K130" i="91"/>
  <c r="Q141" i="87"/>
  <c r="I134" i="91"/>
  <c r="G128" i="91"/>
  <c r="I214" i="96"/>
  <c r="I746" i="96"/>
  <c r="I748" i="96" s="1"/>
  <c r="B666" i="96"/>
  <c r="B652" i="96"/>
  <c r="B649" i="96"/>
  <c r="B663" i="96"/>
  <c r="G95" i="91"/>
  <c r="B653" i="96"/>
  <c r="B667" i="96"/>
  <c r="D522" i="96"/>
  <c r="M78" i="91"/>
  <c r="K127" i="96"/>
  <c r="D660" i="96"/>
  <c r="D719" i="96" s="1"/>
  <c r="D710" i="96" s="1"/>
  <c r="B656" i="96"/>
  <c r="B670" i="96"/>
  <c r="B669" i="96"/>
  <c r="B655" i="96"/>
  <c r="T249" i="96"/>
  <c r="D292" i="96"/>
  <c r="I228" i="91"/>
  <c r="I792" i="96"/>
  <c r="I791" i="96"/>
  <c r="J789" i="96"/>
  <c r="D296" i="96"/>
  <c r="I72" i="102"/>
  <c r="H787" i="96"/>
  <c r="J134" i="91"/>
  <c r="K96" i="91"/>
  <c r="D561" i="96"/>
  <c r="L126" i="91"/>
  <c r="J667" i="96"/>
  <c r="J653" i="96" s="1"/>
  <c r="R137" i="87"/>
  <c r="I643" i="96"/>
  <c r="I657" i="96" s="1"/>
  <c r="E403" i="96"/>
  <c r="I437" i="96"/>
  <c r="J747" i="96"/>
  <c r="C148" i="96"/>
  <c r="I559" i="96"/>
  <c r="G223" i="91"/>
  <c r="E519" i="96"/>
  <c r="E669" i="96"/>
  <c r="I276" i="96"/>
  <c r="I208" i="96"/>
  <c r="I636" i="96"/>
  <c r="I698" i="96" s="1"/>
  <c r="J671" i="96"/>
  <c r="E803" i="96"/>
  <c r="E157" i="96"/>
  <c r="M42" i="87"/>
  <c r="F556" i="96"/>
  <c r="N128" i="87"/>
  <c r="H117" i="91"/>
  <c r="Q107" i="87"/>
  <c r="E641" i="96"/>
  <c r="E872" i="96" s="1"/>
  <c r="E527" i="96"/>
  <c r="M139" i="87"/>
  <c r="M116" i="87"/>
  <c r="E452" i="96"/>
  <c r="E139" i="96"/>
  <c r="E457" i="96"/>
  <c r="M121" i="87"/>
  <c r="M106" i="87"/>
  <c r="F119" i="96"/>
  <c r="F280" i="96"/>
  <c r="F218" i="96"/>
  <c r="U249" i="96"/>
  <c r="D238" i="96"/>
  <c r="E34" i="123" l="1"/>
  <c r="E28" i="123" s="1"/>
  <c r="J125" i="96"/>
  <c r="L76" i="91"/>
  <c r="J225" i="96"/>
  <c r="H797" i="96"/>
  <c r="W39" i="123"/>
  <c r="W41" i="123" s="1"/>
  <c r="W40" i="123" s="1"/>
  <c r="G797" i="96"/>
  <c r="K224" i="96"/>
  <c r="L216" i="96"/>
  <c r="L840" i="96"/>
  <c r="G860" i="96"/>
  <c r="J39" i="123"/>
  <c r="J41" i="123" s="1"/>
  <c r="J40" i="123" s="1"/>
  <c r="K71" i="102"/>
  <c r="V51" i="123"/>
  <c r="V53" i="123" s="1"/>
  <c r="V52" i="123" s="1"/>
  <c r="V45" i="123"/>
  <c r="V47" i="123" s="1"/>
  <c r="K45" i="123"/>
  <c r="K47" i="123" s="1"/>
  <c r="K46" i="123" s="1"/>
  <c r="K639" i="96"/>
  <c r="L45" i="123"/>
  <c r="J790" i="96"/>
  <c r="F564" i="96"/>
  <c r="C277" i="96"/>
  <c r="C864" i="96" s="1"/>
  <c r="E71" i="91"/>
  <c r="E146" i="91" s="1"/>
  <c r="N78" i="91"/>
  <c r="J558" i="96"/>
  <c r="C120" i="96"/>
  <c r="C129" i="96" s="1"/>
  <c r="K558" i="96"/>
  <c r="R141" i="87"/>
  <c r="K73" i="87"/>
  <c r="K101" i="87"/>
  <c r="E90" i="91"/>
  <c r="L130" i="91"/>
  <c r="L127" i="96"/>
  <c r="J746" i="96"/>
  <c r="J748" i="96" s="1"/>
  <c r="J214" i="96"/>
  <c r="M76" i="91"/>
  <c r="E70" i="91"/>
  <c r="E145" i="91" s="1"/>
  <c r="J792" i="96"/>
  <c r="J791" i="96"/>
  <c r="K789" i="96"/>
  <c r="K790" i="96"/>
  <c r="I787" i="96"/>
  <c r="J72" i="102"/>
  <c r="C209" i="96"/>
  <c r="C242" i="96" s="1"/>
  <c r="E655" i="96"/>
  <c r="K667" i="96"/>
  <c r="M126" i="91"/>
  <c r="S137" i="87"/>
  <c r="J643" i="96"/>
  <c r="J657" i="96" s="1"/>
  <c r="K747" i="96"/>
  <c r="E458" i="96"/>
  <c r="J559" i="96"/>
  <c r="C147" i="96"/>
  <c r="J208" i="96"/>
  <c r="J276" i="96"/>
  <c r="K284" i="96"/>
  <c r="J636" i="96"/>
  <c r="J698" i="96" s="1"/>
  <c r="L108" i="91"/>
  <c r="R119" i="87"/>
  <c r="J437" i="96"/>
  <c r="E443" i="96"/>
  <c r="C288" i="96" l="1"/>
  <c r="X39" i="123"/>
  <c r="K225" i="96"/>
  <c r="L224" i="96"/>
  <c r="L71" i="102"/>
  <c r="K125" i="96"/>
  <c r="C295" i="96"/>
  <c r="C289" i="96"/>
  <c r="K653" i="96"/>
  <c r="W45" i="123"/>
  <c r="W47" i="123" s="1"/>
  <c r="K671" i="96"/>
  <c r="K39" i="123"/>
  <c r="K41" i="123" s="1"/>
  <c r="K40" i="123" s="1"/>
  <c r="W51" i="123"/>
  <c r="W53" i="123" s="1"/>
  <c r="W52" i="123" s="1"/>
  <c r="Q145" i="87"/>
  <c r="L47" i="123"/>
  <c r="L46" i="123" s="1"/>
  <c r="V46" i="123"/>
  <c r="L639" i="96"/>
  <c r="X41" i="123"/>
  <c r="X40" i="123" s="1"/>
  <c r="K36" i="87"/>
  <c r="K44" i="87"/>
  <c r="C152" i="96"/>
  <c r="C287" i="96"/>
  <c r="C298" i="96"/>
  <c r="C299" i="96" s="1"/>
  <c r="C294" i="96"/>
  <c r="L558" i="96"/>
  <c r="C237" i="96"/>
  <c r="C231" i="96"/>
  <c r="K134" i="91"/>
  <c r="I807" i="96"/>
  <c r="K746" i="96"/>
  <c r="K748" i="96" s="1"/>
  <c r="K214" i="96"/>
  <c r="N76" i="91"/>
  <c r="C232" i="96"/>
  <c r="M130" i="91"/>
  <c r="K792" i="96"/>
  <c r="K791" i="96"/>
  <c r="L789" i="96"/>
  <c r="C234" i="96"/>
  <c r="C230" i="96"/>
  <c r="C229" i="96"/>
  <c r="C233" i="96"/>
  <c r="C241" i="96"/>
  <c r="C236" i="96"/>
  <c r="C235" i="96"/>
  <c r="C239" i="96"/>
  <c r="L790" i="96"/>
  <c r="K72" i="102"/>
  <c r="J787" i="96"/>
  <c r="S141" i="87"/>
  <c r="N126" i="91"/>
  <c r="L667" i="96"/>
  <c r="T137" i="87"/>
  <c r="K643" i="96"/>
  <c r="K559" i="96"/>
  <c r="L747" i="96"/>
  <c r="C132" i="96"/>
  <c r="D130" i="96"/>
  <c r="C130" i="96"/>
  <c r="K276" i="96"/>
  <c r="K208" i="96"/>
  <c r="K636" i="96"/>
  <c r="K698" i="96" s="1"/>
  <c r="L284" i="96"/>
  <c r="S119" i="87"/>
  <c r="M108" i="91"/>
  <c r="K437" i="96"/>
  <c r="C292" i="96" l="1"/>
  <c r="L125" i="96"/>
  <c r="L225" i="96"/>
  <c r="J807" i="96"/>
  <c r="J797" i="96" s="1"/>
  <c r="C296" i="96"/>
  <c r="I797" i="96"/>
  <c r="L653" i="96"/>
  <c r="X45" i="123"/>
  <c r="X47" i="123" s="1"/>
  <c r="L39" i="123"/>
  <c r="L41" i="123" s="1"/>
  <c r="K657" i="96"/>
  <c r="X51" i="123"/>
  <c r="X53" i="123" s="1"/>
  <c r="R145" i="87"/>
  <c r="W46" i="123"/>
  <c r="M71" i="102"/>
  <c r="T141" i="87"/>
  <c r="L134" i="91"/>
  <c r="C238" i="96"/>
  <c r="L214" i="96"/>
  <c r="L746" i="96"/>
  <c r="L748" i="96" s="1"/>
  <c r="L792" i="96"/>
  <c r="L791" i="96"/>
  <c r="K787" i="96"/>
  <c r="L72" i="102"/>
  <c r="L643" i="96"/>
  <c r="L559" i="96"/>
  <c r="L208" i="96"/>
  <c r="L276" i="96"/>
  <c r="L636" i="96"/>
  <c r="L698" i="96" s="1"/>
  <c r="L437" i="96"/>
  <c r="N108" i="91"/>
  <c r="T119" i="87"/>
  <c r="X46" i="123" l="1"/>
  <c r="L40" i="123"/>
  <c r="S145" i="87"/>
  <c r="N130" i="91"/>
  <c r="X52" i="123"/>
  <c r="L671" i="96"/>
  <c r="L657" i="96" s="1"/>
  <c r="M134" i="91"/>
  <c r="K807" i="96"/>
  <c r="L787" i="96"/>
  <c r="M72" i="102"/>
  <c r="L807" i="96" l="1"/>
  <c r="L797" i="96" s="1"/>
  <c r="K797" i="96"/>
  <c r="T145" i="87"/>
  <c r="N134" i="91"/>
  <c r="E448" i="96" l="1"/>
  <c r="H280" i="96"/>
  <c r="H218" i="96"/>
  <c r="H119" i="96"/>
  <c r="Q119" i="87"/>
  <c r="K108" i="91"/>
  <c r="G119" i="96"/>
  <c r="G218" i="96"/>
  <c r="G280" i="96"/>
  <c r="M75" i="87"/>
  <c r="E406" i="96"/>
  <c r="M95" i="87"/>
  <c r="M72" i="87" s="1"/>
  <c r="E208" i="96"/>
  <c r="E276" i="96"/>
  <c r="E324" i="96"/>
  <c r="G107" i="91" l="1"/>
  <c r="G108" i="91"/>
  <c r="G132" i="91"/>
  <c r="E367" i="96"/>
  <c r="L96" i="91"/>
  <c r="M98" i="87"/>
  <c r="E437" i="96"/>
  <c r="M119" i="87"/>
  <c r="E360" i="96"/>
  <c r="E520" i="96"/>
  <c r="E645" i="96"/>
  <c r="M143" i="87"/>
  <c r="I218" i="96"/>
  <c r="I119" i="96"/>
  <c r="I280" i="96"/>
  <c r="F212" i="96"/>
  <c r="E673" i="96"/>
  <c r="E436" i="96"/>
  <c r="E359" i="96"/>
  <c r="G73" i="91"/>
  <c r="G148" i="91" s="1"/>
  <c r="E221" i="96"/>
  <c r="E368" i="96"/>
  <c r="E122" i="96"/>
  <c r="M38" i="87" s="1"/>
  <c r="M118" i="87"/>
  <c r="M86" i="87"/>
  <c r="R107" i="87"/>
  <c r="E401" i="96"/>
  <c r="E409" i="96"/>
  <c r="H865" i="96"/>
  <c r="E874" i="96" l="1"/>
  <c r="E873" i="96" s="1"/>
  <c r="G71" i="91"/>
  <c r="G146" i="91" s="1"/>
  <c r="E369" i="96"/>
  <c r="E370" i="96" s="1"/>
  <c r="G94" i="91"/>
  <c r="G97" i="91"/>
  <c r="G116" i="91"/>
  <c r="G101" i="91"/>
  <c r="M96" i="91"/>
  <c r="N96" i="91"/>
  <c r="G209" i="96"/>
  <c r="E362" i="96"/>
  <c r="E363" i="96" s="1"/>
  <c r="T107" i="87"/>
  <c r="I865" i="96"/>
  <c r="M96" i="87"/>
  <c r="M83" i="87" s="1"/>
  <c r="E136" i="96"/>
  <c r="S107" i="87"/>
  <c r="E120" i="96"/>
  <c r="E219" i="96"/>
  <c r="E281" i="96"/>
  <c r="M105" i="87"/>
  <c r="E516" i="96"/>
  <c r="E213" i="96"/>
  <c r="E245" i="96" s="1"/>
  <c r="M127" i="87"/>
  <c r="M77" i="87"/>
  <c r="E555" i="96"/>
  <c r="E871" i="96" s="1"/>
  <c r="E278" i="96"/>
  <c r="E526" i="96"/>
  <c r="E659" i="96"/>
  <c r="M108" i="87"/>
  <c r="J280" i="96"/>
  <c r="J218" i="96"/>
  <c r="J119" i="96"/>
  <c r="E445" i="96"/>
  <c r="E440" i="96"/>
  <c r="E449" i="96" s="1"/>
  <c r="E137" i="96"/>
  <c r="M100" i="87"/>
  <c r="M73" i="87"/>
  <c r="F483" i="96"/>
  <c r="H111" i="91"/>
  <c r="N122" i="87"/>
  <c r="G125" i="91"/>
  <c r="G72" i="91"/>
  <c r="M112" i="87"/>
  <c r="E325" i="96"/>
  <c r="E326" i="96" s="1"/>
  <c r="E327" i="96" s="1"/>
  <c r="E220" i="96"/>
  <c r="E121" i="96"/>
  <c r="E528" i="96" l="1"/>
  <c r="E529" i="96" s="1"/>
  <c r="H209" i="96"/>
  <c r="E282" i="96"/>
  <c r="E288" i="96" s="1"/>
  <c r="L218" i="96"/>
  <c r="L280" i="96"/>
  <c r="L119" i="96"/>
  <c r="E518" i="96"/>
  <c r="E521" i="96" s="1"/>
  <c r="E638" i="96"/>
  <c r="E699" i="96" s="1"/>
  <c r="E223" i="96"/>
  <c r="V246" i="96" s="1"/>
  <c r="V248" i="96" s="1"/>
  <c r="E560" i="96"/>
  <c r="E563" i="96"/>
  <c r="M36" i="87"/>
  <c r="J865" i="96"/>
  <c r="E138" i="96"/>
  <c r="E160" i="96" s="1"/>
  <c r="G222" i="91"/>
  <c r="G147" i="91" s="1"/>
  <c r="G70" i="91"/>
  <c r="K119" i="96"/>
  <c r="K218" i="96"/>
  <c r="K280" i="96"/>
  <c r="E124" i="96"/>
  <c r="E152" i="96" s="1"/>
  <c r="M35" i="87"/>
  <c r="G75" i="91"/>
  <c r="V245" i="96"/>
  <c r="E239" i="96"/>
  <c r="E702" i="96" l="1"/>
  <c r="E289" i="96"/>
  <c r="E229" i="96"/>
  <c r="E290" i="96"/>
  <c r="E298" i="96"/>
  <c r="E299" i="96" s="1"/>
  <c r="E287" i="96"/>
  <c r="E237" i="96"/>
  <c r="E240" i="96"/>
  <c r="E235" i="96"/>
  <c r="E291" i="96"/>
  <c r="E241" i="96"/>
  <c r="E294" i="96"/>
  <c r="E295" i="96"/>
  <c r="E236" i="96"/>
  <c r="E230" i="96"/>
  <c r="E233" i="96"/>
  <c r="I209" i="96"/>
  <c r="E231" i="96"/>
  <c r="E234" i="96"/>
  <c r="V247" i="96"/>
  <c r="V249" i="96" s="1"/>
  <c r="E247" i="96"/>
  <c r="E248" i="96" s="1"/>
  <c r="G145" i="91"/>
  <c r="E242" i="96"/>
  <c r="E246" i="96"/>
  <c r="M37" i="87"/>
  <c r="E131" i="96"/>
  <c r="E568" i="96"/>
  <c r="E561" i="96"/>
  <c r="E522" i="96"/>
  <c r="E646" i="96"/>
  <c r="E232" i="96"/>
  <c r="E666" i="96"/>
  <c r="E717" i="96" s="1"/>
  <c r="E708" i="96" s="1"/>
  <c r="M88" i="87"/>
  <c r="G225" i="91"/>
  <c r="E141" i="96"/>
  <c r="M40" i="87" s="1"/>
  <c r="E531" i="96"/>
  <c r="E530" i="96"/>
  <c r="E129" i="96"/>
  <c r="M136" i="87"/>
  <c r="G150" i="91" l="1"/>
  <c r="E720" i="96"/>
  <c r="E711" i="96"/>
  <c r="E701" i="96"/>
  <c r="E647" i="96"/>
  <c r="E292" i="96"/>
  <c r="E296" i="96"/>
  <c r="K865" i="96"/>
  <c r="J209" i="96"/>
  <c r="E238" i="96"/>
  <c r="E148" i="96"/>
  <c r="E130" i="96"/>
  <c r="E132" i="96"/>
  <c r="E674" i="96"/>
  <c r="E156" i="96"/>
  <c r="E146" i="96"/>
  <c r="E652" i="96"/>
  <c r="E660" i="96" l="1"/>
  <c r="E719" i="96" s="1"/>
  <c r="E710" i="96" s="1"/>
  <c r="E675" i="96"/>
  <c r="L865" i="96"/>
  <c r="L209" i="96"/>
  <c r="K209" i="96"/>
  <c r="M44" i="87"/>
  <c r="E149" i="96"/>
  <c r="E147" i="96"/>
  <c r="F215" i="96" l="1"/>
  <c r="R33" i="123"/>
  <c r="R39" i="123"/>
  <c r="F788" i="96"/>
  <c r="F279" i="96"/>
  <c r="R51" i="123"/>
  <c r="F284" i="96" l="1"/>
  <c r="F39" i="123"/>
  <c r="R41" i="123"/>
  <c r="R40" i="123" s="1"/>
  <c r="R35" i="123"/>
  <c r="R34" i="123" s="1"/>
  <c r="J841" i="96"/>
  <c r="R53" i="123"/>
  <c r="R52" i="123" s="1"/>
  <c r="I77" i="91"/>
  <c r="F789" i="96"/>
  <c r="F791" i="96"/>
  <c r="G73" i="102"/>
  <c r="F792" i="96"/>
  <c r="F636" i="96"/>
  <c r="F41" i="123" l="1"/>
  <c r="F40" i="123" s="1"/>
  <c r="G215" i="96"/>
  <c r="G126" i="96"/>
  <c r="G153" i="96" s="1"/>
  <c r="S33" i="123"/>
  <c r="J77" i="91"/>
  <c r="G788" i="96"/>
  <c r="G793" i="96" s="1"/>
  <c r="H73" i="102"/>
  <c r="G279" i="96"/>
  <c r="K77" i="91"/>
  <c r="S35" i="123" l="1"/>
  <c r="S29" i="123" s="1"/>
  <c r="I215" i="96"/>
  <c r="I126" i="96"/>
  <c r="I153" i="96" s="1"/>
  <c r="U33" i="123"/>
  <c r="U35" i="123" s="1"/>
  <c r="U29" i="123" s="1"/>
  <c r="H215" i="96"/>
  <c r="T33" i="123"/>
  <c r="T35" i="123" s="1"/>
  <c r="T29" i="123" s="1"/>
  <c r="H126" i="96"/>
  <c r="H153" i="96" s="1"/>
  <c r="I73" i="102"/>
  <c r="H788" i="96"/>
  <c r="H279" i="96"/>
  <c r="J73" i="102"/>
  <c r="I279" i="96"/>
  <c r="I788" i="96"/>
  <c r="I793" i="96" s="1"/>
  <c r="S34" i="123" l="1"/>
  <c r="S28" i="123" s="1"/>
  <c r="L77" i="91"/>
  <c r="J215" i="96"/>
  <c r="J126" i="96"/>
  <c r="V33" i="123"/>
  <c r="V35" i="123" s="1"/>
  <c r="V29" i="123" s="1"/>
  <c r="H793" i="96"/>
  <c r="H794" i="96" s="1"/>
  <c r="T34" i="123"/>
  <c r="T28" i="123" s="1"/>
  <c r="U34" i="123"/>
  <c r="U28" i="123" s="1"/>
  <c r="J788" i="96"/>
  <c r="J793" i="96" s="1"/>
  <c r="J279" i="96"/>
  <c r="K73" i="102"/>
  <c r="M77" i="91" l="1"/>
  <c r="I794" i="96"/>
  <c r="K126" i="96"/>
  <c r="K153" i="96" s="1"/>
  <c r="W33" i="123"/>
  <c r="W35" i="123" s="1"/>
  <c r="W29" i="123" s="1"/>
  <c r="V34" i="123"/>
  <c r="V28" i="123" s="1"/>
  <c r="J794" i="96"/>
  <c r="N77" i="91"/>
  <c r="L73" i="102"/>
  <c r="K788" i="96"/>
  <c r="K793" i="96" s="1"/>
  <c r="K215" i="96" l="1"/>
  <c r="L215" i="96"/>
  <c r="L126" i="96"/>
  <c r="L153" i="96" s="1"/>
  <c r="X33" i="123"/>
  <c r="X35" i="123" s="1"/>
  <c r="X29" i="123" s="1"/>
  <c r="W34" i="123"/>
  <c r="W28" i="123" s="1"/>
  <c r="K794" i="96"/>
  <c r="M73" i="102"/>
  <c r="L788" i="96"/>
  <c r="L793" i="96" s="1"/>
  <c r="X34" i="123" l="1"/>
  <c r="L794" i="96"/>
  <c r="X28" i="123" l="1"/>
  <c r="F811" i="96" l="1"/>
  <c r="F801" i="96" s="1"/>
  <c r="N150" i="87"/>
  <c r="H139" i="91"/>
  <c r="F812" i="96"/>
  <c r="F802" i="96" s="1"/>
  <c r="N151" i="87"/>
  <c r="H140" i="91"/>
  <c r="I139" i="91" l="1"/>
  <c r="O150" i="87"/>
  <c r="G811" i="96"/>
  <c r="G801" i="96" s="1"/>
  <c r="G812" i="96"/>
  <c r="G802" i="96" s="1"/>
  <c r="O151" i="87"/>
  <c r="I140" i="91"/>
  <c r="P151" i="87" l="1"/>
  <c r="J140" i="91"/>
  <c r="H812" i="96"/>
  <c r="H802" i="96" s="1"/>
  <c r="P150" i="87"/>
  <c r="J139" i="91"/>
  <c r="H811" i="96"/>
  <c r="H801" i="96" s="1"/>
  <c r="K140" i="91" l="1"/>
  <c r="I812" i="96"/>
  <c r="I802" i="96" s="1"/>
  <c r="Q151" i="87"/>
  <c r="I811" i="96"/>
  <c r="I801" i="96" s="1"/>
  <c r="Q150" i="87"/>
  <c r="K139" i="91"/>
  <c r="R151" i="87" l="1"/>
  <c r="J812" i="96"/>
  <c r="J802" i="96" s="1"/>
  <c r="L140" i="91"/>
  <c r="L139" i="91"/>
  <c r="J811" i="96"/>
  <c r="J801" i="96" s="1"/>
  <c r="R150" i="87"/>
  <c r="L812" i="96" l="1"/>
  <c r="L802" i="96" s="1"/>
  <c r="K812" i="96"/>
  <c r="K802" i="96" s="1"/>
  <c r="M140" i="91"/>
  <c r="S151" i="87"/>
  <c r="K811" i="96"/>
  <c r="K801" i="96" s="1"/>
  <c r="M139" i="91"/>
  <c r="S150" i="87"/>
  <c r="N140" i="91" l="1"/>
  <c r="T151" i="87"/>
  <c r="L811" i="96"/>
  <c r="L801" i="96" s="1"/>
  <c r="N139" i="91"/>
  <c r="T150" i="87"/>
  <c r="F210" i="96" l="1"/>
  <c r="F323" i="96"/>
  <c r="F324" i="96" l="1"/>
  <c r="H72" i="91"/>
  <c r="G323" i="96"/>
  <c r="G324" i="96" l="1"/>
  <c r="F121" i="96"/>
  <c r="K212" i="96"/>
  <c r="K483" i="96"/>
  <c r="K279" i="96"/>
  <c r="G325" i="96"/>
  <c r="G210" i="96"/>
  <c r="F325" i="96"/>
  <c r="F326" i="96" s="1"/>
  <c r="F327" i="96" s="1"/>
  <c r="F220" i="96"/>
  <c r="H210" i="96"/>
  <c r="H323" i="96"/>
  <c r="H324" i="96" l="1"/>
  <c r="G326" i="96"/>
  <c r="G327" i="96" s="1"/>
  <c r="G121" i="96"/>
  <c r="G220" i="96"/>
  <c r="I72" i="91"/>
  <c r="L212" i="96"/>
  <c r="L483" i="96"/>
  <c r="L279" i="96"/>
  <c r="H220" i="96" l="1"/>
  <c r="H121" i="96"/>
  <c r="H325" i="96"/>
  <c r="H326" i="96" s="1"/>
  <c r="H327" i="96" s="1"/>
  <c r="J72" i="91"/>
  <c r="I324" i="96"/>
  <c r="I323" i="96"/>
  <c r="I210" i="96"/>
  <c r="K484" i="96"/>
  <c r="I121" i="96"/>
  <c r="J324" i="96"/>
  <c r="K72" i="91"/>
  <c r="I220" i="96"/>
  <c r="I325" i="96"/>
  <c r="J323" i="96" l="1"/>
  <c r="I326" i="96"/>
  <c r="I327" i="96" s="1"/>
  <c r="J210" i="96"/>
  <c r="L484" i="96"/>
  <c r="L72" i="91"/>
  <c r="K324" i="96"/>
  <c r="J220" i="96"/>
  <c r="J325" i="96"/>
  <c r="K210" i="96"/>
  <c r="K323" i="96"/>
  <c r="J121" i="96"/>
  <c r="J326" i="96" l="1"/>
  <c r="J327" i="96" s="1"/>
  <c r="H76" i="91"/>
  <c r="K121" i="96"/>
  <c r="M72" i="91"/>
  <c r="L323" i="96"/>
  <c r="L210" i="96"/>
  <c r="L324" i="96"/>
  <c r="K325" i="96"/>
  <c r="K326" i="96" s="1"/>
  <c r="K220" i="96"/>
  <c r="F224" i="96" l="1"/>
  <c r="F125" i="96"/>
  <c r="S748" i="96"/>
  <c r="N72" i="91"/>
  <c r="K327" i="96"/>
  <c r="H77" i="91"/>
  <c r="L220" i="96"/>
  <c r="L121" i="96"/>
  <c r="L325" i="96"/>
  <c r="S324" i="96"/>
  <c r="F639" i="96"/>
  <c r="F698" i="96" s="1"/>
  <c r="F33" i="123"/>
  <c r="G72" i="102"/>
  <c r="F526" i="96"/>
  <c r="F640" i="96"/>
  <c r="F747" i="96"/>
  <c r="G71" i="102"/>
  <c r="F790" i="96" l="1"/>
  <c r="F793" i="96" s="1"/>
  <c r="S788" i="96" s="1"/>
  <c r="F35" i="123"/>
  <c r="F34" i="123" s="1"/>
  <c r="J842" i="96"/>
  <c r="J284" i="96"/>
  <c r="J226" i="96"/>
  <c r="S841" i="96"/>
  <c r="F45" i="123"/>
  <c r="F748" i="96"/>
  <c r="F51" i="123"/>
  <c r="F53" i="123" s="1"/>
  <c r="F52" i="123" s="1"/>
  <c r="F225" i="96"/>
  <c r="R45" i="123"/>
  <c r="S789" i="96"/>
  <c r="F126" i="96"/>
  <c r="G51" i="123"/>
  <c r="G53" i="123" s="1"/>
  <c r="G52" i="123" s="1"/>
  <c r="J127" i="96"/>
  <c r="J153" i="96" s="1"/>
  <c r="L78" i="91"/>
  <c r="F642" i="96"/>
  <c r="F700" i="96" s="1"/>
  <c r="F644" i="96"/>
  <c r="F517" i="96"/>
  <c r="F635" i="96"/>
  <c r="F697" i="96" s="1"/>
  <c r="F527" i="96"/>
  <c r="F520" i="96"/>
  <c r="F645" i="96"/>
  <c r="F519" i="96"/>
  <c r="F641" i="96"/>
  <c r="L326" i="96"/>
  <c r="L327" i="96" s="1"/>
  <c r="G642" i="96"/>
  <c r="G700" i="96" s="1"/>
  <c r="F358" i="96"/>
  <c r="F434" i="96"/>
  <c r="F221" i="96"/>
  <c r="F361" i="96"/>
  <c r="F439" i="96"/>
  <c r="F357" i="96"/>
  <c r="F398" i="96"/>
  <c r="F438" i="96"/>
  <c r="F360" i="96"/>
  <c r="F396" i="96"/>
  <c r="F277" i="96"/>
  <c r="F864" i="96" s="1"/>
  <c r="F368" i="96"/>
  <c r="H73" i="91"/>
  <c r="F211" i="96"/>
  <c r="F356" i="96"/>
  <c r="F122" i="96"/>
  <c r="F397" i="96"/>
  <c r="F359" i="96"/>
  <c r="F367" i="96"/>
  <c r="N117" i="87"/>
  <c r="H106" i="91"/>
  <c r="F153" i="96"/>
  <c r="F557" i="96"/>
  <c r="F278" i="96"/>
  <c r="F213" i="96"/>
  <c r="F516" i="96"/>
  <c r="F124" i="96"/>
  <c r="F436" i="96"/>
  <c r="G635" i="96"/>
  <c r="G697" i="96" s="1"/>
  <c r="G641" i="96"/>
  <c r="G527" i="96"/>
  <c r="F874" i="96" l="1"/>
  <c r="F873" i="96" s="1"/>
  <c r="F871" i="96"/>
  <c r="F696" i="96"/>
  <c r="G794" i="96"/>
  <c r="R47" i="123"/>
  <c r="R29" i="123" s="1"/>
  <c r="F47" i="123"/>
  <c r="F46" i="123" s="1"/>
  <c r="S791" i="96"/>
  <c r="F245" i="96"/>
  <c r="F872" i="96"/>
  <c r="H51" i="123"/>
  <c r="H53" i="123" s="1"/>
  <c r="H52" i="123" s="1"/>
  <c r="G645" i="96"/>
  <c r="F223" i="96"/>
  <c r="F282" i="96"/>
  <c r="F518" i="96"/>
  <c r="F521" i="96" s="1"/>
  <c r="F522" i="96" s="1"/>
  <c r="G526" i="96"/>
  <c r="G640" i="96"/>
  <c r="G872" i="96" s="1"/>
  <c r="H75" i="91"/>
  <c r="F638" i="96"/>
  <c r="F699" i="96" s="1"/>
  <c r="G520" i="96"/>
  <c r="F528" i="96"/>
  <c r="F529" i="96" s="1"/>
  <c r="G519" i="96"/>
  <c r="G644" i="96"/>
  <c r="N136" i="87"/>
  <c r="S323" i="96"/>
  <c r="S325" i="96" s="1"/>
  <c r="F560" i="96"/>
  <c r="F362" i="96"/>
  <c r="F363" i="96" s="1"/>
  <c r="G396" i="96"/>
  <c r="G277" i="96"/>
  <c r="G864" i="96" s="1"/>
  <c r="G211" i="96"/>
  <c r="I73" i="91"/>
  <c r="G122" i="96"/>
  <c r="G356" i="96"/>
  <c r="G368" i="96"/>
  <c r="H642" i="96"/>
  <c r="H700" i="96" s="1"/>
  <c r="H640" i="96"/>
  <c r="H526" i="96"/>
  <c r="G398" i="96"/>
  <c r="G357" i="96"/>
  <c r="H125" i="91"/>
  <c r="F239" i="96"/>
  <c r="W245" i="96"/>
  <c r="F369" i="96"/>
  <c r="F370" i="96" s="1"/>
  <c r="G360" i="96"/>
  <c r="G438" i="96"/>
  <c r="G434" i="96"/>
  <c r="G358" i="96"/>
  <c r="G221" i="96"/>
  <c r="F666" i="96"/>
  <c r="F717" i="96" s="1"/>
  <c r="H635" i="96"/>
  <c r="H697" i="96" s="1"/>
  <c r="G436" i="96"/>
  <c r="H641" i="96"/>
  <c r="H527" i="96"/>
  <c r="G361" i="96"/>
  <c r="G439" i="96"/>
  <c r="H645" i="96"/>
  <c r="H520" i="96"/>
  <c r="I106" i="91"/>
  <c r="O117" i="87"/>
  <c r="G367" i="96"/>
  <c r="G359" i="96"/>
  <c r="G397" i="96"/>
  <c r="F440" i="96"/>
  <c r="R46" i="123" l="1"/>
  <c r="R28" i="123" s="1"/>
  <c r="F702" i="96"/>
  <c r="F708" i="96"/>
  <c r="H874" i="96"/>
  <c r="H873" i="96" s="1"/>
  <c r="G874" i="96"/>
  <c r="G873" i="96" s="1"/>
  <c r="F701" i="96"/>
  <c r="F646" i="96"/>
  <c r="F28" i="123"/>
  <c r="F29" i="123"/>
  <c r="F652" i="96"/>
  <c r="I51" i="123"/>
  <c r="I53" i="123" s="1"/>
  <c r="I52" i="123" s="1"/>
  <c r="H872" i="96"/>
  <c r="H519" i="96"/>
  <c r="H644" i="96"/>
  <c r="F531" i="96"/>
  <c r="F530" i="96"/>
  <c r="H867" i="96"/>
  <c r="H436" i="96"/>
  <c r="G362" i="96"/>
  <c r="G363" i="96" s="1"/>
  <c r="H360" i="96"/>
  <c r="H438" i="96"/>
  <c r="F561" i="96"/>
  <c r="I641" i="96"/>
  <c r="I527" i="96"/>
  <c r="H396" i="96"/>
  <c r="H368" i="96"/>
  <c r="H122" i="96"/>
  <c r="H356" i="96"/>
  <c r="H211" i="96"/>
  <c r="J73" i="91"/>
  <c r="H277" i="96"/>
  <c r="H864" i="96" s="1"/>
  <c r="H398" i="96"/>
  <c r="H357" i="96"/>
  <c r="H397" i="96"/>
  <c r="H361" i="96"/>
  <c r="H439" i="96"/>
  <c r="H434" i="96"/>
  <c r="H358" i="96"/>
  <c r="H221" i="96"/>
  <c r="I642" i="96"/>
  <c r="I700" i="96" s="1"/>
  <c r="I520" i="96"/>
  <c r="I645" i="96"/>
  <c r="I635" i="96"/>
  <c r="I697" i="96" s="1"/>
  <c r="H367" i="96"/>
  <c r="P117" i="87"/>
  <c r="J106" i="91"/>
  <c r="H359" i="96"/>
  <c r="G440" i="96"/>
  <c r="G369" i="96"/>
  <c r="G370" i="96" s="1"/>
  <c r="I640" i="96"/>
  <c r="I526" i="96"/>
  <c r="F647" i="96" l="1"/>
  <c r="I874" i="96"/>
  <c r="I873" i="96" s="1"/>
  <c r="J51" i="123"/>
  <c r="J53" i="123" s="1"/>
  <c r="J52" i="123" s="1"/>
  <c r="I519" i="96"/>
  <c r="I872" i="96"/>
  <c r="I644" i="96"/>
  <c r="J642" i="96"/>
  <c r="J700" i="96" s="1"/>
  <c r="J526" i="96"/>
  <c r="J640" i="96"/>
  <c r="H362" i="96"/>
  <c r="H363" i="96" s="1"/>
  <c r="H369" i="96"/>
  <c r="H370" i="96" s="1"/>
  <c r="J635" i="96"/>
  <c r="J697" i="96" s="1"/>
  <c r="I361" i="96"/>
  <c r="I439" i="96"/>
  <c r="I357" i="96"/>
  <c r="I398" i="96"/>
  <c r="I396" i="96"/>
  <c r="I356" i="96"/>
  <c r="K73" i="91"/>
  <c r="I368" i="96"/>
  <c r="I211" i="96"/>
  <c r="I277" i="96"/>
  <c r="I864" i="96" s="1"/>
  <c r="I122" i="96"/>
  <c r="I397" i="96"/>
  <c r="I358" i="96"/>
  <c r="I434" i="96"/>
  <c r="I221" i="96"/>
  <c r="H440" i="96"/>
  <c r="I436" i="96"/>
  <c r="I438" i="96"/>
  <c r="I360" i="96"/>
  <c r="J520" i="96"/>
  <c r="J645" i="96"/>
  <c r="I359" i="96"/>
  <c r="I367" i="96"/>
  <c r="K106" i="91"/>
  <c r="Q117" i="87"/>
  <c r="J641" i="96"/>
  <c r="J527" i="96"/>
  <c r="J874" i="96" l="1"/>
  <c r="J873" i="96" s="1"/>
  <c r="K51" i="123"/>
  <c r="K53" i="123" s="1"/>
  <c r="K52" i="123" s="1"/>
  <c r="J519" i="96"/>
  <c r="I867" i="96"/>
  <c r="J872" i="96"/>
  <c r="J644" i="96"/>
  <c r="J439" i="96"/>
  <c r="J361" i="96"/>
  <c r="I362" i="96"/>
  <c r="I363" i="96" s="1"/>
  <c r="J436" i="96"/>
  <c r="K527" i="96"/>
  <c r="K641" i="96"/>
  <c r="K645" i="96"/>
  <c r="K520" i="96"/>
  <c r="L106" i="91"/>
  <c r="J359" i="96"/>
  <c r="R117" i="87"/>
  <c r="J367" i="96"/>
  <c r="I369" i="96"/>
  <c r="I370" i="96" s="1"/>
  <c r="J357" i="96"/>
  <c r="J398" i="96"/>
  <c r="K526" i="96"/>
  <c r="K640" i="96"/>
  <c r="J397" i="96"/>
  <c r="K642" i="96"/>
  <c r="K700" i="96" s="1"/>
  <c r="K635" i="96"/>
  <c r="K697" i="96" s="1"/>
  <c r="J360" i="96"/>
  <c r="J438" i="96"/>
  <c r="J358" i="96"/>
  <c r="J434" i="96"/>
  <c r="J221" i="96"/>
  <c r="J396" i="96"/>
  <c r="J211" i="96"/>
  <c r="J122" i="96"/>
  <c r="J277" i="96"/>
  <c r="J864" i="96" s="1"/>
  <c r="J356" i="96"/>
  <c r="J368" i="96"/>
  <c r="L73" i="91"/>
  <c r="I440" i="96"/>
  <c r="K874" i="96" l="1"/>
  <c r="K873" i="96" s="1"/>
  <c r="L51" i="123"/>
  <c r="L53" i="123" s="1"/>
  <c r="K872" i="96"/>
  <c r="J867" i="96"/>
  <c r="K519" i="96"/>
  <c r="K644" i="96"/>
  <c r="L642" i="96"/>
  <c r="L700" i="96" s="1"/>
  <c r="L635" i="96"/>
  <c r="L697" i="96" s="1"/>
  <c r="K396" i="96"/>
  <c r="K211" i="96"/>
  <c r="K356" i="96"/>
  <c r="M73" i="91"/>
  <c r="K368" i="96"/>
  <c r="K277" i="96"/>
  <c r="K864" i="96" s="1"/>
  <c r="K122" i="96"/>
  <c r="L526" i="96"/>
  <c r="L640" i="96"/>
  <c r="K398" i="96"/>
  <c r="K357" i="96"/>
  <c r="K434" i="96"/>
  <c r="K358" i="96"/>
  <c r="K221" i="96"/>
  <c r="K436" i="96"/>
  <c r="L645" i="96"/>
  <c r="L520" i="96"/>
  <c r="L641" i="96"/>
  <c r="L527" i="96"/>
  <c r="J369" i="96"/>
  <c r="J370" i="96" s="1"/>
  <c r="S117" i="87"/>
  <c r="K359" i="96"/>
  <c r="K367" i="96"/>
  <c r="M106" i="91"/>
  <c r="K438" i="96"/>
  <c r="K360" i="96"/>
  <c r="J362" i="96"/>
  <c r="J363" i="96" s="1"/>
  <c r="J440" i="96"/>
  <c r="K439" i="96"/>
  <c r="K361" i="96"/>
  <c r="K397" i="96"/>
  <c r="L874" i="96" l="1"/>
  <c r="L873" i="96" s="1"/>
  <c r="L52" i="123"/>
  <c r="L867" i="96"/>
  <c r="K867" i="96"/>
  <c r="L872" i="96"/>
  <c r="N73" i="91"/>
  <c r="L519" i="96"/>
  <c r="L644" i="96"/>
  <c r="L396" i="96"/>
  <c r="L211" i="96"/>
  <c r="L368" i="96"/>
  <c r="L356" i="96"/>
  <c r="L277" i="96"/>
  <c r="L864" i="96" s="1"/>
  <c r="L122" i="96"/>
  <c r="S397" i="96"/>
  <c r="L438" i="96"/>
  <c r="L360" i="96"/>
  <c r="L357" i="96"/>
  <c r="L398" i="96"/>
  <c r="L397" i="96"/>
  <c r="K362" i="96"/>
  <c r="K363" i="96" s="1"/>
  <c r="K440" i="96"/>
  <c r="L439" i="96"/>
  <c r="L361" i="96"/>
  <c r="K369" i="96"/>
  <c r="K370" i="96" s="1"/>
  <c r="S435" i="96"/>
  <c r="L358" i="96"/>
  <c r="L434" i="96"/>
  <c r="L221" i="96"/>
  <c r="L436" i="96"/>
  <c r="T117" i="87"/>
  <c r="N106" i="91"/>
  <c r="L367" i="96"/>
  <c r="L359" i="96"/>
  <c r="L440" i="96" l="1"/>
  <c r="S434" i="96" s="1"/>
  <c r="S436" i="96" s="1"/>
  <c r="L369" i="96"/>
  <c r="L362" i="96"/>
  <c r="S396" i="96"/>
  <c r="S398" i="96" s="1"/>
  <c r="S359" i="96" l="1"/>
  <c r="L370" i="96"/>
  <c r="S358" i="96"/>
  <c r="L363" i="96"/>
  <c r="S357" i="96"/>
  <c r="S360" i="96" l="1"/>
  <c r="N139" i="87" l="1"/>
  <c r="F669" i="96" l="1"/>
  <c r="F655" i="96" s="1"/>
  <c r="H128" i="91"/>
  <c r="F668" i="96" l="1"/>
  <c r="F654" i="96" s="1"/>
  <c r="H127" i="91"/>
  <c r="N138" i="87"/>
  <c r="N140" i="87"/>
  <c r="F670" i="96"/>
  <c r="H129" i="91"/>
  <c r="F667" i="96"/>
  <c r="F653" i="96" s="1"/>
  <c r="H126" i="91"/>
  <c r="N137" i="87"/>
  <c r="G669" i="96"/>
  <c r="G655" i="96" s="1"/>
  <c r="O139" i="87"/>
  <c r="I128" i="91"/>
  <c r="F656" i="96" l="1"/>
  <c r="F718" i="96"/>
  <c r="F709" i="96" s="1"/>
  <c r="H669" i="96"/>
  <c r="H655" i="96" s="1"/>
  <c r="P139" i="87"/>
  <c r="J128" i="91"/>
  <c r="I669" i="96" l="1"/>
  <c r="I655" i="96" s="1"/>
  <c r="K128" i="91"/>
  <c r="Q139" i="87"/>
  <c r="G668" i="96"/>
  <c r="G654" i="96" s="1"/>
  <c r="O138" i="87"/>
  <c r="I127" i="91"/>
  <c r="G670" i="96"/>
  <c r="O140" i="87"/>
  <c r="I129" i="91"/>
  <c r="G656" i="96" l="1"/>
  <c r="G718" i="96"/>
  <c r="G709" i="96" s="1"/>
  <c r="O142" i="87"/>
  <c r="H670" i="96"/>
  <c r="J129" i="91"/>
  <c r="P140" i="87"/>
  <c r="H668" i="96"/>
  <c r="H654" i="96" s="1"/>
  <c r="J127" i="91"/>
  <c r="P138" i="87"/>
  <c r="J669" i="96"/>
  <c r="J655" i="96" s="1"/>
  <c r="L128" i="91"/>
  <c r="R139" i="87"/>
  <c r="H656" i="96" l="1"/>
  <c r="H718" i="96"/>
  <c r="H709" i="96" s="1"/>
  <c r="I131" i="91"/>
  <c r="G672" i="96"/>
  <c r="G658" i="96" s="1"/>
  <c r="I668" i="96"/>
  <c r="I654" i="96" s="1"/>
  <c r="K127" i="91"/>
  <c r="Q138" i="87"/>
  <c r="I670" i="96"/>
  <c r="Q140" i="87"/>
  <c r="K129" i="91"/>
  <c r="I656" i="96" l="1"/>
  <c r="I718" i="96"/>
  <c r="I709" i="96" s="1"/>
  <c r="H672" i="96"/>
  <c r="H658" i="96" s="1"/>
  <c r="J131" i="91"/>
  <c r="P142" i="87"/>
  <c r="N128" i="91"/>
  <c r="I672" i="96"/>
  <c r="I658" i="96" s="1"/>
  <c r="J670" i="96"/>
  <c r="R140" i="87"/>
  <c r="L129" i="91"/>
  <c r="K669" i="96"/>
  <c r="K655" i="96" s="1"/>
  <c r="S139" i="87"/>
  <c r="M128" i="91"/>
  <c r="J668" i="96"/>
  <c r="J654" i="96" s="1"/>
  <c r="L127" i="91"/>
  <c r="R138" i="87"/>
  <c r="L669" i="96"/>
  <c r="L655" i="96" s="1"/>
  <c r="T139" i="87"/>
  <c r="J656" i="96" l="1"/>
  <c r="J718" i="96"/>
  <c r="J709" i="96" s="1"/>
  <c r="K131" i="91"/>
  <c r="Q142" i="87"/>
  <c r="L131" i="91"/>
  <c r="R142" i="87" l="1"/>
  <c r="N127" i="91"/>
  <c r="J672" i="96"/>
  <c r="J658" i="96" s="1"/>
  <c r="K670" i="96"/>
  <c r="S140" i="87"/>
  <c r="M129" i="91"/>
  <c r="K668" i="96"/>
  <c r="K654" i="96" s="1"/>
  <c r="M127" i="91"/>
  <c r="S138" i="87"/>
  <c r="K656" i="96" l="1"/>
  <c r="K718" i="96"/>
  <c r="K709" i="96" s="1"/>
  <c r="T138" i="87"/>
  <c r="L668" i="96"/>
  <c r="L654" i="96" s="1"/>
  <c r="T140" i="87"/>
  <c r="N129" i="91"/>
  <c r="L670" i="96"/>
  <c r="N131" i="91"/>
  <c r="S142" i="87"/>
  <c r="M131" i="91"/>
  <c r="K672" i="96"/>
  <c r="K658" i="96" s="1"/>
  <c r="L656" i="96" l="1"/>
  <c r="L718" i="96"/>
  <c r="L709" i="96" s="1"/>
  <c r="L672" i="96"/>
  <c r="L658" i="96" s="1"/>
  <c r="T142" i="87"/>
  <c r="F809" i="96" l="1"/>
  <c r="F799" i="96" s="1"/>
  <c r="N90" i="87"/>
  <c r="U90" i="87" s="1"/>
  <c r="N149" i="87"/>
  <c r="H138" i="91"/>
  <c r="I138" i="91" l="1"/>
  <c r="O90" i="87"/>
  <c r="V90" i="87" s="1"/>
  <c r="G809" i="96"/>
  <c r="G799" i="96" s="1"/>
  <c r="O149" i="87"/>
  <c r="J142" i="91" l="1"/>
  <c r="H857" i="96"/>
  <c r="H849" i="96" s="1"/>
  <c r="P149" i="87"/>
  <c r="J138" i="91"/>
  <c r="P90" i="87"/>
  <c r="W90" i="87" s="1"/>
  <c r="H809" i="96"/>
  <c r="H799" i="96" s="1"/>
  <c r="K142" i="91" l="1"/>
  <c r="I857" i="96"/>
  <c r="I849" i="96" s="1"/>
  <c r="I809" i="96"/>
  <c r="I799" i="96" s="1"/>
  <c r="K138" i="91"/>
  <c r="Q90" i="87"/>
  <c r="X90" i="87" s="1"/>
  <c r="Q149" i="87"/>
  <c r="L142" i="91" l="1"/>
  <c r="J857" i="96"/>
  <c r="J849" i="96" s="1"/>
  <c r="K857" i="96"/>
  <c r="K849" i="96" s="1"/>
  <c r="R90" i="87"/>
  <c r="L138" i="91"/>
  <c r="R149" i="87"/>
  <c r="J809" i="96"/>
  <c r="J799" i="96" s="1"/>
  <c r="N142" i="91" l="1"/>
  <c r="L857" i="96"/>
  <c r="L849" i="96" s="1"/>
  <c r="M142" i="91"/>
  <c r="S90" i="87"/>
  <c r="K809" i="96"/>
  <c r="K799" i="96" s="1"/>
  <c r="M138" i="91"/>
  <c r="S149" i="87"/>
  <c r="L809" i="96" l="1"/>
  <c r="L799" i="96" s="1"/>
  <c r="T90" i="87"/>
  <c r="N138" i="91"/>
  <c r="T149" i="87"/>
  <c r="F142" i="96" l="1"/>
  <c r="H226" i="91"/>
  <c r="N98" i="87"/>
  <c r="H87" i="91"/>
  <c r="H86" i="91"/>
  <c r="N97" i="87"/>
  <c r="F759" i="96"/>
  <c r="N146" i="87"/>
  <c r="H135" i="91"/>
  <c r="F673" i="96"/>
  <c r="F659" i="96" s="1"/>
  <c r="N143" i="87"/>
  <c r="H132" i="91"/>
  <c r="H227" i="91" l="1"/>
  <c r="F143" i="96"/>
  <c r="N42" i="87" s="1"/>
  <c r="N147" i="87"/>
  <c r="F760" i="96"/>
  <c r="F754" i="96" s="1"/>
  <c r="F753" i="96"/>
  <c r="F810" i="96"/>
  <c r="H151" i="91"/>
  <c r="N41" i="87"/>
  <c r="H136" i="91"/>
  <c r="N89" i="87"/>
  <c r="U89" i="87" s="1"/>
  <c r="H137" i="91"/>
  <c r="H93" i="91"/>
  <c r="N104" i="87"/>
  <c r="N100" i="87"/>
  <c r="H89" i="91"/>
  <c r="N73" i="87"/>
  <c r="N103" i="87"/>
  <c r="H92" i="91"/>
  <c r="N84" i="87"/>
  <c r="H96" i="91"/>
  <c r="N107" i="87"/>
  <c r="N102" i="87"/>
  <c r="H91" i="91"/>
  <c r="F455" i="96"/>
  <c r="N111" i="87"/>
  <c r="N85" i="87" s="1"/>
  <c r="H100" i="91"/>
  <c r="H84" i="91"/>
  <c r="N95" i="87"/>
  <c r="N72" i="87" s="1"/>
  <c r="F136" i="96"/>
  <c r="H94" i="91"/>
  <c r="N105" i="87"/>
  <c r="N101" i="87"/>
  <c r="H90" i="91"/>
  <c r="N96" i="87"/>
  <c r="N83" i="87" s="1"/>
  <c r="H85" i="91"/>
  <c r="N110" i="87"/>
  <c r="N74" i="87" s="1"/>
  <c r="H99" i="91"/>
  <c r="F808" i="96"/>
  <c r="N148" i="87"/>
  <c r="H152" i="91"/>
  <c r="N134" i="87"/>
  <c r="F664" i="96"/>
  <c r="H123" i="91"/>
  <c r="F650" i="96" l="1"/>
  <c r="F716" i="96"/>
  <c r="F707" i="96" s="1"/>
  <c r="F813" i="96"/>
  <c r="F803" i="96" s="1"/>
  <c r="F800" i="96"/>
  <c r="N35" i="87"/>
  <c r="O97" i="87"/>
  <c r="I86" i="91"/>
  <c r="F407" i="96"/>
  <c r="F402" i="96" s="1"/>
  <c r="N114" i="87"/>
  <c r="H103" i="91"/>
  <c r="F454" i="96"/>
  <c r="H107" i="91"/>
  <c r="N118" i="87"/>
  <c r="F139" i="96"/>
  <c r="N38" i="87" s="1"/>
  <c r="F406" i="96"/>
  <c r="H223" i="91"/>
  <c r="H148" i="91" s="1"/>
  <c r="N113" i="87"/>
  <c r="N75" i="87"/>
  <c r="H102" i="91"/>
  <c r="F408" i="96"/>
  <c r="F403" i="96" s="1"/>
  <c r="N115" i="87"/>
  <c r="H104" i="91"/>
  <c r="F456" i="96"/>
  <c r="F447" i="96" s="1"/>
  <c r="H109" i="91"/>
  <c r="N120" i="87"/>
  <c r="I87" i="91"/>
  <c r="O98" i="87"/>
  <c r="F452" i="96"/>
  <c r="N116" i="87"/>
  <c r="H105" i="91"/>
  <c r="N86" i="87"/>
  <c r="F457" i="96"/>
  <c r="F448" i="96" s="1"/>
  <c r="N121" i="87"/>
  <c r="H110" i="91"/>
  <c r="F573" i="96"/>
  <c r="F714" i="96" s="1"/>
  <c r="H118" i="91"/>
  <c r="N77" i="87"/>
  <c r="N129" i="87"/>
  <c r="H221" i="91"/>
  <c r="F663" i="96"/>
  <c r="F715" i="96" s="1"/>
  <c r="F706" i="96" s="1"/>
  <c r="H122" i="91"/>
  <c r="N133" i="87"/>
  <c r="G673" i="96"/>
  <c r="G659" i="96" s="1"/>
  <c r="I132" i="91"/>
  <c r="O143" i="87"/>
  <c r="F157" i="96"/>
  <c r="J143" i="91" l="1"/>
  <c r="H858" i="96"/>
  <c r="H850" i="96" s="1"/>
  <c r="F705" i="96"/>
  <c r="G810" i="96"/>
  <c r="O147" i="87"/>
  <c r="I136" i="91"/>
  <c r="I91" i="91"/>
  <c r="O102" i="87"/>
  <c r="F443" i="96"/>
  <c r="I94" i="91"/>
  <c r="O105" i="87"/>
  <c r="I100" i="91"/>
  <c r="O111" i="87"/>
  <c r="O85" i="87" s="1"/>
  <c r="I84" i="91"/>
  <c r="G136" i="96"/>
  <c r="O95" i="87"/>
  <c r="O72" i="87" s="1"/>
  <c r="F458" i="96"/>
  <c r="F449" i="96" s="1"/>
  <c r="F445" i="96"/>
  <c r="N106" i="87"/>
  <c r="H95" i="91"/>
  <c r="F137" i="96"/>
  <c r="I92" i="91"/>
  <c r="O84" i="87"/>
  <c r="O103" i="87"/>
  <c r="P98" i="87"/>
  <c r="J87" i="91"/>
  <c r="J86" i="91"/>
  <c r="P97" i="87"/>
  <c r="I93" i="91"/>
  <c r="O104" i="87"/>
  <c r="I85" i="91"/>
  <c r="O96" i="87"/>
  <c r="O83" i="87" s="1"/>
  <c r="F576" i="96"/>
  <c r="F568" i="96" s="1"/>
  <c r="F565" i="96"/>
  <c r="F409" i="96"/>
  <c r="F401" i="96"/>
  <c r="G143" i="96"/>
  <c r="G759" i="96"/>
  <c r="I135" i="91"/>
  <c r="O146" i="87"/>
  <c r="O89" i="87"/>
  <c r="V89" i="87" s="1"/>
  <c r="H673" i="96"/>
  <c r="H659" i="96" s="1"/>
  <c r="J132" i="91"/>
  <c r="P143" i="87"/>
  <c r="F649" i="96"/>
  <c r="J136" i="91"/>
  <c r="H810" i="96"/>
  <c r="I858" i="96" l="1"/>
  <c r="I850" i="96" s="1"/>
  <c r="K143" i="91"/>
  <c r="I227" i="91"/>
  <c r="I152" i="91" s="1"/>
  <c r="G800" i="96"/>
  <c r="H800" i="96"/>
  <c r="P147" i="87"/>
  <c r="G452" i="96"/>
  <c r="J94" i="91"/>
  <c r="P105" i="87"/>
  <c r="I110" i="91"/>
  <c r="O121" i="87"/>
  <c r="G457" i="96"/>
  <c r="G448" i="96" s="1"/>
  <c r="O114" i="87"/>
  <c r="I103" i="91"/>
  <c r="G407" i="96"/>
  <c r="G402" i="96" s="1"/>
  <c r="K87" i="91"/>
  <c r="Q98" i="87"/>
  <c r="O73" i="87"/>
  <c r="O101" i="87"/>
  <c r="I90" i="91"/>
  <c r="J93" i="91"/>
  <c r="P104" i="87"/>
  <c r="J84" i="91"/>
  <c r="P95" i="87"/>
  <c r="P72" i="87" s="1"/>
  <c r="P111" i="87"/>
  <c r="P85" i="87" s="1"/>
  <c r="J100" i="91"/>
  <c r="J92" i="91"/>
  <c r="P84" i="87"/>
  <c r="P103" i="87"/>
  <c r="G454" i="96"/>
  <c r="G445" i="96" s="1"/>
  <c r="I107" i="91"/>
  <c r="O118" i="87"/>
  <c r="G456" i="96"/>
  <c r="G447" i="96" s="1"/>
  <c r="I109" i="91"/>
  <c r="O120" i="87"/>
  <c r="O115" i="87"/>
  <c r="I104" i="91"/>
  <c r="G408" i="96"/>
  <c r="G403" i="96" s="1"/>
  <c r="O35" i="87"/>
  <c r="I99" i="91"/>
  <c r="O110" i="87"/>
  <c r="O74" i="87" s="1"/>
  <c r="P102" i="87"/>
  <c r="J91" i="91"/>
  <c r="Q97" i="87"/>
  <c r="K86" i="91"/>
  <c r="I673" i="96"/>
  <c r="I659" i="96" s="1"/>
  <c r="Q143" i="87"/>
  <c r="K132" i="91"/>
  <c r="P146" i="87"/>
  <c r="H759" i="96"/>
  <c r="J135" i="91"/>
  <c r="P89" i="87"/>
  <c r="W89" i="87" s="1"/>
  <c r="G808" i="96"/>
  <c r="G813" i="96" s="1"/>
  <c r="I137" i="91"/>
  <c r="O42" i="87"/>
  <c r="O148" i="87"/>
  <c r="O79" i="87" s="1"/>
  <c r="V79" i="87" s="1"/>
  <c r="G753" i="96"/>
  <c r="I123" i="91"/>
  <c r="G664" i="96"/>
  <c r="O134" i="87"/>
  <c r="L143" i="91" l="1"/>
  <c r="J858" i="96"/>
  <c r="J850" i="96" s="1"/>
  <c r="H136" i="96"/>
  <c r="P35" i="87" s="1"/>
  <c r="G650" i="96"/>
  <c r="G716" i="96"/>
  <c r="G707" i="96" s="1"/>
  <c r="Q147" i="87"/>
  <c r="J85" i="91"/>
  <c r="P96" i="87"/>
  <c r="P83" i="87" s="1"/>
  <c r="I105" i="91"/>
  <c r="I810" i="96"/>
  <c r="K136" i="91"/>
  <c r="Q95" i="87"/>
  <c r="Q72" i="87" s="1"/>
  <c r="O116" i="87"/>
  <c r="O86" i="87"/>
  <c r="I102" i="91"/>
  <c r="O113" i="87"/>
  <c r="I223" i="91"/>
  <c r="I148" i="91" s="1"/>
  <c r="G139" i="96"/>
  <c r="O38" i="87" s="1"/>
  <c r="O75" i="87"/>
  <c r="G406" i="96"/>
  <c r="P114" i="87"/>
  <c r="J103" i="91"/>
  <c r="H407" i="96"/>
  <c r="H402" i="96" s="1"/>
  <c r="Q96" i="87"/>
  <c r="Q83" i="87" s="1"/>
  <c r="J109" i="91"/>
  <c r="H456" i="96"/>
  <c r="H447" i="96" s="1"/>
  <c r="P120" i="87"/>
  <c r="K93" i="91"/>
  <c r="Q104" i="87"/>
  <c r="Q111" i="87"/>
  <c r="Q85" i="87" s="1"/>
  <c r="K100" i="91"/>
  <c r="R97" i="87"/>
  <c r="L86" i="91"/>
  <c r="Q102" i="87"/>
  <c r="K91" i="91"/>
  <c r="Q105" i="87"/>
  <c r="K94" i="91"/>
  <c r="J99" i="91"/>
  <c r="P110" i="87"/>
  <c r="P74" i="87" s="1"/>
  <c r="P101" i="87"/>
  <c r="J90" i="91"/>
  <c r="P73" i="87"/>
  <c r="K92" i="91"/>
  <c r="Q84" i="87"/>
  <c r="Q103" i="87"/>
  <c r="H457" i="96"/>
  <c r="H448" i="96" s="1"/>
  <c r="P121" i="87"/>
  <c r="J110" i="91"/>
  <c r="K84" i="91"/>
  <c r="H454" i="96"/>
  <c r="H445" i="96" s="1"/>
  <c r="J107" i="91"/>
  <c r="P118" i="87"/>
  <c r="R98" i="87"/>
  <c r="L87" i="91"/>
  <c r="G443" i="96"/>
  <c r="G458" i="96"/>
  <c r="G449" i="96" s="1"/>
  <c r="H408" i="96"/>
  <c r="H403" i="96" s="1"/>
  <c r="J104" i="91"/>
  <c r="P115" i="87"/>
  <c r="Q146" i="87"/>
  <c r="I759" i="96"/>
  <c r="K135" i="91"/>
  <c r="Q89" i="87"/>
  <c r="X89" i="87" s="1"/>
  <c r="G798" i="96"/>
  <c r="J673" i="96"/>
  <c r="J659" i="96" s="1"/>
  <c r="R143" i="87"/>
  <c r="L132" i="91"/>
  <c r="H753" i="96"/>
  <c r="G663" i="96"/>
  <c r="G715" i="96" s="1"/>
  <c r="G706" i="96" s="1"/>
  <c r="O133" i="87"/>
  <c r="I122" i="91"/>
  <c r="P134" i="87"/>
  <c r="H664" i="96"/>
  <c r="J123" i="91"/>
  <c r="M143" i="91" l="1"/>
  <c r="K858" i="96"/>
  <c r="K850" i="96" s="1"/>
  <c r="H650" i="96"/>
  <c r="H716" i="96"/>
  <c r="H707" i="96" s="1"/>
  <c r="R147" i="87"/>
  <c r="I800" i="96"/>
  <c r="J810" i="96"/>
  <c r="I136" i="96"/>
  <c r="Q35" i="87" s="1"/>
  <c r="K85" i="91"/>
  <c r="L85" i="91"/>
  <c r="J105" i="91"/>
  <c r="R95" i="87"/>
  <c r="R72" i="87" s="1"/>
  <c r="L136" i="91"/>
  <c r="I452" i="96"/>
  <c r="P86" i="87"/>
  <c r="P116" i="87"/>
  <c r="H452" i="96"/>
  <c r="H458" i="96" s="1"/>
  <c r="H449" i="96" s="1"/>
  <c r="L93" i="91"/>
  <c r="R104" i="87"/>
  <c r="I95" i="91"/>
  <c r="O106" i="87"/>
  <c r="L94" i="91"/>
  <c r="R105" i="87"/>
  <c r="L84" i="91"/>
  <c r="K99" i="91"/>
  <c r="Q110" i="87"/>
  <c r="Q74" i="87" s="1"/>
  <c r="L91" i="91"/>
  <c r="R102" i="87"/>
  <c r="R111" i="87"/>
  <c r="R85" i="87" s="1"/>
  <c r="L100" i="91"/>
  <c r="I456" i="96"/>
  <c r="I447" i="96" s="1"/>
  <c r="Q120" i="87"/>
  <c r="K109" i="91"/>
  <c r="R84" i="87"/>
  <c r="L92" i="91"/>
  <c r="R103" i="87"/>
  <c r="N112" i="87"/>
  <c r="H101" i="91"/>
  <c r="H222" i="91"/>
  <c r="H147" i="91" s="1"/>
  <c r="F138" i="96"/>
  <c r="P113" i="87"/>
  <c r="J102" i="91"/>
  <c r="H406" i="96"/>
  <c r="J223" i="91"/>
  <c r="J148" i="91" s="1"/>
  <c r="H139" i="96"/>
  <c r="P38" i="87" s="1"/>
  <c r="P75" i="87"/>
  <c r="Q114" i="87"/>
  <c r="K103" i="91"/>
  <c r="I407" i="96"/>
  <c r="I402" i="96" s="1"/>
  <c r="I408" i="96"/>
  <c r="I403" i="96" s="1"/>
  <c r="K104" i="91"/>
  <c r="Q115" i="87"/>
  <c r="R96" i="87"/>
  <c r="R83" i="87" s="1"/>
  <c r="K110" i="91"/>
  <c r="Q121" i="87"/>
  <c r="I457" i="96"/>
  <c r="I448" i="96" s="1"/>
  <c r="I454" i="96"/>
  <c r="I445" i="96" s="1"/>
  <c r="K107" i="91"/>
  <c r="Q118" i="87"/>
  <c r="K90" i="91"/>
  <c r="Q73" i="87"/>
  <c r="Q101" i="87"/>
  <c r="G409" i="96"/>
  <c r="G401" i="96"/>
  <c r="R146" i="87"/>
  <c r="L135" i="91"/>
  <c r="J759" i="96"/>
  <c r="R89" i="87"/>
  <c r="H663" i="96"/>
  <c r="H715" i="96" s="1"/>
  <c r="H706" i="96" s="1"/>
  <c r="P133" i="87"/>
  <c r="J122" i="91"/>
  <c r="I664" i="96"/>
  <c r="Q134" i="87"/>
  <c r="K123" i="91"/>
  <c r="I753" i="96"/>
  <c r="G649" i="96"/>
  <c r="G814" i="96"/>
  <c r="G803" i="96"/>
  <c r="G804" i="96" s="1"/>
  <c r="I650" i="96" l="1"/>
  <c r="I716" i="96"/>
  <c r="I707" i="96" s="1"/>
  <c r="Q86" i="87"/>
  <c r="S147" i="87"/>
  <c r="K105" i="91"/>
  <c r="J800" i="96"/>
  <c r="H443" i="96"/>
  <c r="J136" i="96"/>
  <c r="R35" i="87" s="1"/>
  <c r="Q116" i="87"/>
  <c r="L105" i="91"/>
  <c r="R101" i="87"/>
  <c r="R73" i="87"/>
  <c r="L90" i="91"/>
  <c r="R110" i="87"/>
  <c r="R74" i="87" s="1"/>
  <c r="L99" i="91"/>
  <c r="R116" i="87"/>
  <c r="J408" i="96"/>
  <c r="J403" i="96" s="1"/>
  <c r="L104" i="91"/>
  <c r="R115" i="87"/>
  <c r="P106" i="87"/>
  <c r="J95" i="91"/>
  <c r="R118" i="87"/>
  <c r="L107" i="91"/>
  <c r="J454" i="96"/>
  <c r="J445" i="96" s="1"/>
  <c r="R121" i="87"/>
  <c r="L110" i="91"/>
  <c r="J457" i="96"/>
  <c r="J448" i="96" s="1"/>
  <c r="N37" i="87"/>
  <c r="J456" i="96"/>
  <c r="J447" i="96" s="1"/>
  <c r="L109" i="91"/>
  <c r="R120" i="87"/>
  <c r="Q75" i="87"/>
  <c r="Q113" i="87"/>
  <c r="I139" i="96"/>
  <c r="Q38" i="87" s="1"/>
  <c r="I406" i="96"/>
  <c r="K223" i="91"/>
  <c r="K148" i="91" s="1"/>
  <c r="K102" i="91"/>
  <c r="I458" i="96"/>
  <c r="I449" i="96" s="1"/>
  <c r="I443" i="96"/>
  <c r="S97" i="87"/>
  <c r="M86" i="91"/>
  <c r="J407" i="96"/>
  <c r="J402" i="96" s="1"/>
  <c r="R114" i="87"/>
  <c r="L103" i="91"/>
  <c r="N87" i="91"/>
  <c r="T98" i="87"/>
  <c r="M87" i="91"/>
  <c r="S98" i="87"/>
  <c r="H409" i="96"/>
  <c r="H401" i="96"/>
  <c r="L123" i="91"/>
  <c r="R134" i="87"/>
  <c r="J664" i="96"/>
  <c r="I663" i="96"/>
  <c r="I715" i="96" s="1"/>
  <c r="I706" i="96" s="1"/>
  <c r="Q133" i="87"/>
  <c r="K122" i="91"/>
  <c r="S146" i="87"/>
  <c r="M135" i="91"/>
  <c r="K759" i="96"/>
  <c r="S89" i="87"/>
  <c r="J753" i="96"/>
  <c r="H649" i="96"/>
  <c r="K673" i="96"/>
  <c r="K659" i="96" s="1"/>
  <c r="M132" i="91"/>
  <c r="S143" i="87"/>
  <c r="K810" i="96"/>
  <c r="M136" i="91"/>
  <c r="N143" i="91" l="1"/>
  <c r="L858" i="96"/>
  <c r="L850" i="96" s="1"/>
  <c r="J650" i="96"/>
  <c r="J716" i="96"/>
  <c r="J707" i="96" s="1"/>
  <c r="J452" i="96"/>
  <c r="J458" i="96" s="1"/>
  <c r="J449" i="96" s="1"/>
  <c r="K800" i="96"/>
  <c r="T143" i="87"/>
  <c r="T147" i="87"/>
  <c r="R86" i="87"/>
  <c r="N132" i="91"/>
  <c r="L673" i="96"/>
  <c r="L659" i="96" s="1"/>
  <c r="L810" i="96"/>
  <c r="N136" i="91"/>
  <c r="T97" i="87"/>
  <c r="N86" i="91"/>
  <c r="P112" i="87"/>
  <c r="J101" i="91"/>
  <c r="J222" i="91"/>
  <c r="J147" i="91" s="1"/>
  <c r="H138" i="96"/>
  <c r="S102" i="87"/>
  <c r="M91" i="91"/>
  <c r="M94" i="91"/>
  <c r="S105" i="87"/>
  <c r="S111" i="87"/>
  <c r="S85" i="87" s="1"/>
  <c r="M100" i="91"/>
  <c r="S84" i="87"/>
  <c r="M92" i="91"/>
  <c r="S103" i="87"/>
  <c r="T96" i="87"/>
  <c r="T83" i="87" s="1"/>
  <c r="N85" i="91"/>
  <c r="M99" i="91"/>
  <c r="S110" i="87"/>
  <c r="S74" i="87" s="1"/>
  <c r="N93" i="91"/>
  <c r="T104" i="87"/>
  <c r="I409" i="96"/>
  <c r="I401" i="96"/>
  <c r="S101" i="87"/>
  <c r="M90" i="91"/>
  <c r="S73" i="87"/>
  <c r="T102" i="87"/>
  <c r="N91" i="91"/>
  <c r="M93" i="91"/>
  <c r="S104" i="87"/>
  <c r="N92" i="91"/>
  <c r="S95" i="87"/>
  <c r="S72" i="87" s="1"/>
  <c r="M84" i="91"/>
  <c r="K136" i="96"/>
  <c r="Q106" i="87"/>
  <c r="K95" i="91"/>
  <c r="S96" i="87"/>
  <c r="S83" i="87" s="1"/>
  <c r="M85" i="91"/>
  <c r="R113" i="87"/>
  <c r="L102" i="91"/>
  <c r="J139" i="96"/>
  <c r="R38" i="87" s="1"/>
  <c r="J406" i="96"/>
  <c r="R75" i="87"/>
  <c r="L223" i="91"/>
  <c r="L148" i="91" s="1"/>
  <c r="K753" i="96"/>
  <c r="T146" i="87"/>
  <c r="L759" i="96"/>
  <c r="N135" i="91"/>
  <c r="T89" i="87"/>
  <c r="I649" i="96"/>
  <c r="S134" i="87"/>
  <c r="M123" i="91"/>
  <c r="K664" i="96"/>
  <c r="J663" i="96"/>
  <c r="J715" i="96" s="1"/>
  <c r="J706" i="96" s="1"/>
  <c r="L122" i="91"/>
  <c r="R133" i="87"/>
  <c r="K650" i="96" l="1"/>
  <c r="K716" i="96"/>
  <c r="K707" i="96" s="1"/>
  <c r="T95" i="87"/>
  <c r="T72" i="87" s="1"/>
  <c r="J443" i="96"/>
  <c r="L136" i="96"/>
  <c r="N84" i="91"/>
  <c r="L800" i="96"/>
  <c r="N94" i="91"/>
  <c r="T105" i="87"/>
  <c r="T111" i="87"/>
  <c r="T85" i="87" s="1"/>
  <c r="N100" i="91"/>
  <c r="T84" i="87"/>
  <c r="T103" i="87"/>
  <c r="T115" i="87"/>
  <c r="N109" i="91"/>
  <c r="S35" i="87"/>
  <c r="L454" i="96"/>
  <c r="L445" i="96" s="1"/>
  <c r="T118" i="87"/>
  <c r="N107" i="91"/>
  <c r="L408" i="96"/>
  <c r="L403" i="96" s="1"/>
  <c r="N104" i="91"/>
  <c r="Q112" i="87"/>
  <c r="K101" i="91"/>
  <c r="I138" i="96"/>
  <c r="K222" i="91"/>
  <c r="K147" i="91" s="1"/>
  <c r="L457" i="96"/>
  <c r="L448" i="96" s="1"/>
  <c r="T121" i="87"/>
  <c r="N110" i="91"/>
  <c r="M104" i="91"/>
  <c r="K408" i="96"/>
  <c r="K403" i="96" s="1"/>
  <c r="S115" i="87"/>
  <c r="L95" i="91"/>
  <c r="R106" i="87"/>
  <c r="T35" i="87"/>
  <c r="M103" i="91"/>
  <c r="S114" i="87"/>
  <c r="K407" i="96"/>
  <c r="K402" i="96" s="1"/>
  <c r="K457" i="96"/>
  <c r="K448" i="96" s="1"/>
  <c r="M110" i="91"/>
  <c r="S121" i="87"/>
  <c r="L407" i="96"/>
  <c r="L402" i="96" s="1"/>
  <c r="T114" i="87"/>
  <c r="N103" i="91"/>
  <c r="M223" i="91"/>
  <c r="M148" i="91" s="1"/>
  <c r="S75" i="87"/>
  <c r="M102" i="91"/>
  <c r="S113" i="87"/>
  <c r="K139" i="96"/>
  <c r="K406" i="96"/>
  <c r="P37" i="87"/>
  <c r="J409" i="96"/>
  <c r="J401" i="96"/>
  <c r="N99" i="91"/>
  <c r="T110" i="87"/>
  <c r="T74" i="87" s="1"/>
  <c r="S86" i="87"/>
  <c r="M105" i="91"/>
  <c r="K452" i="96"/>
  <c r="S116" i="87"/>
  <c r="T101" i="87"/>
  <c r="N90" i="91"/>
  <c r="T73" i="87"/>
  <c r="M107" i="91"/>
  <c r="K454" i="96"/>
  <c r="K445" i="96" s="1"/>
  <c r="S118" i="87"/>
  <c r="M109" i="91"/>
  <c r="S120" i="87"/>
  <c r="K456" i="96"/>
  <c r="K447" i="96" s="1"/>
  <c r="J649" i="96"/>
  <c r="K663" i="96"/>
  <c r="K715" i="96" s="1"/>
  <c r="K706" i="96" s="1"/>
  <c r="S133" i="87"/>
  <c r="M122" i="91"/>
  <c r="L753" i="96"/>
  <c r="N123" i="91"/>
  <c r="T134" i="87"/>
  <c r="L664" i="96"/>
  <c r="G31" i="76"/>
  <c r="F31" i="76"/>
  <c r="E31" i="76"/>
  <c r="T120" i="87" l="1"/>
  <c r="L456" i="96"/>
  <c r="L447" i="96" s="1"/>
  <c r="S453" i="96"/>
  <c r="L650" i="96"/>
  <c r="L716" i="96"/>
  <c r="L707" i="96" s="1"/>
  <c r="T86" i="87"/>
  <c r="L452" i="96"/>
  <c r="N223" i="91"/>
  <c r="T116" i="87"/>
  <c r="N105" i="91"/>
  <c r="L101" i="91"/>
  <c r="R112" i="87"/>
  <c r="J138" i="96"/>
  <c r="L222" i="91"/>
  <c r="L147" i="91" s="1"/>
  <c r="L443" i="96"/>
  <c r="K401" i="96"/>
  <c r="K409" i="96"/>
  <c r="M95" i="91"/>
  <c r="S106" i="87"/>
  <c r="K443" i="96"/>
  <c r="K458" i="96"/>
  <c r="K449" i="96" s="1"/>
  <c r="L406" i="96"/>
  <c r="L139" i="96"/>
  <c r="T75" i="87"/>
  <c r="T113" i="87"/>
  <c r="N148" i="91"/>
  <c r="N102" i="91"/>
  <c r="S407" i="96"/>
  <c r="Q37" i="87"/>
  <c r="L663" i="96"/>
  <c r="L715" i="96" s="1"/>
  <c r="L706" i="96" s="1"/>
  <c r="T133" i="87"/>
  <c r="N122" i="91"/>
  <c r="K649" i="96"/>
  <c r="G33" i="76"/>
  <c r="F33" i="76"/>
  <c r="E33" i="76"/>
  <c r="L458" i="96" l="1"/>
  <c r="F32" i="76"/>
  <c r="E32" i="76"/>
  <c r="G32" i="76"/>
  <c r="S444" i="96"/>
  <c r="S402" i="96"/>
  <c r="T106" i="87"/>
  <c r="N95" i="91"/>
  <c r="L401" i="96"/>
  <c r="S401" i="96" s="1"/>
  <c r="L409" i="96"/>
  <c r="S406" i="96" s="1"/>
  <c r="S408" i="96" s="1"/>
  <c r="S443" i="96"/>
  <c r="S112" i="87"/>
  <c r="M101" i="91"/>
  <c r="M222" i="91"/>
  <c r="M147" i="91" s="1"/>
  <c r="K138" i="96"/>
  <c r="L449" i="96"/>
  <c r="S452" i="96"/>
  <c r="S454" i="96" s="1"/>
  <c r="R37" i="87"/>
  <c r="L649" i="96"/>
  <c r="N222" i="91" l="1"/>
  <c r="N147" i="91" s="1"/>
  <c r="S445" i="96"/>
  <c r="S403" i="96"/>
  <c r="S37" i="87"/>
  <c r="T112" i="87"/>
  <c r="N101" i="91"/>
  <c r="L138" i="96"/>
  <c r="T37" i="87" l="1"/>
  <c r="H131" i="91" l="1"/>
  <c r="H225" i="91"/>
  <c r="N88" i="87"/>
  <c r="F672" i="96"/>
  <c r="N142" i="87"/>
  <c r="F141" i="96"/>
  <c r="H150" i="91" l="1"/>
  <c r="F720" i="96"/>
  <c r="F711" i="96" s="1"/>
  <c r="N40" i="87"/>
  <c r="F658" i="96"/>
  <c r="F674" i="96"/>
  <c r="F660" i="96" l="1"/>
  <c r="F719" i="96" s="1"/>
  <c r="F710" i="96" s="1"/>
  <c r="F675" i="96"/>
  <c r="H74" i="91" l="1"/>
  <c r="H114" i="91"/>
  <c r="F486" i="96"/>
  <c r="N125" i="87"/>
  <c r="F283" i="96"/>
  <c r="H7" i="91"/>
  <c r="F485" i="96"/>
  <c r="F123" i="96"/>
  <c r="F222" i="96"/>
  <c r="N124" i="87"/>
  <c r="H113" i="91"/>
  <c r="F843" i="96" s="1"/>
  <c r="F844" i="96" l="1"/>
  <c r="F852" i="96" s="1"/>
  <c r="I74" i="91"/>
  <c r="W246" i="96"/>
  <c r="W248" i="96" s="1"/>
  <c r="F246" i="96"/>
  <c r="F247" i="96"/>
  <c r="F248" i="96" s="1"/>
  <c r="W247" i="96"/>
  <c r="F488" i="96"/>
  <c r="H220" i="91"/>
  <c r="H149" i="91"/>
  <c r="F140" i="96"/>
  <c r="I7" i="91"/>
  <c r="G283" i="96"/>
  <c r="G123" i="96"/>
  <c r="G485" i="96"/>
  <c r="G222" i="96"/>
  <c r="G486" i="96"/>
  <c r="I114" i="91"/>
  <c r="O125" i="87"/>
  <c r="F131" i="96"/>
  <c r="I113" i="91"/>
  <c r="G843" i="96" s="1"/>
  <c r="G844" i="96" s="1"/>
  <c r="G852" i="96" l="1"/>
  <c r="H74" i="102"/>
  <c r="J74" i="91"/>
  <c r="O124" i="87"/>
  <c r="F160" i="96"/>
  <c r="F156" i="96"/>
  <c r="F146" i="96"/>
  <c r="F148" i="96"/>
  <c r="G488" i="96"/>
  <c r="H123" i="96"/>
  <c r="H222" i="96"/>
  <c r="J7" i="91"/>
  <c r="H485" i="96"/>
  <c r="H283" i="96"/>
  <c r="P125" i="87"/>
  <c r="J114" i="91"/>
  <c r="H486" i="96"/>
  <c r="W249" i="96"/>
  <c r="P124" i="87" l="1"/>
  <c r="J113" i="91"/>
  <c r="F149" i="96"/>
  <c r="F147" i="96"/>
  <c r="H488" i="96"/>
  <c r="H843" i="96" l="1"/>
  <c r="H844" i="96" s="1"/>
  <c r="I74" i="102" l="1"/>
  <c r="K115" i="91" l="1"/>
  <c r="Q125" i="87"/>
  <c r="I486" i="96"/>
  <c r="K114" i="91"/>
  <c r="I487" i="96"/>
  <c r="Q126" i="87"/>
  <c r="K74" i="91" l="1"/>
  <c r="N108" i="87"/>
  <c r="J487" i="96"/>
  <c r="R126" i="87"/>
  <c r="L115" i="91"/>
  <c r="I283" i="96"/>
  <c r="I222" i="96"/>
  <c r="K7" i="91"/>
  <c r="I485" i="96"/>
  <c r="I123" i="96"/>
  <c r="L74" i="91"/>
  <c r="F120" i="96"/>
  <c r="J486" i="96"/>
  <c r="R125" i="87"/>
  <c r="L114" i="91"/>
  <c r="Q124" i="87" l="1"/>
  <c r="F219" i="96"/>
  <c r="F240" i="96" s="1"/>
  <c r="H71" i="91"/>
  <c r="H146" i="91" s="1"/>
  <c r="F281" i="96"/>
  <c r="F294" i="96" s="1"/>
  <c r="H97" i="91"/>
  <c r="H70" i="91"/>
  <c r="H145" i="91" s="1"/>
  <c r="K113" i="91"/>
  <c r="M74" i="91"/>
  <c r="M114" i="91"/>
  <c r="S125" i="87"/>
  <c r="K486" i="96"/>
  <c r="J123" i="96"/>
  <c r="L7" i="91"/>
  <c r="J222" i="96"/>
  <c r="J283" i="96"/>
  <c r="J485" i="96"/>
  <c r="J488" i="96" s="1"/>
  <c r="K487" i="96"/>
  <c r="S126" i="87"/>
  <c r="M115" i="91"/>
  <c r="F152" i="96"/>
  <c r="F129" i="96"/>
  <c r="N36" i="87"/>
  <c r="N44" i="87"/>
  <c r="R124" i="87"/>
  <c r="G120" i="96"/>
  <c r="I488" i="96"/>
  <c r="F229" i="96" l="1"/>
  <c r="I843" i="96"/>
  <c r="I844" i="96" s="1"/>
  <c r="F234" i="96"/>
  <c r="F232" i="96"/>
  <c r="F290" i="96"/>
  <c r="F233" i="96"/>
  <c r="F242" i="96"/>
  <c r="F237" i="96"/>
  <c r="F235" i="96"/>
  <c r="F230" i="96"/>
  <c r="F231" i="96"/>
  <c r="F236" i="96"/>
  <c r="F241" i="96"/>
  <c r="F295" i="96"/>
  <c r="F296" i="96" s="1"/>
  <c r="F291" i="96"/>
  <c r="F288" i="96"/>
  <c r="F298" i="96"/>
  <c r="F299" i="96" s="1"/>
  <c r="F289" i="96"/>
  <c r="H868" i="96"/>
  <c r="H866" i="96" s="1"/>
  <c r="F287" i="96"/>
  <c r="I97" i="91"/>
  <c r="I221" i="91"/>
  <c r="I71" i="91"/>
  <c r="L113" i="91"/>
  <c r="O108" i="87"/>
  <c r="G219" i="96"/>
  <c r="G281" i="96"/>
  <c r="F132" i="96"/>
  <c r="F130" i="96"/>
  <c r="K283" i="96"/>
  <c r="M7" i="91"/>
  <c r="K222" i="96"/>
  <c r="K485" i="96"/>
  <c r="K123" i="96"/>
  <c r="H120" i="96"/>
  <c r="H281" i="96"/>
  <c r="S124" i="87"/>
  <c r="L487" i="96"/>
  <c r="T126" i="87"/>
  <c r="N115" i="91"/>
  <c r="G137" i="96"/>
  <c r="O36" i="87" s="1"/>
  <c r="J843" i="96" l="1"/>
  <c r="J844" i="96" s="1"/>
  <c r="J74" i="102"/>
  <c r="I845" i="96"/>
  <c r="F238" i="96"/>
  <c r="J71" i="91"/>
  <c r="H219" i="96"/>
  <c r="F292" i="96"/>
  <c r="I868" i="96"/>
  <c r="I866" i="96" s="1"/>
  <c r="J97" i="91"/>
  <c r="J221" i="91"/>
  <c r="N74" i="91"/>
  <c r="I146" i="91"/>
  <c r="M113" i="91"/>
  <c r="P108" i="87"/>
  <c r="N7" i="91"/>
  <c r="L485" i="96"/>
  <c r="L222" i="96"/>
  <c r="L123" i="96"/>
  <c r="L283" i="96"/>
  <c r="S484" i="96"/>
  <c r="T125" i="87"/>
  <c r="L486" i="96"/>
  <c r="N114" i="91"/>
  <c r="K488" i="96"/>
  <c r="H137" i="96"/>
  <c r="P36" i="87" s="1"/>
  <c r="L71" i="91"/>
  <c r="J146" i="91" l="1"/>
  <c r="K74" i="102"/>
  <c r="J845" i="96"/>
  <c r="I120" i="96"/>
  <c r="K843" i="96"/>
  <c r="K844" i="96" s="1"/>
  <c r="J868" i="96"/>
  <c r="J866" i="96" s="1"/>
  <c r="K71" i="91"/>
  <c r="Q108" i="87"/>
  <c r="K221" i="91"/>
  <c r="I219" i="96"/>
  <c r="K868" i="96"/>
  <c r="K866" i="96" s="1"/>
  <c r="I281" i="96"/>
  <c r="T124" i="87"/>
  <c r="N113" i="91"/>
  <c r="K97" i="91"/>
  <c r="J281" i="96"/>
  <c r="J120" i="96"/>
  <c r="J219" i="96"/>
  <c r="L488" i="96"/>
  <c r="S483" i="96" s="1"/>
  <c r="S485" i="96" s="1"/>
  <c r="M71" i="91"/>
  <c r="I137" i="96"/>
  <c r="L843" i="96" l="1"/>
  <c r="L844" i="96" s="1"/>
  <c r="L74" i="102"/>
  <c r="K845" i="96"/>
  <c r="R108" i="87"/>
  <c r="L868" i="96"/>
  <c r="L866" i="96" s="1"/>
  <c r="K146" i="91"/>
  <c r="K281" i="96"/>
  <c r="K219" i="96"/>
  <c r="K120" i="96"/>
  <c r="Q36" i="87"/>
  <c r="J137" i="96"/>
  <c r="R36" i="87" s="1"/>
  <c r="N71" i="91"/>
  <c r="M74" i="102" l="1"/>
  <c r="L845" i="96"/>
  <c r="S840" i="96"/>
  <c r="S842" i="96" s="1"/>
  <c r="L97" i="91"/>
  <c r="L221" i="91"/>
  <c r="L146" i="91" s="1"/>
  <c r="S108" i="87"/>
  <c r="M221" i="91"/>
  <c r="M146" i="91" s="1"/>
  <c r="M97" i="91"/>
  <c r="K137" i="96"/>
  <c r="S36" i="87" s="1"/>
  <c r="L120" i="96"/>
  <c r="L281" i="96"/>
  <c r="L219" i="96"/>
  <c r="N221" i="91" l="1"/>
  <c r="N146" i="91" s="1"/>
  <c r="L137" i="96"/>
  <c r="T36" i="87" s="1"/>
  <c r="T108" i="87"/>
  <c r="N97" i="91"/>
  <c r="O112" i="87" l="1"/>
  <c r="G138" i="96" l="1"/>
  <c r="O37" i="87" s="1"/>
  <c r="I101" i="91"/>
  <c r="I222" i="91"/>
  <c r="I147" i="91" l="1"/>
  <c r="I121" i="91" l="1"/>
  <c r="I120" i="91"/>
  <c r="G574" i="96" l="1"/>
  <c r="O131" i="87"/>
  <c r="O132" i="87"/>
  <c r="G575" i="96"/>
  <c r="J120" i="91" l="1"/>
  <c r="G566" i="96"/>
  <c r="G567" i="96" l="1"/>
  <c r="P132" i="87"/>
  <c r="H575" i="96"/>
  <c r="J121" i="91"/>
  <c r="K120" i="91"/>
  <c r="P131" i="87"/>
  <c r="H574" i="96"/>
  <c r="L120" i="91" l="1"/>
  <c r="Q131" i="87"/>
  <c r="I574" i="96"/>
  <c r="H566" i="96"/>
  <c r="I575" i="96"/>
  <c r="Q132" i="87"/>
  <c r="K121" i="91"/>
  <c r="H567" i="96" l="1"/>
  <c r="J575" i="96"/>
  <c r="R132" i="87"/>
  <c r="L121" i="91"/>
  <c r="M120" i="91"/>
  <c r="I566" i="96"/>
  <c r="R131" i="87"/>
  <c r="J574" i="96"/>
  <c r="I567" i="96" l="1"/>
  <c r="J566" i="96"/>
  <c r="S131" i="87"/>
  <c r="K574" i="96"/>
  <c r="S132" i="87"/>
  <c r="K575" i="96"/>
  <c r="M121" i="91"/>
  <c r="N120" i="91" l="1"/>
  <c r="J567" i="96"/>
  <c r="T131" i="87"/>
  <c r="L574" i="96"/>
  <c r="T132" i="87"/>
  <c r="L575" i="96"/>
  <c r="N121" i="91"/>
  <c r="K566" i="96"/>
  <c r="K567" i="96" l="1"/>
  <c r="L566" i="96"/>
  <c r="L567" i="96" l="1"/>
  <c r="I119" i="91" l="1"/>
  <c r="O130" i="87" l="1"/>
  <c r="P130" i="87" l="1"/>
  <c r="J119" i="91"/>
  <c r="K119" i="91" l="1"/>
  <c r="Q130" i="87"/>
  <c r="R130" i="87" l="1"/>
  <c r="L119" i="91"/>
  <c r="M119" i="91" l="1"/>
  <c r="S130" i="87"/>
  <c r="N119" i="91" l="1"/>
  <c r="T130" i="87"/>
  <c r="I226" i="91" l="1"/>
  <c r="G142" i="96" l="1"/>
  <c r="O41" i="87" s="1"/>
  <c r="G758" i="96"/>
  <c r="O144" i="87"/>
  <c r="O78" i="87" s="1"/>
  <c r="V78" i="87" s="1"/>
  <c r="I133" i="91"/>
  <c r="I151" i="91"/>
  <c r="G157" i="96" l="1"/>
  <c r="G752" i="96"/>
  <c r="G760" i="96"/>
  <c r="G33" i="123" l="1"/>
  <c r="G35" i="123" l="1"/>
  <c r="G34" i="123" s="1"/>
  <c r="G557" i="96"/>
  <c r="G516" i="96"/>
  <c r="G278" i="96"/>
  <c r="G213" i="96"/>
  <c r="G245" i="96" s="1"/>
  <c r="G871" i="96" l="1"/>
  <c r="G696" i="96"/>
  <c r="H33" i="123"/>
  <c r="G28" i="123"/>
  <c r="G29" i="123"/>
  <c r="G239" i="96"/>
  <c r="X245" i="96"/>
  <c r="G560" i="96"/>
  <c r="G561" i="96" s="1"/>
  <c r="H278" i="96"/>
  <c r="H213" i="96"/>
  <c r="H245" i="96" s="1"/>
  <c r="H557" i="96"/>
  <c r="H516" i="96"/>
  <c r="I33" i="123"/>
  <c r="H871" i="96" l="1"/>
  <c r="H696" i="96"/>
  <c r="I35" i="123"/>
  <c r="I29" i="123" s="1"/>
  <c r="H35" i="123"/>
  <c r="H29" i="123" s="1"/>
  <c r="J33" i="123"/>
  <c r="J35" i="123" s="1"/>
  <c r="J34" i="123" s="1"/>
  <c r="H239" i="96"/>
  <c r="Y245" i="96"/>
  <c r="I213" i="96"/>
  <c r="I245" i="96" s="1"/>
  <c r="I278" i="96"/>
  <c r="I516" i="96"/>
  <c r="I557" i="96"/>
  <c r="H560" i="96"/>
  <c r="H561" i="96" s="1"/>
  <c r="I871" i="96" l="1"/>
  <c r="I696" i="96"/>
  <c r="H34" i="123"/>
  <c r="H28" i="123" s="1"/>
  <c r="I34" i="123"/>
  <c r="I28" i="123" s="1"/>
  <c r="J28" i="123"/>
  <c r="J29" i="123"/>
  <c r="I239" i="96"/>
  <c r="Z245" i="96"/>
  <c r="I560" i="96"/>
  <c r="I561" i="96" s="1"/>
  <c r="J516" i="96"/>
  <c r="J278" i="96"/>
  <c r="J557" i="96"/>
  <c r="J213" i="96"/>
  <c r="J245" i="96" s="1"/>
  <c r="K33" i="123"/>
  <c r="K35" i="123" s="1"/>
  <c r="K29" i="123" s="1"/>
  <c r="J871" i="96" l="1"/>
  <c r="J696" i="96"/>
  <c r="K34" i="123"/>
  <c r="K28" i="123" s="1"/>
  <c r="L33" i="123"/>
  <c r="J560" i="96"/>
  <c r="J561" i="96" s="1"/>
  <c r="K516" i="96"/>
  <c r="K213" i="96"/>
  <c r="K245" i="96" s="1"/>
  <c r="K278" i="96"/>
  <c r="K557" i="96"/>
  <c r="J239" i="96"/>
  <c r="AA245" i="96"/>
  <c r="K871" i="96" l="1"/>
  <c r="K696" i="96"/>
  <c r="L35" i="123"/>
  <c r="L34" i="123" s="1"/>
  <c r="S556" i="96"/>
  <c r="L557" i="96"/>
  <c r="L516" i="96"/>
  <c r="L213" i="96"/>
  <c r="L245" i="96" s="1"/>
  <c r="L278" i="96"/>
  <c r="K239" i="96"/>
  <c r="AB245" i="96"/>
  <c r="K560" i="96"/>
  <c r="K561" i="96" s="1"/>
  <c r="L871" i="96" l="1"/>
  <c r="L696" i="96"/>
  <c r="L29" i="123"/>
  <c r="L560" i="96"/>
  <c r="S555" i="96" s="1"/>
  <c r="S557" i="96" s="1"/>
  <c r="L239" i="96"/>
  <c r="AC245" i="96"/>
  <c r="L28" i="123" l="1"/>
  <c r="L561" i="96"/>
  <c r="G573" i="96" l="1"/>
  <c r="G714" i="96" s="1"/>
  <c r="O77" i="87"/>
  <c r="I118" i="91"/>
  <c r="O129" i="87"/>
  <c r="G705" i="96" l="1"/>
  <c r="G576" i="96"/>
  <c r="G568" i="96" s="1"/>
  <c r="G565" i="96"/>
  <c r="P77" i="87" l="1"/>
  <c r="H573" i="96"/>
  <c r="H714" i="96" s="1"/>
  <c r="P129" i="87"/>
  <c r="J118" i="91"/>
  <c r="J226" i="91" l="1"/>
  <c r="J151" i="91" s="1"/>
  <c r="H705" i="96"/>
  <c r="J133" i="91"/>
  <c r="P144" i="87"/>
  <c r="P78" i="87" s="1"/>
  <c r="W78" i="87" s="1"/>
  <c r="Q77" i="87"/>
  <c r="I573" i="96"/>
  <c r="I714" i="96" s="1"/>
  <c r="I705" i="96" s="1"/>
  <c r="K118" i="91"/>
  <c r="Q129" i="87"/>
  <c r="H576" i="96"/>
  <c r="H568" i="96" s="1"/>
  <c r="H565" i="96"/>
  <c r="H758" i="96" l="1"/>
  <c r="H752" i="96" s="1"/>
  <c r="H142" i="96"/>
  <c r="P41" i="87" s="1"/>
  <c r="I142" i="96"/>
  <c r="K226" i="91"/>
  <c r="H760" i="96"/>
  <c r="I856" i="96"/>
  <c r="K227" i="91"/>
  <c r="Q144" i="87"/>
  <c r="Q78" i="87" s="1"/>
  <c r="X78" i="87" s="1"/>
  <c r="K133" i="91"/>
  <c r="I758" i="96"/>
  <c r="I760" i="96" s="1"/>
  <c r="K151" i="91"/>
  <c r="J573" i="96"/>
  <c r="J714" i="96" s="1"/>
  <c r="J705" i="96" s="1"/>
  <c r="R77" i="87"/>
  <c r="R129" i="87"/>
  <c r="L118" i="91"/>
  <c r="K137" i="91"/>
  <c r="I576" i="96"/>
  <c r="I568" i="96" s="1"/>
  <c r="I565" i="96"/>
  <c r="J143" i="96" l="1"/>
  <c r="L227" i="91"/>
  <c r="J142" i="96"/>
  <c r="L226" i="91"/>
  <c r="L151" i="91" s="1"/>
  <c r="H143" i="96"/>
  <c r="J227" i="91"/>
  <c r="K152" i="91"/>
  <c r="I143" i="96"/>
  <c r="Q42" i="87" s="1"/>
  <c r="I808" i="96"/>
  <c r="I813" i="96" s="1"/>
  <c r="Q148" i="87"/>
  <c r="Q79" i="87" s="1"/>
  <c r="I860" i="96"/>
  <c r="I848" i="96"/>
  <c r="H856" i="96"/>
  <c r="P152" i="87"/>
  <c r="H144" i="96"/>
  <c r="P43" i="87" s="1"/>
  <c r="J228" i="91"/>
  <c r="J153" i="91" s="1"/>
  <c r="J141" i="91"/>
  <c r="Q152" i="87"/>
  <c r="K141" i="91"/>
  <c r="I144" i="96"/>
  <c r="Q43" i="87" s="1"/>
  <c r="K228" i="91"/>
  <c r="K153" i="91" s="1"/>
  <c r="P148" i="87"/>
  <c r="P79" i="87" s="1"/>
  <c r="W79" i="87" s="1"/>
  <c r="J137" i="91"/>
  <c r="J152" i="91"/>
  <c r="H808" i="96"/>
  <c r="H813" i="96" s="1"/>
  <c r="K573" i="96"/>
  <c r="K714" i="96" s="1"/>
  <c r="K705" i="96" s="1"/>
  <c r="S77" i="87"/>
  <c r="M118" i="91"/>
  <c r="S129" i="87"/>
  <c r="R144" i="87"/>
  <c r="R78" i="87" s="1"/>
  <c r="J758" i="96"/>
  <c r="L133" i="91"/>
  <c r="J576" i="96"/>
  <c r="J568" i="96" s="1"/>
  <c r="J565" i="96"/>
  <c r="I752" i="96"/>
  <c r="J808" i="96"/>
  <c r="J813" i="96" s="1"/>
  <c r="L137" i="91"/>
  <c r="L152" i="91"/>
  <c r="R42" i="87"/>
  <c r="R148" i="87"/>
  <c r="R79" i="87" s="1"/>
  <c r="Q41" i="87"/>
  <c r="K142" i="96" l="1"/>
  <c r="M226" i="91"/>
  <c r="M151" i="91" s="1"/>
  <c r="I798" i="96"/>
  <c r="J760" i="96"/>
  <c r="H860" i="96"/>
  <c r="H852" i="96" s="1"/>
  <c r="H848" i="96"/>
  <c r="I852" i="96"/>
  <c r="X79" i="87"/>
  <c r="I157" i="96"/>
  <c r="K856" i="96"/>
  <c r="P42" i="87"/>
  <c r="H157" i="96"/>
  <c r="H798" i="96"/>
  <c r="I814" i="96"/>
  <c r="J798" i="96"/>
  <c r="N226" i="91"/>
  <c r="K576" i="96"/>
  <c r="K568" i="96" s="1"/>
  <c r="K565" i="96"/>
  <c r="L573" i="96"/>
  <c r="L714" i="96" s="1"/>
  <c r="L705" i="96" s="1"/>
  <c r="T77" i="87"/>
  <c r="N118" i="91"/>
  <c r="T129" i="87"/>
  <c r="J752" i="96"/>
  <c r="I803" i="96"/>
  <c r="K758" i="96"/>
  <c r="K760" i="96" s="1"/>
  <c r="S144" i="87"/>
  <c r="S78" i="87" s="1"/>
  <c r="M133" i="91"/>
  <c r="R41" i="87"/>
  <c r="S572" i="96"/>
  <c r="K143" i="96" l="1"/>
  <c r="M227" i="91"/>
  <c r="I853" i="96"/>
  <c r="I861" i="96"/>
  <c r="J856" i="96"/>
  <c r="L142" i="96"/>
  <c r="S757" i="96"/>
  <c r="K860" i="96"/>
  <c r="K848" i="96"/>
  <c r="M152" i="91"/>
  <c r="K808" i="96"/>
  <c r="S148" i="87"/>
  <c r="S79" i="87" s="1"/>
  <c r="M137" i="91"/>
  <c r="S42" i="87"/>
  <c r="S857" i="96"/>
  <c r="S152" i="87"/>
  <c r="M141" i="91"/>
  <c r="M228" i="91"/>
  <c r="M153" i="91" s="1"/>
  <c r="K144" i="96"/>
  <c r="S43" i="87" s="1"/>
  <c r="L141" i="91"/>
  <c r="R152" i="87"/>
  <c r="J144" i="96"/>
  <c r="L228" i="91"/>
  <c r="L153" i="91" s="1"/>
  <c r="H803" i="96"/>
  <c r="H804" i="96" s="1"/>
  <c r="H814" i="96"/>
  <c r="N151" i="91"/>
  <c r="K752" i="96"/>
  <c r="L576" i="96"/>
  <c r="L568" i="96" s="1"/>
  <c r="L565" i="96"/>
  <c r="T144" i="87"/>
  <c r="T78" i="87" s="1"/>
  <c r="N133" i="91"/>
  <c r="L758" i="96"/>
  <c r="L760" i="96" s="1"/>
  <c r="S758" i="96" s="1"/>
  <c r="S41" i="87"/>
  <c r="N227" i="91"/>
  <c r="J814" i="96"/>
  <c r="J803" i="96"/>
  <c r="J804" i="96" s="1"/>
  <c r="K798" i="96" l="1"/>
  <c r="K813" i="96"/>
  <c r="K814" i="96" s="1"/>
  <c r="K852" i="96"/>
  <c r="S809" i="96"/>
  <c r="L143" i="96"/>
  <c r="L856" i="96"/>
  <c r="J860" i="96"/>
  <c r="J848" i="96"/>
  <c r="K157" i="96"/>
  <c r="T152" i="87"/>
  <c r="N141" i="91"/>
  <c r="N228" i="91"/>
  <c r="N153" i="91" s="1"/>
  <c r="L144" i="96"/>
  <c r="T43" i="87" s="1"/>
  <c r="R43" i="87"/>
  <c r="J157" i="96"/>
  <c r="I804" i="96"/>
  <c r="L752" i="96"/>
  <c r="T41" i="87"/>
  <c r="L808" i="96"/>
  <c r="L813" i="96" s="1"/>
  <c r="T148" i="87"/>
  <c r="T79" i="87" s="1"/>
  <c r="N137" i="91"/>
  <c r="N152" i="91"/>
  <c r="S571" i="96"/>
  <c r="S573" i="96" s="1"/>
  <c r="S808" i="96" l="1"/>
  <c r="L860" i="96"/>
  <c r="S856" i="96" s="1"/>
  <c r="S858" i="96" s="1"/>
  <c r="L848" i="96"/>
  <c r="J861" i="96"/>
  <c r="J852" i="96"/>
  <c r="J853" i="96" s="1"/>
  <c r="K861" i="96"/>
  <c r="K803" i="96"/>
  <c r="K804" i="96" s="1"/>
  <c r="L798" i="96"/>
  <c r="T42" i="87"/>
  <c r="L157" i="96"/>
  <c r="K853" i="96" l="1"/>
  <c r="L861" i="96"/>
  <c r="L852" i="96"/>
  <c r="L853" i="96" s="1"/>
  <c r="L814" i="96"/>
  <c r="L803" i="96"/>
  <c r="L804" i="96" s="1"/>
  <c r="S811" i="96"/>
  <c r="G637" i="96" l="1"/>
  <c r="G517" i="96"/>
  <c r="G665" i="96" l="1"/>
  <c r="I124" i="91"/>
  <c r="O135" i="87"/>
  <c r="H517" i="96"/>
  <c r="H637" i="96"/>
  <c r="G518" i="96"/>
  <c r="G521" i="96" s="1"/>
  <c r="G522" i="96" s="1"/>
  <c r="G638" i="96"/>
  <c r="G699" i="96" s="1"/>
  <c r="G528" i="96"/>
  <c r="G223" i="96"/>
  <c r="G237" i="96" s="1"/>
  <c r="I70" i="91"/>
  <c r="G282" i="96"/>
  <c r="G124" i="96"/>
  <c r="I75" i="91"/>
  <c r="I225" i="91"/>
  <c r="G702" i="96" l="1"/>
  <c r="G701" i="96" s="1"/>
  <c r="G720" i="96"/>
  <c r="H223" i="96"/>
  <c r="H240" i="96" s="1"/>
  <c r="H528" i="96"/>
  <c r="H529" i="96" s="1"/>
  <c r="H282" i="96"/>
  <c r="H295" i="96" s="1"/>
  <c r="I150" i="91"/>
  <c r="O136" i="87"/>
  <c r="J75" i="91"/>
  <c r="H702" i="96" s="1"/>
  <c r="P88" i="87"/>
  <c r="G666" i="96"/>
  <c r="G652" i="96" s="1"/>
  <c r="G231" i="96"/>
  <c r="G229" i="96"/>
  <c r="G234" i="96"/>
  <c r="G233" i="96"/>
  <c r="X246" i="96"/>
  <c r="X248" i="96" s="1"/>
  <c r="G247" i="96"/>
  <c r="G248" i="96" s="1"/>
  <c r="G236" i="96"/>
  <c r="X247" i="96"/>
  <c r="G230" i="96"/>
  <c r="G241" i="96"/>
  <c r="G235" i="96"/>
  <c r="G232" i="96"/>
  <c r="G240" i="96"/>
  <c r="G246" i="96"/>
  <c r="G242" i="96"/>
  <c r="I125" i="91"/>
  <c r="H665" i="96"/>
  <c r="H638" i="96"/>
  <c r="H699" i="96" s="1"/>
  <c r="H701" i="96" s="1"/>
  <c r="H518" i="96"/>
  <c r="H521" i="96" s="1"/>
  <c r="G152" i="96"/>
  <c r="G131" i="96"/>
  <c r="G129" i="96"/>
  <c r="G529" i="96"/>
  <c r="P135" i="87"/>
  <c r="I517" i="96"/>
  <c r="I637" i="96"/>
  <c r="G141" i="96"/>
  <c r="O40" i="87" s="1"/>
  <c r="G290" i="96"/>
  <c r="G291" i="96"/>
  <c r="G298" i="96"/>
  <c r="G299" i="96" s="1"/>
  <c r="G287" i="96"/>
  <c r="G295" i="96"/>
  <c r="G288" i="96"/>
  <c r="G289" i="96"/>
  <c r="G294" i="96"/>
  <c r="G646" i="96"/>
  <c r="J124" i="91"/>
  <c r="H124" i="96"/>
  <c r="J70" i="91"/>
  <c r="I282" i="96"/>
  <c r="K124" i="91"/>
  <c r="G651" i="96"/>
  <c r="O88" i="87"/>
  <c r="I31" i="76"/>
  <c r="G711" i="96" l="1"/>
  <c r="H651" i="96"/>
  <c r="G717" i="96"/>
  <c r="G708" i="96" s="1"/>
  <c r="G647" i="96"/>
  <c r="H247" i="96"/>
  <c r="H248" i="96" s="1"/>
  <c r="Y247" i="96"/>
  <c r="H235" i="96"/>
  <c r="H232" i="96"/>
  <c r="H246" i="96"/>
  <c r="H234" i="96"/>
  <c r="H231" i="96"/>
  <c r="Y246" i="96"/>
  <c r="Y248" i="96" s="1"/>
  <c r="H230" i="96"/>
  <c r="H233" i="96"/>
  <c r="H229" i="96"/>
  <c r="H242" i="96"/>
  <c r="H241" i="96"/>
  <c r="H237" i="96"/>
  <c r="H236" i="96"/>
  <c r="H289" i="96"/>
  <c r="H290" i="96"/>
  <c r="H298" i="96"/>
  <c r="H299" i="96" s="1"/>
  <c r="H288" i="96"/>
  <c r="H287" i="96"/>
  <c r="H294" i="96"/>
  <c r="H296" i="96" s="1"/>
  <c r="H291" i="96"/>
  <c r="G674" i="96"/>
  <c r="G675" i="96" s="1"/>
  <c r="P136" i="87"/>
  <c r="J125" i="91"/>
  <c r="H530" i="96"/>
  <c r="H141" i="96"/>
  <c r="P40" i="87" s="1"/>
  <c r="J225" i="91"/>
  <c r="X249" i="96"/>
  <c r="I528" i="96"/>
  <c r="I529" i="96" s="1"/>
  <c r="I530" i="96" s="1"/>
  <c r="H522" i="96"/>
  <c r="H531" i="96"/>
  <c r="J124" i="96"/>
  <c r="I665" i="96"/>
  <c r="I518" i="96"/>
  <c r="I521" i="96" s="1"/>
  <c r="I638" i="96"/>
  <c r="I699" i="96" s="1"/>
  <c r="K70" i="91"/>
  <c r="J517" i="96"/>
  <c r="J637" i="96"/>
  <c r="H152" i="96"/>
  <c r="H131" i="96"/>
  <c r="H129" i="96"/>
  <c r="G130" i="96"/>
  <c r="G132" i="96"/>
  <c r="I287" i="96"/>
  <c r="I290" i="96"/>
  <c r="I294" i="96"/>
  <c r="I288" i="96"/>
  <c r="I295" i="96"/>
  <c r="I298" i="96"/>
  <c r="I299" i="96" s="1"/>
  <c r="I289" i="96"/>
  <c r="I291" i="96"/>
  <c r="G296" i="96"/>
  <c r="K75" i="91"/>
  <c r="I702" i="96" s="1"/>
  <c r="I124" i="96"/>
  <c r="H666" i="96"/>
  <c r="H674" i="96" s="1"/>
  <c r="H675" i="96" s="1"/>
  <c r="Q88" i="87"/>
  <c r="G292" i="96"/>
  <c r="I223" i="96"/>
  <c r="Q135" i="87"/>
  <c r="G530" i="96"/>
  <c r="G531" i="96"/>
  <c r="H646" i="96"/>
  <c r="G238" i="96"/>
  <c r="J31" i="76"/>
  <c r="J150" i="91" l="1"/>
  <c r="H720" i="96"/>
  <c r="H711" i="96" s="1"/>
  <c r="I701" i="96"/>
  <c r="I651" i="96"/>
  <c r="H717" i="96"/>
  <c r="H708" i="96" s="1"/>
  <c r="H647" i="96"/>
  <c r="I646" i="96"/>
  <c r="Y249" i="96"/>
  <c r="G660" i="96"/>
  <c r="G719" i="96" s="1"/>
  <c r="G710" i="96" s="1"/>
  <c r="H238" i="96"/>
  <c r="H292" i="96"/>
  <c r="J282" i="96"/>
  <c r="J290" i="96" s="1"/>
  <c r="J528" i="96"/>
  <c r="J529" i="96" s="1"/>
  <c r="J530" i="96" s="1"/>
  <c r="L75" i="91"/>
  <c r="J702" i="96" s="1"/>
  <c r="J223" i="96"/>
  <c r="J229" i="96" s="1"/>
  <c r="L70" i="91"/>
  <c r="H652" i="96"/>
  <c r="I522" i="96"/>
  <c r="I531" i="96"/>
  <c r="Q136" i="87"/>
  <c r="K225" i="91"/>
  <c r="K223" i="96"/>
  <c r="K517" i="96"/>
  <c r="K637" i="96"/>
  <c r="J665" i="96"/>
  <c r="H132" i="96"/>
  <c r="H130" i="96"/>
  <c r="L124" i="91"/>
  <c r="I246" i="96"/>
  <c r="I232" i="96"/>
  <c r="Z247" i="96"/>
  <c r="I241" i="96"/>
  <c r="I234" i="96"/>
  <c r="I231" i="96"/>
  <c r="I230" i="96"/>
  <c r="I242" i="96"/>
  <c r="I240" i="96"/>
  <c r="I237" i="96"/>
  <c r="I233" i="96"/>
  <c r="I236" i="96"/>
  <c r="I235" i="96"/>
  <c r="I247" i="96"/>
  <c r="I248" i="96" s="1"/>
  <c r="Z246" i="96"/>
  <c r="Z248" i="96" s="1"/>
  <c r="I229" i="96"/>
  <c r="I666" i="96"/>
  <c r="I652" i="96" s="1"/>
  <c r="I296" i="96"/>
  <c r="I292" i="96"/>
  <c r="J152" i="96"/>
  <c r="J129" i="96"/>
  <c r="J131" i="96"/>
  <c r="R135" i="87"/>
  <c r="I141" i="96"/>
  <c r="Q40" i="87" s="1"/>
  <c r="J518" i="96"/>
  <c r="J521" i="96" s="1"/>
  <c r="J638" i="96"/>
  <c r="J699" i="96" s="1"/>
  <c r="H660" i="96"/>
  <c r="I131" i="96"/>
  <c r="I129" i="96"/>
  <c r="I152" i="96"/>
  <c r="K125" i="91"/>
  <c r="R88" i="87"/>
  <c r="K31" i="76"/>
  <c r="H719" i="96" l="1"/>
  <c r="H710" i="96" s="1"/>
  <c r="K150" i="91"/>
  <c r="I720" i="96"/>
  <c r="I711" i="96" s="1"/>
  <c r="J701" i="96"/>
  <c r="J651" i="96"/>
  <c r="I717" i="96"/>
  <c r="I708" i="96" s="1"/>
  <c r="I647" i="96"/>
  <c r="J646" i="96"/>
  <c r="J291" i="96"/>
  <c r="J298" i="96"/>
  <c r="J299" i="96" s="1"/>
  <c r="J287" i="96"/>
  <c r="J294" i="96"/>
  <c r="J295" i="96"/>
  <c r="J288" i="96"/>
  <c r="J289" i="96"/>
  <c r="Z249" i="96"/>
  <c r="K282" i="96"/>
  <c r="K295" i="96" s="1"/>
  <c r="J242" i="96"/>
  <c r="AA247" i="96"/>
  <c r="AA246" i="96"/>
  <c r="AA248" i="96" s="1"/>
  <c r="J234" i="96"/>
  <c r="J235" i="96"/>
  <c r="J241" i="96"/>
  <c r="J247" i="96"/>
  <c r="J248" i="96" s="1"/>
  <c r="J236" i="96"/>
  <c r="K124" i="96"/>
  <c r="K152" i="96" s="1"/>
  <c r="J231" i="96"/>
  <c r="J233" i="96"/>
  <c r="J240" i="96"/>
  <c r="J232" i="96"/>
  <c r="J246" i="96"/>
  <c r="J230" i="96"/>
  <c r="J237" i="96"/>
  <c r="I674" i="96"/>
  <c r="M75" i="91"/>
  <c r="K702" i="96" s="1"/>
  <c r="K528" i="96"/>
  <c r="K529" i="96" s="1"/>
  <c r="K530" i="96" s="1"/>
  <c r="J522" i="96"/>
  <c r="J531" i="96"/>
  <c r="I238" i="96"/>
  <c r="J141" i="96"/>
  <c r="K518" i="96"/>
  <c r="K521" i="96" s="1"/>
  <c r="K522" i="96" s="1"/>
  <c r="K638" i="96"/>
  <c r="K699" i="96" s="1"/>
  <c r="K665" i="96"/>
  <c r="I130" i="96"/>
  <c r="I132" i="96"/>
  <c r="R136" i="87"/>
  <c r="J132" i="96"/>
  <c r="J130" i="96"/>
  <c r="K229" i="96"/>
  <c r="K246" i="96"/>
  <c r="K234" i="96"/>
  <c r="AB247" i="96"/>
  <c r="K242" i="96"/>
  <c r="K237" i="96"/>
  <c r="K230" i="96"/>
  <c r="K232" i="96"/>
  <c r="AB246" i="96"/>
  <c r="AB248" i="96" s="1"/>
  <c r="K235" i="96"/>
  <c r="K241" i="96"/>
  <c r="K240" i="96"/>
  <c r="K233" i="96"/>
  <c r="K236" i="96"/>
  <c r="K231" i="96"/>
  <c r="K247" i="96"/>
  <c r="K248" i="96" s="1"/>
  <c r="J666" i="96"/>
  <c r="J652" i="96" s="1"/>
  <c r="L125" i="91"/>
  <c r="M70" i="91"/>
  <c r="S135" i="87"/>
  <c r="L517" i="96"/>
  <c r="L637" i="96"/>
  <c r="L225" i="91"/>
  <c r="M124" i="91"/>
  <c r="L223" i="96"/>
  <c r="L31" i="76"/>
  <c r="L150" i="91" l="1"/>
  <c r="J720" i="96"/>
  <c r="J711" i="96" s="1"/>
  <c r="J717" i="96"/>
  <c r="J708" i="96" s="1"/>
  <c r="K651" i="96"/>
  <c r="K701" i="96"/>
  <c r="J647" i="96"/>
  <c r="S211" i="96"/>
  <c r="S279" i="96" s="1"/>
  <c r="L246" i="96"/>
  <c r="K289" i="96"/>
  <c r="K287" i="96"/>
  <c r="K288" i="96"/>
  <c r="K291" i="96"/>
  <c r="K294" i="96"/>
  <c r="K296" i="96" s="1"/>
  <c r="K290" i="96"/>
  <c r="I660" i="96"/>
  <c r="I719" i="96" s="1"/>
  <c r="I710" i="96" s="1"/>
  <c r="I675" i="96"/>
  <c r="J296" i="96"/>
  <c r="K298" i="96"/>
  <c r="K299" i="96" s="1"/>
  <c r="J292" i="96"/>
  <c r="K129" i="96"/>
  <c r="K132" i="96" s="1"/>
  <c r="AA249" i="96"/>
  <c r="N75" i="91"/>
  <c r="N124" i="91"/>
  <c r="T135" i="87"/>
  <c r="K131" i="96"/>
  <c r="J674" i="96"/>
  <c r="J238" i="96"/>
  <c r="K531" i="96"/>
  <c r="L235" i="96"/>
  <c r="L242" i="96"/>
  <c r="L237" i="96"/>
  <c r="L241" i="96"/>
  <c r="AC247" i="96"/>
  <c r="L231" i="96"/>
  <c r="L240" i="96"/>
  <c r="L230" i="96"/>
  <c r="L236" i="96"/>
  <c r="L232" i="96"/>
  <c r="L234" i="96"/>
  <c r="L233" i="96"/>
  <c r="L229" i="96"/>
  <c r="AC246" i="96"/>
  <c r="AC248" i="96" s="1"/>
  <c r="L247" i="96"/>
  <c r="L248" i="96" s="1"/>
  <c r="L282" i="96"/>
  <c r="S278" i="96" s="1"/>
  <c r="M225" i="91"/>
  <c r="M125" i="91"/>
  <c r="S136" i="87"/>
  <c r="R40" i="87"/>
  <c r="S637" i="96"/>
  <c r="T88" i="87"/>
  <c r="K141" i="96"/>
  <c r="L665" i="96"/>
  <c r="L518" i="96"/>
  <c r="L521" i="96" s="1"/>
  <c r="L638" i="96"/>
  <c r="L699" i="96" s="1"/>
  <c r="L528" i="96"/>
  <c r="K666" i="96"/>
  <c r="K674" i="96" s="1"/>
  <c r="K675" i="96" s="1"/>
  <c r="L124" i="96"/>
  <c r="N70" i="91"/>
  <c r="AB249" i="96"/>
  <c r="K238" i="96"/>
  <c r="S88" i="87"/>
  <c r="K646" i="96"/>
  <c r="M31" i="76"/>
  <c r="L702" i="96" l="1"/>
  <c r="L701" i="96" s="1"/>
  <c r="S698" i="96" s="1"/>
  <c r="S700" i="96" s="1"/>
  <c r="S699" i="96"/>
  <c r="M150" i="91"/>
  <c r="K720" i="96"/>
  <c r="K711" i="96" s="1"/>
  <c r="L651" i="96"/>
  <c r="K717" i="96"/>
  <c r="K708" i="96" s="1"/>
  <c r="K647" i="96"/>
  <c r="K292" i="96"/>
  <c r="J660" i="96"/>
  <c r="J719" i="96" s="1"/>
  <c r="J710" i="96" s="1"/>
  <c r="J675" i="96"/>
  <c r="K130" i="96"/>
  <c r="N225" i="91"/>
  <c r="K652" i="96"/>
  <c r="T136" i="87"/>
  <c r="L141" i="96"/>
  <c r="T40" i="87" s="1"/>
  <c r="N125" i="91"/>
  <c r="S665" i="96"/>
  <c r="AC249" i="96"/>
  <c r="L238" i="96"/>
  <c r="L522" i="96"/>
  <c r="S517" i="96"/>
  <c r="L666" i="96"/>
  <c r="L652" i="96" s="1"/>
  <c r="K660" i="96"/>
  <c r="L529" i="96"/>
  <c r="L646" i="96"/>
  <c r="S121" i="96"/>
  <c r="L152" i="96"/>
  <c r="L129" i="96"/>
  <c r="L131" i="96"/>
  <c r="S40" i="87"/>
  <c r="L288" i="96"/>
  <c r="L294" i="96"/>
  <c r="L291" i="96"/>
  <c r="L290" i="96"/>
  <c r="L295" i="96"/>
  <c r="L298" i="96"/>
  <c r="L299" i="96" s="1"/>
  <c r="L289" i="96"/>
  <c r="L287" i="96"/>
  <c r="S280" i="96"/>
  <c r="N31" i="76"/>
  <c r="K719" i="96" l="1"/>
  <c r="K710" i="96" s="1"/>
  <c r="N150" i="91"/>
  <c r="L720" i="96"/>
  <c r="L711" i="96" s="1"/>
  <c r="S714" i="96"/>
  <c r="L717" i="96"/>
  <c r="L708" i="96" s="1"/>
  <c r="L647" i="96"/>
  <c r="S210" i="96"/>
  <c r="S212" i="96" s="1"/>
  <c r="S209" i="96"/>
  <c r="S650" i="96"/>
  <c r="S649" i="96"/>
  <c r="L674" i="96"/>
  <c r="L296" i="96"/>
  <c r="L132" i="96"/>
  <c r="L130" i="96"/>
  <c r="S120" i="96"/>
  <c r="L531" i="96"/>
  <c r="L530" i="96"/>
  <c r="L292" i="96"/>
  <c r="S636" i="96"/>
  <c r="S638" i="96" s="1"/>
  <c r="S518" i="96"/>
  <c r="S519" i="96" s="1"/>
  <c r="S651" i="96" l="1"/>
  <c r="S664" i="96"/>
  <c r="S666" i="96" s="1"/>
  <c r="L675" i="96"/>
  <c r="L660" i="96"/>
  <c r="L719" i="96" s="1"/>
  <c r="S122" i="96"/>
  <c r="L710" i="96" l="1"/>
  <c r="S713" i="96"/>
  <c r="S715" i="96" s="1"/>
  <c r="I224" i="91" l="1"/>
  <c r="I149" i="91" s="1"/>
  <c r="I112" i="91"/>
  <c r="O123" i="87"/>
  <c r="O122" i="87"/>
  <c r="O76" i="87" s="1"/>
  <c r="I111" i="91"/>
  <c r="G140" i="96"/>
  <c r="I220" i="91"/>
  <c r="O39" i="87" l="1"/>
  <c r="G160" i="96"/>
  <c r="G156" i="96"/>
  <c r="G146" i="96"/>
  <c r="G148" i="96"/>
  <c r="I145" i="91"/>
  <c r="J224" i="91" l="1"/>
  <c r="J112" i="91"/>
  <c r="P123" i="87"/>
  <c r="G147" i="96"/>
  <c r="G149" i="96"/>
  <c r="O44" i="87"/>
  <c r="K224" i="91"/>
  <c r="J111" i="91"/>
  <c r="P122" i="87"/>
  <c r="P76" i="87" s="1"/>
  <c r="J149" i="91"/>
  <c r="H140" i="96"/>
  <c r="J220" i="91"/>
  <c r="K112" i="91" l="1"/>
  <c r="Q123" i="87"/>
  <c r="K111" i="91"/>
  <c r="Q122" i="87"/>
  <c r="Q76" i="87" s="1"/>
  <c r="K149" i="91"/>
  <c r="I140" i="96"/>
  <c r="K220" i="91"/>
  <c r="J145" i="91"/>
  <c r="P39" i="87"/>
  <c r="H160" i="96"/>
  <c r="H156" i="96"/>
  <c r="H148" i="96"/>
  <c r="H146" i="96"/>
  <c r="I33" i="76"/>
  <c r="I32" i="76" l="1"/>
  <c r="L224" i="91"/>
  <c r="L112" i="91"/>
  <c r="R123" i="87"/>
  <c r="K145" i="91"/>
  <c r="P44" i="87"/>
  <c r="H149" i="96"/>
  <c r="H147" i="96"/>
  <c r="Q39" i="87"/>
  <c r="I160" i="96"/>
  <c r="I148" i="96"/>
  <c r="I146" i="96"/>
  <c r="I156" i="96"/>
  <c r="L111" i="91"/>
  <c r="R122" i="87"/>
  <c r="R76" i="87" s="1"/>
  <c r="L149" i="91"/>
  <c r="J140" i="96"/>
  <c r="L220" i="91"/>
  <c r="M224" i="91" l="1"/>
  <c r="M112" i="91"/>
  <c r="S123" i="87"/>
  <c r="L145" i="91"/>
  <c r="R39" i="87"/>
  <c r="J160" i="96"/>
  <c r="J148" i="96"/>
  <c r="J156" i="96"/>
  <c r="J146" i="96"/>
  <c r="S122" i="87"/>
  <c r="S76" i="87" s="1"/>
  <c r="M111" i="91"/>
  <c r="M149" i="91"/>
  <c r="K140" i="96"/>
  <c r="M220" i="91"/>
  <c r="I149" i="96"/>
  <c r="I147" i="96"/>
  <c r="Q44" i="87"/>
  <c r="K33" i="76"/>
  <c r="J33" i="76"/>
  <c r="J32" i="76" l="1"/>
  <c r="K32" i="76"/>
  <c r="N224" i="91"/>
  <c r="N149" i="91" s="1"/>
  <c r="N112" i="91"/>
  <c r="T123" i="87"/>
  <c r="K160" i="96"/>
  <c r="K156" i="96"/>
  <c r="K146" i="96"/>
  <c r="K148" i="96"/>
  <c r="M145" i="91"/>
  <c r="J147" i="96"/>
  <c r="J149" i="96"/>
  <c r="R44" i="87"/>
  <c r="N111" i="91"/>
  <c r="T122" i="87"/>
  <c r="T76" i="87" s="1"/>
  <c r="L140" i="96"/>
  <c r="N220" i="91"/>
  <c r="L33" i="76"/>
  <c r="L32" i="76" l="1"/>
  <c r="S140" i="96"/>
  <c r="S39" i="87" s="1"/>
  <c r="N145" i="91"/>
  <c r="S44" i="87"/>
  <c r="K147" i="96"/>
  <c r="K149" i="96"/>
  <c r="L160" i="96"/>
  <c r="L156" i="96"/>
  <c r="L146" i="96"/>
  <c r="S139" i="96" s="1"/>
  <c r="L148" i="96"/>
  <c r="S141" i="96" l="1"/>
  <c r="S38" i="87"/>
  <c r="L147" i="96"/>
  <c r="L149" i="96"/>
  <c r="T44" i="87"/>
  <c r="N33" i="76"/>
  <c r="M33" i="76"/>
  <c r="N32" i="76" l="1"/>
  <c r="M32" i="76"/>
  <c r="H31" i="76"/>
  <c r="H33" i="76"/>
  <c r="H32" i="76" l="1"/>
  <c r="H749" i="96" l="1"/>
  <c r="K749" i="96"/>
  <c r="L749" i="96"/>
  <c r="I749" i="96"/>
  <c r="J749" i="96"/>
  <c r="G749" i="96"/>
  <c r="S747" i="96"/>
  <c r="S749" i="96" s="1"/>
  <c r="K761" i="96"/>
  <c r="K754" i="96"/>
  <c r="G754" i="96"/>
  <c r="G761" i="96"/>
  <c r="L761" i="96"/>
  <c r="L754" i="96"/>
  <c r="J761" i="96"/>
  <c r="J754" i="96"/>
  <c r="H754" i="96"/>
  <c r="H761" i="96"/>
  <c r="I761" i="96"/>
  <c r="I754" i="96"/>
  <c r="E754" i="96"/>
  <c r="S759" i="96"/>
</calcChain>
</file>

<file path=xl/comments1.xml><?xml version="1.0" encoding="utf-8"?>
<comments xmlns="http://schemas.openxmlformats.org/spreadsheetml/2006/main">
  <authors>
    <author>John Lively</author>
  </authors>
  <commentList>
    <comment ref="I54" authorId="0">
      <text>
        <r>
          <rPr>
            <sz val="12"/>
            <color indexed="81"/>
            <rFont val="Tahoma"/>
            <family val="2"/>
          </rPr>
          <t>Four 10G optical channels are transmitted on four separate fibers, so can be broken out easily. 12-fiber riboon with 4 upsrteam and 4 downstream fibers used, requires MPO connector.  This product was used in breakout mode extensively for the first several years of its life.</t>
        </r>
      </text>
    </comment>
    <comment ref="I57" authorId="0">
      <text>
        <r>
          <rPr>
            <sz val="12"/>
            <color indexed="81"/>
            <rFont val="Tahoma"/>
            <family val="2"/>
          </rPr>
          <t>Four 10G optical channels are transmitted on four separate fibers, so can be broken out easily. 12-fiber riboon with 4 upsrteam and 4 downstream fibers used, requires MPO connector.</t>
        </r>
      </text>
    </comment>
    <comment ref="I68" authorId="0">
      <text>
        <r>
          <rPr>
            <b/>
            <sz val="12"/>
            <color indexed="81"/>
            <rFont val="Tahoma"/>
            <family val="2"/>
          </rPr>
          <t>John Lively:</t>
        </r>
        <r>
          <rPr>
            <sz val="12"/>
            <color indexed="81"/>
            <rFont val="Tahoma"/>
            <family val="2"/>
          </rPr>
          <t xml:space="preserve">
Operates on MPO interface/cable with four parallel multimode optical fiber pairs (MTP12), each optical path running at 25.78 Gbps and using 850nm lasers. 10x10G optical lanes are possible but unsure if any are presented sold in this config. </t>
        </r>
      </text>
    </comment>
    <comment ref="I69" authorId="0">
      <text>
        <r>
          <rPr>
            <b/>
            <sz val="12"/>
            <color indexed="81"/>
            <rFont val="Tahoma"/>
            <family val="2"/>
          </rPr>
          <t>John Lively:</t>
        </r>
        <r>
          <rPr>
            <sz val="12"/>
            <color indexed="81"/>
            <rFont val="Tahoma"/>
            <family val="2"/>
          </rPr>
          <t xml:space="preserve">
Finisar product uses 10 parallel multimode fibers to transmit, and 10 to receive, requiring a MTO24 connector. Each fiber carries 10G signals. </t>
        </r>
      </text>
    </comment>
    <comment ref="I70" authorId="0">
      <text>
        <r>
          <rPr>
            <sz val="12"/>
            <color indexed="81"/>
            <rFont val="Tahoma"/>
            <family val="2"/>
          </rPr>
          <t>PSM4 version: Four 25G optical channels are transmitted on four separate fibers, so can be broken out easily. Uses a 12-fiber ribbon with four fibers upstream and four downstream used. MPO connector required.
SWDM4 version: dual LC connectors, can't be broken out</t>
        </r>
      </text>
    </comment>
    <comment ref="B71" authorId="0">
      <text>
        <r>
          <rPr>
            <sz val="12"/>
            <color indexed="81"/>
            <rFont val="Tahoma"/>
            <family val="2"/>
          </rPr>
          <t xml:space="preserve">This is a standard but no commercial traction. </t>
        </r>
      </text>
    </comment>
    <comment ref="I71" authorId="0">
      <text>
        <r>
          <rPr>
            <sz val="12"/>
            <color indexed="81"/>
            <rFont val="Tahoma"/>
            <family val="2"/>
          </rPr>
          <t xml:space="preserve">This is 2x50G optics with dual LC interface, using two fiber pairs. </t>
        </r>
      </text>
    </comment>
    <comment ref="B72" authorId="0">
      <text>
        <r>
          <rPr>
            <b/>
            <sz val="12"/>
            <color indexed="81"/>
            <rFont val="Tahoma"/>
            <family val="2"/>
          </rPr>
          <t>John Lively:</t>
        </r>
        <r>
          <rPr>
            <sz val="12"/>
            <color indexed="81"/>
            <rFont val="Tahoma"/>
            <family val="2"/>
          </rPr>
          <t xml:space="preserve">
Also known as SWDM4</t>
        </r>
      </text>
    </comment>
    <comment ref="I72" authorId="0">
      <text>
        <r>
          <rPr>
            <b/>
            <sz val="12"/>
            <color indexed="81"/>
            <rFont val="Tahoma"/>
            <family val="2"/>
          </rPr>
          <t>John Lively:</t>
        </r>
        <r>
          <rPr>
            <sz val="12"/>
            <color indexed="81"/>
            <rFont val="Tahoma"/>
            <family val="2"/>
          </rPr>
          <t xml:space="preserve">
Four 25G optical signals are multiplexed inside the transceiver and transmitted in WDM form on a single multimode fiber. Second fiber is receive fiber. Dual LC connector. Cannot be broken out. </t>
        </r>
      </text>
    </comment>
    <comment ref="I73" authorId="0">
      <text>
        <r>
          <rPr>
            <b/>
            <sz val="12"/>
            <color indexed="81"/>
            <rFont val="Tahoma"/>
            <family val="2"/>
          </rPr>
          <t>John Lively:</t>
        </r>
        <r>
          <rPr>
            <sz val="12"/>
            <color indexed="81"/>
            <rFont val="Tahoma"/>
            <family val="2"/>
          </rPr>
          <t xml:space="preserve">
Uses four multi-mode fibre pairs (12-fibre ribbon interface, MPO connector). The maximum reach is 300m (OM4) or 200m (OM3). Four 850nm VCSELs generate four optical 25Gbps output signals, and four PIN receivers detect 4x 25Gbps optical signals.</t>
        </r>
      </text>
    </comment>
    <comment ref="I74" authorId="0">
      <text>
        <r>
          <rPr>
            <sz val="12"/>
            <color indexed="81"/>
            <rFont val="Tahoma"/>
            <family val="2"/>
          </rPr>
          <t>Four 25G optical channels are transmitted on four separate fibers, so can be broken out easily. Uses a 12-fiber ribbon with four fibers upstream and four downstream used. MPO connector required.  LinkedIn known to be using in 2x(2x25G) breakout mode.</t>
        </r>
      </text>
    </comment>
    <comment ref="I75" authorId="0">
      <text>
        <r>
          <rPr>
            <b/>
            <sz val="12"/>
            <color indexed="81"/>
            <rFont val="Tahoma"/>
            <family val="2"/>
          </rPr>
          <t>John Lively:</t>
        </r>
        <r>
          <rPr>
            <sz val="12"/>
            <color indexed="81"/>
            <rFont val="Tahoma"/>
            <family val="2"/>
          </rPr>
          <t xml:space="preserve">
4x25G electrical signals multiplexed onto single wavelength 100G optical signal via PAM4 modulation. One transmit and one receive fiber, dual LC connector. Cannot be broken out. </t>
        </r>
      </text>
    </comment>
    <comment ref="I76" authorId="0">
      <text>
        <r>
          <rPr>
            <sz val="12"/>
            <color indexed="81"/>
            <rFont val="Tahoma"/>
            <family val="2"/>
          </rPr>
          <t xml:space="preserve">Four optical channels are muxed/demuxed onto single fiber, so can't be broken out. </t>
        </r>
      </text>
    </comment>
    <comment ref="I77" authorId="0">
      <text>
        <r>
          <rPr>
            <sz val="12"/>
            <color indexed="81"/>
            <rFont val="Tahoma"/>
            <family val="2"/>
          </rPr>
          <t xml:space="preserve">Four optical channels are muxed/demuxed onto single fiber, so can't be broken out. </t>
        </r>
      </text>
    </comment>
    <comment ref="I78" authorId="0">
      <text>
        <r>
          <rPr>
            <b/>
            <sz val="12"/>
            <color indexed="81"/>
            <rFont val="Tahoma"/>
            <family val="2"/>
          </rPr>
          <t>John Lively:</t>
        </r>
        <r>
          <rPr>
            <sz val="12"/>
            <color indexed="81"/>
            <rFont val="Tahoma"/>
            <family val="2"/>
          </rPr>
          <t xml:space="preserve">
4x25G electrical signals multiplexed onto single wavelength 100G optical signal via PAM4 modulation. One transmit and one receive fiber, dual LC connector. Cannot be broken out. </t>
        </r>
      </text>
    </comment>
    <comment ref="I79" authorId="0">
      <text>
        <r>
          <rPr>
            <b/>
            <sz val="12"/>
            <color indexed="81"/>
            <rFont val="Tahoma"/>
            <family val="2"/>
          </rPr>
          <t>John Lively:</t>
        </r>
        <r>
          <rPr>
            <sz val="12"/>
            <color indexed="81"/>
            <rFont val="Tahoma"/>
            <family val="2"/>
          </rPr>
          <t xml:space="preserve">
Operates on a pair of fibers, uses dual SC or LC interfaces, no breakout possible. </t>
        </r>
      </text>
    </comment>
    <comment ref="I80" authorId="0">
      <text>
        <r>
          <rPr>
            <sz val="12"/>
            <color indexed="81"/>
            <rFont val="Tahoma"/>
            <family val="2"/>
          </rPr>
          <t xml:space="preserve">Four optical channels are muxed/demuxed onto single fiber, so can't be broken out. </t>
        </r>
      </text>
    </comment>
    <comment ref="I81" authorId="0">
      <text>
        <r>
          <rPr>
            <b/>
            <sz val="12"/>
            <color indexed="81"/>
            <rFont val="Tahoma"/>
            <family val="2"/>
          </rPr>
          <t>John Lively:</t>
        </r>
        <r>
          <rPr>
            <sz val="12"/>
            <color indexed="81"/>
            <rFont val="Tahoma"/>
            <family val="2"/>
          </rPr>
          <t xml:space="preserve">
Operates on a pair of fibers. Four optical channels are muxed/demuxed onto single fiber, and another four in the reverse path on the second fiber. Uses dual SC or LC interfaces, no breakout possible. </t>
        </r>
      </text>
    </comment>
    <comment ref="B82" authorId="0">
      <text>
        <r>
          <rPr>
            <b/>
            <sz val="9"/>
            <color indexed="81"/>
            <rFont val="Tahoma"/>
            <family val="2"/>
          </rPr>
          <t xml:space="preserve">These are similar to CWDM4 but with FEC added for longer reach. </t>
        </r>
      </text>
    </comment>
    <comment ref="I82" authorId="0">
      <text>
        <r>
          <rPr>
            <sz val="12"/>
            <color indexed="81"/>
            <rFont val="Tahoma"/>
            <family val="2"/>
          </rPr>
          <t xml:space="preserve">Four optical channels are muxed/demuxed onto single fiber, so can't be broken out. </t>
        </r>
      </text>
    </comment>
    <comment ref="B83" authorId="0">
      <text>
        <r>
          <rPr>
            <b/>
            <sz val="9"/>
            <color indexed="81"/>
            <rFont val="Tahoma"/>
            <family val="2"/>
          </rPr>
          <t xml:space="preserve">These are similar to LR4 but with  FEC for longer reach. </t>
        </r>
      </text>
    </comment>
    <comment ref="I83" authorId="0">
      <text>
        <r>
          <rPr>
            <sz val="12"/>
            <color indexed="81"/>
            <rFont val="Tahoma"/>
            <family val="2"/>
          </rPr>
          <t xml:space="preserve">Four optical channels are muxed/demuxed onto single fiber, so can't be broken out. </t>
        </r>
      </text>
    </comment>
    <comment ref="B84" authorId="0">
      <text>
        <r>
          <rPr>
            <b/>
            <sz val="12"/>
            <color indexed="81"/>
            <rFont val="Tahoma"/>
            <family val="2"/>
          </rPr>
          <t>John Lively:</t>
        </r>
        <r>
          <rPr>
            <sz val="12"/>
            <color indexed="81"/>
            <rFont val="Tahoma"/>
            <family val="2"/>
          </rPr>
          <t xml:space="preserve">
Available in CPAK, CFP, CFP2, and QSFP28 form factors. An extension of the 4WDM standard, similar optics. Includes an SOA and FEC to extend reach in some cases. </t>
        </r>
      </text>
    </comment>
    <comment ref="I84" authorId="0">
      <text>
        <r>
          <rPr>
            <sz val="12"/>
            <color indexed="81"/>
            <rFont val="Tahoma"/>
            <family val="2"/>
          </rPr>
          <t xml:space="preserve">Four optical channels are muxed/demuxed onto single fiber, so can't be broken out. Uses two LC connectors as optical interface. </t>
        </r>
      </text>
    </comment>
    <comment ref="I85" authorId="0">
      <text>
        <r>
          <rPr>
            <sz val="12"/>
            <color indexed="81"/>
            <rFont val="Tahoma"/>
            <family val="2"/>
          </rPr>
          <t xml:space="preserve">Gigalight's product uses a 12-fiber MTP/MPO connector and multimode fiber, carrying four optical channels over four fibers downstream, and the same upstream, total of 8 fibers used. Each channel is 50G. 
 </t>
        </r>
      </text>
    </comment>
    <comment ref="I86" authorId="0">
      <text>
        <r>
          <rPr>
            <sz val="12"/>
            <color indexed="81"/>
            <rFont val="Tahoma"/>
            <family val="2"/>
          </rPr>
          <t>This module uses 16-fiber ribbon and MPO16 connectors, runs 50G on 8 downstream, 8 upstream PAM5 optical channels.</t>
        </r>
      </text>
    </comment>
    <comment ref="I87" authorId="0">
      <text>
        <r>
          <rPr>
            <b/>
            <sz val="9"/>
            <color indexed="81"/>
            <rFont val="Tahoma"/>
            <family val="2"/>
          </rPr>
          <t>The Gigalight 200G QSFP56 FR4 optical module with 2km reach uses four CWDM wavelengths (1271nm, 1291nm, 1311nm, 1331nm) and runs over dual singlemode fibers. 
ColorChip's module uses four uncooled 50 Gbps CWDM DFB lasers with integrated MUX/DeMUX, and takes dual LC connectors.</t>
        </r>
      </text>
    </comment>
    <comment ref="I88" authorId="0">
      <text>
        <r>
          <rPr>
            <sz val="12"/>
            <color indexed="81"/>
            <rFont val="Tahoma"/>
            <family val="2"/>
          </rPr>
          <t>Hisense's product multiplexes 2×CWDM4 optical lanes (8x50G lanes total).  Two pairs of CS connectors are used, allowing breakout to two 100G optical modules. The CS connector is a duplex LC connector in a smaller footprint, allowing two pairs of CS connectors to fit into one QSFP-DD form factor module.
According to Arista, the 400GBASE-2FR4 OSFP transceiver it sells supports "Breakout to 2x200G-FR4 over 2km via two pairs of duplex single mode fiber"</t>
        </r>
      </text>
    </comment>
    <comment ref="I89" authorId="0">
      <text>
        <r>
          <rPr>
            <sz val="12"/>
            <color indexed="81"/>
            <rFont val="Tahoma"/>
            <family val="2"/>
          </rPr>
          <t xml:space="preserve">This transceiver uses 12-fiber multimode ribbon design, with each of 8 active fibers transmitting and receiving 50GbE signals. Each fiber pair of the parallel interface can be broken out to connect to 100G-BiDi ports. </t>
        </r>
      </text>
    </comment>
    <comment ref="I90" authorId="0">
      <text>
        <r>
          <rPr>
            <sz val="12"/>
            <color indexed="81"/>
            <rFont val="Tahoma"/>
            <family val="2"/>
          </rPr>
          <t>Finisar QSFP-DD version uses parallel single mode fiber (SMF) using four 100G PAM4 optical lanes, per the IEEE 802.3bs 400GBASE-DR4 standard. These DR4 modules can be used in break-out applications to four 100G QSFP28 DR transceivers. Amazon is planning to use this in 4x100G breakout mode.</t>
        </r>
      </text>
    </comment>
    <comment ref="B91" authorId="0">
      <text>
        <r>
          <rPr>
            <sz val="12"/>
            <color indexed="81"/>
            <rFont val="Tahoma"/>
            <family val="2"/>
          </rPr>
          <t>FR8 is a standard, FR4 is an MSA and IEEE is working on a standard (study group mode in March 2019)</t>
        </r>
      </text>
    </comment>
    <comment ref="D91" authorId="0">
      <text>
        <r>
          <rPr>
            <b/>
            <sz val="9"/>
            <color indexed="81"/>
            <rFont val="Tahoma"/>
            <family val="2"/>
          </rPr>
          <t xml:space="preserve">Couple different MSAs here, 4x100 and 8x50
</t>
        </r>
      </text>
    </comment>
    <comment ref="I91" authorId="0">
      <text>
        <r>
          <rPr>
            <sz val="12"/>
            <color indexed="81"/>
            <rFont val="Tahoma"/>
            <family val="2"/>
          </rPr>
          <t xml:space="preserve">Could be 4x100 or 8x50G, muxed and demuxed inside the module
</t>
        </r>
      </text>
    </comment>
    <comment ref="B92" authorId="0">
      <text>
        <r>
          <rPr>
            <sz val="12"/>
            <color rgb="FF000000"/>
            <rFont val="Tahoma"/>
            <family val="2"/>
          </rPr>
          <t xml:space="preserve">LR8 is a standard
</t>
        </r>
        <r>
          <rPr>
            <sz val="12"/>
            <color rgb="FF000000"/>
            <rFont val="Tahoma"/>
            <family val="2"/>
          </rPr>
          <t xml:space="preserve">LR4 is not
</t>
        </r>
        <r>
          <rPr>
            <sz val="12"/>
            <color rgb="FF000000"/>
            <rFont val="Tahoma"/>
            <family val="2"/>
          </rPr>
          <t>Includes both LR-6 and LR-10</t>
        </r>
      </text>
    </comment>
    <comment ref="D92" authorId="0">
      <text>
        <r>
          <rPr>
            <sz val="12"/>
            <color indexed="81"/>
            <rFont val="Tahoma"/>
            <family val="2"/>
          </rPr>
          <t>Will be CFP8 initially, could move to different FF eventually.</t>
        </r>
      </text>
    </comment>
    <comment ref="I92" authorId="0">
      <text>
        <r>
          <rPr>
            <b/>
            <sz val="9"/>
            <color indexed="81"/>
            <rFont val="Tahoma"/>
            <family val="2"/>
          </rPr>
          <t>8x50G PAM4 DFB-based LAN-WDM transmitter; 16x25G electrical interface; Duplex LC receptacles</t>
        </r>
        <r>
          <rPr>
            <sz val="9"/>
            <color indexed="81"/>
            <rFont val="Tahoma"/>
            <family val="2"/>
          </rPr>
          <t xml:space="preserve">
</t>
        </r>
      </text>
    </comment>
    <comment ref="I93" authorId="0">
      <text>
        <r>
          <rPr>
            <sz val="12"/>
            <color indexed="81"/>
            <rFont val="Tahoma"/>
            <family val="2"/>
          </rPr>
          <t>This module uses 16-fiber ribbon and MPO16 connectors, runs 50G on 8 downstream, 8 upstream PAM5 optical channels.</t>
        </r>
      </text>
    </comment>
    <comment ref="D97" authorId="0">
      <text>
        <r>
          <rPr>
            <sz val="9"/>
            <color indexed="81"/>
            <rFont val="Tahoma"/>
            <family val="2"/>
          </rPr>
          <t xml:space="preserve">
PAM4 technology  (Source: https://www.neophotonics.com/pulse-amplitude-modulation/)
PAM4 at 25Gbaud is in the market today with an upgrade to 50Gbaud planned for 2019 with early system demonstrations complete. A bigger concern is that in introducing additional amplitude levels in the optical signal between full brightness and minimum brightness decreases contrast and degrades the signal to noise leading to more transmission errors. As a result, PAM4 modulation is more suitable for short distances mostly inside the data center. With more sophisticated DSP and using an amplified DWDM system architecture, PAM4 at 25Gbaud is also used to transmit 40 channels each at 100G data over 80km. These products and demonstrations clearly establish PAM4 as a good fit, given its combination of high bandwidth and moderate cost, for new intra data center and intra data center applications.
How does all of this affect the move to new 100G, 200G and 400G architectures? Just as the baud rate of the electronics used in optical communications jumped from 10 Gbaud to 25 Gbaud, it is now beginning to move to 50 Gbaud. Applying PAM4 modulation to a network with 25 Gbaud transmission provides a path to 100G Ethernet via a 2 x 2 x 25Gbaud architecture that requires two lasers instead of four lasers. Similarly PAM4 on 50G baud rate provides a path to 100G Ethernet via a 1 x 2 x 50Gbaud architecture that requires only a single laser. PAM4 at 50Gbaud rate is called single lambda 100G and is an important milestone that represents a ten-fold increase in transmission rate from the 10Gbps to 100Gbps using a single laser.
So is not surprising that the IEEE 802.3bs 400G Physical Layer task force has identified PAM4 as one of its modulation schemes for achieving 400G operation. This assumes either an 8 x 50G or 4 x 100G architecture.
Perhaps most promising, once the technology for a 4 x 100G solution has been developed for data centers is that a 1x100G version can easily be developed to replace existing PSM4 and CWDM4 100G links.
Finally, there are interim solutions achieving 200G Ethernet possible along the way to 400G. These are straightforward, applying existing PAM4 at 25Gbaud to a CWDM or PSM4 architecture.</t>
        </r>
      </text>
    </comment>
  </commentList>
</comments>
</file>

<file path=xl/comments2.xml><?xml version="1.0" encoding="utf-8"?>
<comments xmlns="http://schemas.openxmlformats.org/spreadsheetml/2006/main">
  <authors>
    <author>John Lively</author>
  </authors>
  <commentList>
    <comment ref="D13" authorId="0">
      <text>
        <r>
          <rPr>
            <b/>
            <sz val="9"/>
            <color indexed="81"/>
            <rFont val="Tahoma"/>
            <family val="2"/>
          </rPr>
          <t>Includes GBIC, certain SFF modules, and 'Other' which are no longer being produced.</t>
        </r>
      </text>
    </comment>
    <comment ref="G18" authorId="0">
      <text>
        <r>
          <rPr>
            <b/>
            <sz val="9"/>
            <color indexed="81"/>
            <rFont val="Tahoma"/>
            <family val="2"/>
          </rPr>
          <t>Large increase this year due to 1) ASP converging with sub-spec, 2) increased demand for 10G LR, 3) additional suppliers reporting sales in LightCounting's vendor survey</t>
        </r>
      </text>
    </comment>
    <comment ref="D23" authorId="0">
      <text>
        <r>
          <rPr>
            <b/>
            <sz val="9"/>
            <color indexed="81"/>
            <rFont val="Tahoma"/>
            <family val="2"/>
          </rPr>
          <t xml:space="preserve">Includes XENPAK, X2, and 'Other' which are no longer being produced.
</t>
        </r>
      </text>
    </comment>
  </commentList>
</comments>
</file>

<file path=xl/comments3.xml><?xml version="1.0" encoding="utf-8"?>
<comments xmlns="http://schemas.openxmlformats.org/spreadsheetml/2006/main">
  <authors>
    <author>John Lively</author>
  </authors>
  <commentList>
    <comment ref="N34" authorId="0">
      <text>
        <r>
          <rPr>
            <b/>
            <sz val="9"/>
            <color rgb="FF000000"/>
            <rFont val="Tahoma"/>
            <family val="2"/>
          </rPr>
          <t>Includes both OSFP and QSFP-DD</t>
        </r>
      </text>
    </comment>
    <comment ref="N40" authorId="0">
      <text>
        <r>
          <rPr>
            <b/>
            <sz val="9"/>
            <color indexed="81"/>
            <rFont val="Tahoma"/>
            <family val="2"/>
          </rPr>
          <t>Includes both OSFP and QSFP-DD</t>
        </r>
      </text>
    </comment>
    <comment ref="N46" authorId="0">
      <text>
        <r>
          <rPr>
            <b/>
            <sz val="9"/>
            <color indexed="81"/>
            <rFont val="Tahoma"/>
            <family val="2"/>
          </rPr>
          <t>Includes both OSFP and QSFP-DD</t>
        </r>
      </text>
    </comment>
    <comment ref="N52" authorId="0">
      <text>
        <r>
          <rPr>
            <b/>
            <sz val="9"/>
            <color indexed="81"/>
            <rFont val="Tahoma"/>
            <family val="2"/>
          </rPr>
          <t>Includes both OSFP and QSFP-DD</t>
        </r>
      </text>
    </comment>
  </commentList>
</comments>
</file>

<file path=xl/sharedStrings.xml><?xml version="1.0" encoding="utf-8"?>
<sst xmlns="http://schemas.openxmlformats.org/spreadsheetml/2006/main" count="1348" uniqueCount="449">
  <si>
    <t>Forecast Methodology</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</si>
  <si>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</si>
  <si>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</si>
  <si>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</si>
  <si>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</si>
  <si>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</si>
  <si>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</si>
  <si>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</si>
  <si>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</si>
  <si>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</si>
  <si>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</si>
  <si>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</si>
  <si>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</si>
  <si>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Total</t>
  </si>
  <si>
    <t xml:space="preserve">  </t>
  </si>
  <si>
    <t>Revenues</t>
  </si>
  <si>
    <t>Definition of forecast segments</t>
  </si>
  <si>
    <t>Units are devices or modules</t>
  </si>
  <si>
    <t>Shipments (devices)</t>
  </si>
  <si>
    <t>Average Selling Prices</t>
  </si>
  <si>
    <t xml:space="preserve">Total Devices </t>
  </si>
  <si>
    <t>ASPs</t>
  </si>
  <si>
    <t>Shipments</t>
  </si>
  <si>
    <t xml:space="preserve">The LightCounting optical interconnect forecast begins with historical shipment data derived from our proprietary vendor shipments database. </t>
  </si>
  <si>
    <t xml:space="preserve">are based on the results of interviews with leading vendors and other industry experts. Several 'sanity checks' are then performed to assess </t>
  </si>
  <si>
    <t>the results of the forecast, and feedback is provided from several industry participants. Final adjustments are made.</t>
  </si>
  <si>
    <t>The historical trends are extrapolated using the life-cycle model described below. The specific assumptions for each product</t>
  </si>
  <si>
    <t>Model developed by: John Lively</t>
  </si>
  <si>
    <t>Analysis and assumptions: Dale Murray, Vladimir Kozlov, John Lively</t>
  </si>
  <si>
    <t>Forecast Dashboard</t>
  </si>
  <si>
    <t>Revenues ($ million)</t>
  </si>
  <si>
    <t>A.S.P. ($)</t>
  </si>
  <si>
    <t>Abstract</t>
  </si>
  <si>
    <t>Reach</t>
  </si>
  <si>
    <t>Data Rate</t>
  </si>
  <si>
    <t>Form Factor</t>
  </si>
  <si>
    <t>100 m</t>
  </si>
  <si>
    <t>XENPAK/XPAK</t>
  </si>
  <si>
    <t>X2</t>
  </si>
  <si>
    <t>XFP</t>
  </si>
  <si>
    <t>CFP</t>
  </si>
  <si>
    <t>Other</t>
  </si>
  <si>
    <t>QSFP28</t>
  </si>
  <si>
    <t>300 m</t>
  </si>
  <si>
    <t>all</t>
  </si>
  <si>
    <t>SFP+</t>
  </si>
  <si>
    <t>500 m</t>
  </si>
  <si>
    <t>SFF</t>
  </si>
  <si>
    <t>SFP</t>
  </si>
  <si>
    <t>2 km</t>
  </si>
  <si>
    <t>Fast Ethernet</t>
  </si>
  <si>
    <t>All</t>
  </si>
  <si>
    <t>10 km</t>
  </si>
  <si>
    <t>GBIC/other</t>
  </si>
  <si>
    <t>XENPAK</t>
  </si>
  <si>
    <t>300-pin/XPAK</t>
  </si>
  <si>
    <t>15 km</t>
  </si>
  <si>
    <t>40 km</t>
  </si>
  <si>
    <t>300-pin/XENPAK</t>
  </si>
  <si>
    <t>80 km</t>
  </si>
  <si>
    <t>300-pin/XENPAK/X2</t>
  </si>
  <si>
    <t>G</t>
  </si>
  <si>
    <t>10G</t>
  </si>
  <si>
    <t>100G</t>
  </si>
  <si>
    <t>40G</t>
  </si>
  <si>
    <t>1G</t>
  </si>
  <si>
    <t>Lookup codes for dashboard</t>
  </si>
  <si>
    <t>&lt;== was listed under 10 km</t>
  </si>
  <si>
    <t>LightCounting Ethernet Transceivers Forecast</t>
  </si>
  <si>
    <t>Cost per Gbps</t>
  </si>
  <si>
    <t>Grand average</t>
  </si>
  <si>
    <t>&lt;10G MMF</t>
  </si>
  <si>
    <t>10G MMF</t>
  </si>
  <si>
    <t>25G MMF</t>
  </si>
  <si>
    <t>&lt;10G SMF</t>
  </si>
  <si>
    <t>10G SMF</t>
  </si>
  <si>
    <t>25G SMF</t>
  </si>
  <si>
    <t>25G</t>
  </si>
  <si>
    <t>Optical Rate 
per fiber</t>
  </si>
  <si>
    <t>All Rates</t>
  </si>
  <si>
    <t>Percent  MMF</t>
  </si>
  <si>
    <t>Percent  SMF</t>
  </si>
  <si>
    <t>10-100G Only</t>
  </si>
  <si>
    <t>100 m  100G CFP</t>
  </si>
  <si>
    <t>Shipments by data rate</t>
  </si>
  <si>
    <t>Revenues by data rate</t>
  </si>
  <si>
    <t>total new forecast</t>
  </si>
  <si>
    <t>all reaches &amp; speeds</t>
  </si>
  <si>
    <t>40G LR total</t>
  </si>
  <si>
    <t>2 km  40G (FR) CFP</t>
  </si>
  <si>
    <t>10 km 40G CFP</t>
  </si>
  <si>
    <t>40 km 40G all</t>
  </si>
  <si>
    <t>Annual growth rate</t>
  </si>
  <si>
    <t>Product forecast</t>
  </si>
  <si>
    <t>&lt;== includes XFP and others</t>
  </si>
  <si>
    <t>QSFP+</t>
  </si>
  <si>
    <t/>
  </si>
  <si>
    <t>&lt;== added in February 2015 update</t>
  </si>
  <si>
    <t>MMF</t>
  </si>
  <si>
    <t>SMF</t>
  </si>
  <si>
    <t>220 m</t>
  </si>
  <si>
    <t>&lt;== renamed from '4xSR' in June 2015</t>
  </si>
  <si>
    <t>SFP28</t>
  </si>
  <si>
    <t>&lt;== added June 2015</t>
  </si>
  <si>
    <t>100 m  40G MM duplex</t>
  </si>
  <si>
    <t>100 m  40G QSFP+</t>
  </si>
  <si>
    <t>500m 40G PSM4 QSFP+</t>
  </si>
  <si>
    <t>2 km 40G LR4 subspec QSFP+</t>
  </si>
  <si>
    <t>10 km  40G QSFP+</t>
  </si>
  <si>
    <t>MMF devices (100-300m)</t>
  </si>
  <si>
    <t>Standard</t>
  </si>
  <si>
    <t>Non-standard</t>
  </si>
  <si>
    <t>400G</t>
  </si>
  <si>
    <t>Application segments</t>
  </si>
  <si>
    <t xml:space="preserve">The Telecom segment is composed of traditional fixed and mobile telecommunications companies, such as AT&amp;T, BT, China Mobile, DT, Orange, NTT, Softbank, Sprint, and Verizon. </t>
  </si>
  <si>
    <t xml:space="preserve">In addition, we also include here a forecast for DWDM ports used for interconnecting the datacenters of the mega-datacenter operators. We call this segment 'Mega-DCI'. </t>
  </si>
  <si>
    <t xml:space="preserve">This definition is considerably more narrow than the 'DCI' definition used by other analyst firms, which includes ALL connections between ANY datacenter and any other entity.  </t>
  </si>
  <si>
    <t>SMF devices (0.5-10 km)</t>
  </si>
  <si>
    <t>Rest of DWDM</t>
  </si>
  <si>
    <t>Product segments included in this forecast are listed below, with some notes/comments</t>
  </si>
  <si>
    <t>&lt;== added Feb 2016</t>
  </si>
  <si>
    <t>50G</t>
  </si>
  <si>
    <t>200G</t>
  </si>
  <si>
    <t>40G MMF</t>
  </si>
  <si>
    <t>40 G SMF 0.5-10km</t>
  </si>
  <si>
    <t>100G SMF</t>
  </si>
  <si>
    <t>40G SMF</t>
  </si>
  <si>
    <t>CFP2/4</t>
  </si>
  <si>
    <t>&lt;== CFP2 and CFP4 now combined into single line item; CPAK was also included, through July 2014 forecast.. Then removed from subsequent forecasts</t>
  </si>
  <si>
    <t>25G LR</t>
  </si>
  <si>
    <t>50G SMF</t>
  </si>
  <si>
    <t>50G MMF</t>
  </si>
  <si>
    <t xml:space="preserve">LightCounting divides the overall Ethernet transceiver market into three segments, based on customers: Telecom, Cloud, and Enterprise. </t>
  </si>
  <si>
    <t>The Cloud segment is composed of the largest internet content and commerce companies such as Alibaba, Amazon, Apple, Ebay, Facebook, Google, and Microsoft.</t>
  </si>
  <si>
    <t xml:space="preserve">The Enterprise Datacenter segment is composed of all other enterprises, excluding those falling into the Cloud category. </t>
  </si>
  <si>
    <t>&lt;10G</t>
  </si>
  <si>
    <t>100 m  100G CFP2/CFP4</t>
  </si>
  <si>
    <t>Cost per Gigabit calculations</t>
  </si>
  <si>
    <t>All Speeds</t>
  </si>
  <si>
    <t>100G MMF</t>
  </si>
  <si>
    <t>200G MMF</t>
  </si>
  <si>
    <t>400G MMF</t>
  </si>
  <si>
    <t>Module speed split</t>
  </si>
  <si>
    <t>200G SMF</t>
  </si>
  <si>
    <t>400G SMF</t>
  </si>
  <si>
    <t>Number  MMF</t>
  </si>
  <si>
    <t>Number SMF</t>
  </si>
  <si>
    <t>MMF/SMF</t>
  </si>
  <si>
    <t>Std/Non-Std</t>
  </si>
  <si>
    <t>&lt;== added Sept 2016</t>
  </si>
  <si>
    <t>25G ER</t>
  </si>
  <si>
    <t>Mix</t>
  </si>
  <si>
    <t>10-20 km</t>
  </si>
  <si>
    <t>&lt;==ER4 today, ER4-lite in future as well</t>
  </si>
  <si>
    <t>Various</t>
  </si>
  <si>
    <t>Legacy/discontinued</t>
  </si>
  <si>
    <t>&lt;== includes X2, XENPAK, and some X2 form factor products that are no longer shipping</t>
  </si>
  <si>
    <t>&lt;== Forecasted separately prior to Sept 2016 update, now consolidated into 'Legacy/discontinued' category</t>
  </si>
  <si>
    <t>300m</t>
  </si>
  <si>
    <t>&lt;== prior to Sept 2016, was included in the 'Miscellaneous' category, now split into the appropriate 'Legacy/discontinued' category by speed</t>
  </si>
  <si>
    <t>No longer shipping and no longer forecast separately</t>
  </si>
  <si>
    <t>1G MMF</t>
  </si>
  <si>
    <t>1G SMF</t>
  </si>
  <si>
    <t>Legacy/discontinued products</t>
  </si>
  <si>
    <t>0.5-10 km Reach Ethernet</t>
  </si>
  <si>
    <t>Lane rates by wavelength or by fiber</t>
  </si>
  <si>
    <t>Module count by lane rate</t>
  </si>
  <si>
    <t>10G = 10G &amp; 40G modules</t>
  </si>
  <si>
    <t>25G = 25G and 100G modules</t>
  </si>
  <si>
    <t>50G = 50G, 200G, and 400G modules</t>
  </si>
  <si>
    <t>40G Short Reach</t>
  </si>
  <si>
    <t>40G Long Reach</t>
  </si>
  <si>
    <t>100G Short Reach</t>
  </si>
  <si>
    <t>100G Long Reach</t>
  </si>
  <si>
    <t>CFP8 = for core router applications (CSP segment)</t>
  </si>
  <si>
    <t>QSFP-DD = double-density QSFP28</t>
  </si>
  <si>
    <t>OSFP= for datacenter applications</t>
  </si>
  <si>
    <t>&lt;== added Feb 2016 combined with 2 km, then split out separately in March 2017</t>
  </si>
  <si>
    <t>&lt;== added in March 2017</t>
  </si>
  <si>
    <t>Short Reach Ethernet (100-300m MMF)</t>
  </si>
  <si>
    <t>100-300 m</t>
  </si>
  <si>
    <t>100G Short Reach MMF (100-300 m)</t>
  </si>
  <si>
    <t>100G Long Reach SMF (500m - 40km)</t>
  </si>
  <si>
    <t>100 m  100G QSFP28 MM Duplex</t>
  </si>
  <si>
    <t>100 m  100G SR2, SR4  QSFP28</t>
  </si>
  <si>
    <t>µQSFP28  = not much industry support now</t>
  </si>
  <si>
    <t>QSFP56</t>
  </si>
  <si>
    <t>20 km</t>
  </si>
  <si>
    <t>&lt;== added in March 2017. Uses FEC on host card to extend reach. Also known as eLR4</t>
  </si>
  <si>
    <t>&lt;== added in March 2017. Includes SWDM.</t>
  </si>
  <si>
    <t>100 - 300 m</t>
  </si>
  <si>
    <t>100G total</t>
  </si>
  <si>
    <t>400G total</t>
  </si>
  <si>
    <t>200G total</t>
  </si>
  <si>
    <t>40G total</t>
  </si>
  <si>
    <t>25G total</t>
  </si>
  <si>
    <t>50G total</t>
  </si>
  <si>
    <t>400G total_All_All</t>
  </si>
  <si>
    <t>Figures used in the report</t>
  </si>
  <si>
    <t>Waterfall charts showing which products had the biggest impact on changes in the forecast</t>
  </si>
  <si>
    <t>OSFP</t>
  </si>
  <si>
    <t>&lt;== was 500m 200G, but replaced with this new category in March 2018</t>
  </si>
  <si>
    <t>&lt;== was 10km 200G, but replaced with this new category in March 2018</t>
  </si>
  <si>
    <t>200G Shipments</t>
  </si>
  <si>
    <t>200G ASPs</t>
  </si>
  <si>
    <t>200G Revenues</t>
  </si>
  <si>
    <t>400G Shipments</t>
  </si>
  <si>
    <t>400G ASPs</t>
  </si>
  <si>
    <t>400G Revenues</t>
  </si>
  <si>
    <t>SR4, SR2 split into separate categories May30, 2018</t>
  </si>
  <si>
    <t xml:space="preserve"> CWDM4, FR split into separate categories May30, 2018</t>
  </si>
  <si>
    <t xml:space="preserve"> CWDM4, FR split into separate categories May30, 2019</t>
  </si>
  <si>
    <t xml:space="preserve"> LR4, 4WDM10 split into separate categories May30, 2018</t>
  </si>
  <si>
    <t xml:space="preserve"> LR4, 4WDM10 split into separate categories May30, 2019</t>
  </si>
  <si>
    <t>PSM4, DR split into separate categories May30, 2018</t>
  </si>
  <si>
    <t>2x200 (400G-SR8)</t>
  </si>
  <si>
    <t>&lt;== same as the 400G BiDi BD4.2 MSA announced in Sept 2018</t>
  </si>
  <si>
    <t>CFP2</t>
  </si>
  <si>
    <t>CFP4</t>
  </si>
  <si>
    <t>1Q 16</t>
  </si>
  <si>
    <t>2Q 16</t>
  </si>
  <si>
    <t>3Q 16</t>
  </si>
  <si>
    <t>4Q 16</t>
  </si>
  <si>
    <t>1Q 17</t>
  </si>
  <si>
    <t>2Q 17</t>
  </si>
  <si>
    <t>3Q 17</t>
  </si>
  <si>
    <t>4Q 17</t>
  </si>
  <si>
    <t>1Q 18</t>
  </si>
  <si>
    <t>2Q 18</t>
  </si>
  <si>
    <t>Quarterly shipments CFP family transceivers</t>
  </si>
  <si>
    <t>300 m  100G QSFP28  eSR4</t>
  </si>
  <si>
    <t>DCI DWDM</t>
  </si>
  <si>
    <t>Module Data Rate</t>
  </si>
  <si>
    <t>1G &amp; Fast Ethernet</t>
  </si>
  <si>
    <t>10G (100m Sub-spec)</t>
  </si>
  <si>
    <t>10G LRM</t>
  </si>
  <si>
    <t>25G SR, eSR</t>
  </si>
  <si>
    <t>40G SR4</t>
  </si>
  <si>
    <t>40G MM duplex</t>
  </si>
  <si>
    <t>40G eSR4</t>
  </si>
  <si>
    <t xml:space="preserve">40G PSM4 </t>
  </si>
  <si>
    <t>40G (FR)</t>
  </si>
  <si>
    <t>40G (LR4 subspec)</t>
  </si>
  <si>
    <t xml:space="preserve">50G </t>
  </si>
  <si>
    <t>100G SR4</t>
  </si>
  <si>
    <t>100G SR2</t>
  </si>
  <si>
    <t>100G MM Duplex</t>
  </si>
  <si>
    <t>100G eSR4</t>
  </si>
  <si>
    <t>100G PSM4</t>
  </si>
  <si>
    <t>100G DR</t>
  </si>
  <si>
    <t>100G CWDM4</t>
  </si>
  <si>
    <t>100G LR4</t>
  </si>
  <si>
    <t>100G 4WDM10</t>
  </si>
  <si>
    <t>100G 4WDM20</t>
  </si>
  <si>
    <t>100G ER4, ER4-Lite</t>
  </si>
  <si>
    <t>400G DR4</t>
  </si>
  <si>
    <t>400G LR4, LR8</t>
  </si>
  <si>
    <t>10 G</t>
  </si>
  <si>
    <t>25 G</t>
  </si>
  <si>
    <t>40 G</t>
  </si>
  <si>
    <t>50 G</t>
  </si>
  <si>
    <t>100 G</t>
  </si>
  <si>
    <t>200 G</t>
  </si>
  <si>
    <t>400 G</t>
  </si>
  <si>
    <t>1 G</t>
  </si>
  <si>
    <t>G &amp; Fast Ethernet</t>
  </si>
  <si>
    <t>&lt;== includes Fast Ethernet 2km and 15km, and G in GBIC, 1x9, 2x9, and other discontinued form factors</t>
  </si>
  <si>
    <t>&lt;== includes 40G SR4 compliant modules; also proprietary bi-di modules in 2015 and earlier.</t>
  </si>
  <si>
    <t>&lt;== added June 2015; includes 40G bidi and other MMF duplex solutions (e.g. VCSEL-based S-WDM)</t>
  </si>
  <si>
    <t xml:space="preserve">New form factors for 400G:  </t>
  </si>
  <si>
    <t>10G LX4</t>
  </si>
  <si>
    <t>Annual growth rate 25G and above</t>
  </si>
  <si>
    <t xml:space="preserve">25 G at various reaches </t>
  </si>
  <si>
    <t>25 G by reach</t>
  </si>
  <si>
    <t xml:space="preserve">50 G at various reaches </t>
  </si>
  <si>
    <t>50 G by reach</t>
  </si>
  <si>
    <t>40 G at various reaches and form factors</t>
  </si>
  <si>
    <t>40 G by reach</t>
  </si>
  <si>
    <t>40 G by form factor</t>
  </si>
  <si>
    <t>300 m  40 G eSR QSFP+</t>
  </si>
  <si>
    <t>100 G by reach</t>
  </si>
  <si>
    <t>100 G by form factor</t>
  </si>
  <si>
    <t xml:space="preserve">200 G at various reaches </t>
  </si>
  <si>
    <t xml:space="preserve">400 G at various reaches </t>
  </si>
  <si>
    <t>200G QSFP56</t>
  </si>
  <si>
    <t>2x200G OSFP</t>
  </si>
  <si>
    <t>400G (all)</t>
  </si>
  <si>
    <t xml:space="preserve"> possible 4x25G</t>
  </si>
  <si>
    <t xml:space="preserve"> possible 4x100G</t>
  </si>
  <si>
    <t>Breakout</t>
  </si>
  <si>
    <t>200G FR4</t>
  </si>
  <si>
    <t>200G SR4</t>
  </si>
  <si>
    <t xml:space="preserve"> possible 4x25, 10x10</t>
  </si>
  <si>
    <t xml:space="preserve"> possible 10x10G</t>
  </si>
  <si>
    <t xml:space="preserve"> possible 4x50G</t>
  </si>
  <si>
    <t>Fiber</t>
  </si>
  <si>
    <t>Connector</t>
  </si>
  <si>
    <t>MPO</t>
  </si>
  <si>
    <t>MTO24</t>
  </si>
  <si>
    <t>dual LC</t>
  </si>
  <si>
    <t>duplex SMF</t>
  </si>
  <si>
    <t>two pairs MMF</t>
  </si>
  <si>
    <t>12-fiber MM ribbon</t>
  </si>
  <si>
    <t>2x12-fiber MM ribbons</t>
  </si>
  <si>
    <t>dual SC or LC</t>
  </si>
  <si>
    <t>two pairs SMF</t>
  </si>
  <si>
    <t>2 x dual LC</t>
  </si>
  <si>
    <t>16-fiber MM ribbon</t>
  </si>
  <si>
    <t>MPO16</t>
  </si>
  <si>
    <t>2 x dual CS</t>
  </si>
  <si>
    <t>12-fiber SM ribbon</t>
  </si>
  <si>
    <t xml:space="preserve"> possible 2x50G, 4x25G</t>
  </si>
  <si>
    <t>Deployed as 4x10G</t>
  </si>
  <si>
    <t xml:space="preserve"> possible 2x50G but unlikely</t>
  </si>
  <si>
    <t xml:space="preserve"> possible 4x100G BiDi</t>
  </si>
  <si>
    <t xml:space="preserve"> 8x50G most likely</t>
  </si>
  <si>
    <t xml:space="preserve"> 2x200G by default</t>
  </si>
  <si>
    <t>Google</t>
  </si>
  <si>
    <t xml:space="preserve"> possible 4x10G, no breakout done</t>
  </si>
  <si>
    <t xml:space="preserve"> no breakout possible</t>
  </si>
  <si>
    <t>Facebook</t>
  </si>
  <si>
    <t>Notable users</t>
  </si>
  <si>
    <t>Facebook, AWS</t>
  </si>
  <si>
    <t>for CSPs mainly</t>
  </si>
  <si>
    <t>AWS, Microsoft</t>
  </si>
  <si>
    <t>Alibaba, Google, Facebook</t>
  </si>
  <si>
    <t>100G CWDM4-subspec</t>
  </si>
  <si>
    <t>Split CWDM4 into std and sub-spec in March 2019</t>
  </si>
  <si>
    <t>Form factor</t>
  </si>
  <si>
    <t>Last shipment year</t>
  </si>
  <si>
    <t>&lt;== added March 2019 for backhaul applications</t>
  </si>
  <si>
    <t>OSFP, QSFP-DD</t>
  </si>
  <si>
    <t>50/100</t>
  </si>
  <si>
    <t>3Q 18</t>
  </si>
  <si>
    <t>4Q 18</t>
  </si>
  <si>
    <t>checksum</t>
  </si>
  <si>
    <t>40G-2x400G Only</t>
  </si>
  <si>
    <t>Amazon, Microsoft</t>
  </si>
  <si>
    <t>10G total</t>
  </si>
  <si>
    <t>10G (2 km sub-spec)</t>
  </si>
  <si>
    <t>Standard &amp; Sub-spec</t>
  </si>
  <si>
    <t>100G Shipments by reach</t>
  </si>
  <si>
    <t>100G at various reaches and form factors</t>
  </si>
  <si>
    <t>100G Revenues - long reach vs short reach</t>
  </si>
  <si>
    <t>Shipments by reach</t>
  </si>
  <si>
    <t>Revenues by reach</t>
  </si>
  <si>
    <t>Total annual revenues</t>
  </si>
  <si>
    <t>100G &amp; below</t>
  </si>
  <si>
    <t>200G &amp; above</t>
  </si>
  <si>
    <t>Shipments 25G and higher speeds</t>
  </si>
  <si>
    <t xml:space="preserve">Forecast Summary </t>
  </si>
  <si>
    <t>Annual shipments all data rates</t>
  </si>
  <si>
    <t>Total Revenues all data rates</t>
  </si>
  <si>
    <t>Modules by data rate, percent of total</t>
  </si>
  <si>
    <t xml:space="preserve">Revenues - data rates with $500 mn or more in peak sales </t>
  </si>
  <si>
    <t xml:space="preserve">Revenues - data rates with $250 mn or less in peak sales </t>
  </si>
  <si>
    <r>
      <t xml:space="preserve">Annual shipments - data rates with peak shipments of </t>
    </r>
    <r>
      <rPr>
        <sz val="16"/>
        <color theme="1"/>
        <rFont val="Calibri"/>
        <family val="2"/>
      </rPr>
      <t>≥</t>
    </r>
    <r>
      <rPr>
        <sz val="16"/>
        <color theme="1"/>
        <rFont val="Calibri"/>
        <family val="2"/>
        <scheme val="minor"/>
      </rPr>
      <t xml:space="preserve">10,000,000 </t>
    </r>
  </si>
  <si>
    <t>Annual shipments - data rates with peak shipments below 10,000,000</t>
  </si>
  <si>
    <t>Revenues by data rate (all rates shown)</t>
  </si>
  <si>
    <t>Annual shipments by data rate (all rates shown)</t>
  </si>
  <si>
    <t>50G &amp; below</t>
  </si>
  <si>
    <t>Revenues by data rate (two groups)</t>
  </si>
  <si>
    <t>Revenues by data rate (lower data rates grouped)</t>
  </si>
  <si>
    <t>1Q 19</t>
  </si>
  <si>
    <t>2Q 19</t>
  </si>
  <si>
    <t>Waterfall chart - units shipped in 2024 - changes by data rate</t>
  </si>
  <si>
    <t>Waterfall chart - revenues in 2024 - changes by data rate</t>
  </si>
  <si>
    <t>Note on PAM4 here</t>
  </si>
  <si>
    <t xml:space="preserve">&lt;== select product </t>
  </si>
  <si>
    <t>10G 10km</t>
  </si>
  <si>
    <t>3Q 19</t>
  </si>
  <si>
    <t>4Q 19</t>
  </si>
  <si>
    <t>50 m</t>
  </si>
  <si>
    <t xml:space="preserve"> 8x100G </t>
  </si>
  <si>
    <t>800G total</t>
  </si>
  <si>
    <t>800G</t>
  </si>
  <si>
    <t xml:space="preserve">100G PSM4 </t>
  </si>
  <si>
    <t>2x(200G FR4)</t>
  </si>
  <si>
    <t>2x(400G FR4)</t>
  </si>
  <si>
    <t>OSFP, QSFP-DD800</t>
  </si>
  <si>
    <t>OSFP, QSFP-DD, QSFP112</t>
  </si>
  <si>
    <r>
      <t xml:space="preserve">Companion Report: </t>
    </r>
    <r>
      <rPr>
        <b/>
        <sz val="12"/>
        <rFont val="Arial"/>
        <family val="2"/>
      </rPr>
      <t>High-Speed Ethernet Optics</t>
    </r>
    <r>
      <rPr>
        <sz val="12"/>
        <rFont val="Arial"/>
        <family val="2"/>
      </rPr>
      <t xml:space="preserve">, September 2020 </t>
    </r>
  </si>
  <si>
    <t>100G DR1</t>
  </si>
  <si>
    <t>400G FR4</t>
  </si>
  <si>
    <t>400G SR4.2, SR4</t>
  </si>
  <si>
    <t>100G LR4 and LR1</t>
  </si>
  <si>
    <t>100G FR1</t>
  </si>
  <si>
    <t>MSA =&gt; Standard</t>
  </si>
  <si>
    <t>800G SR8</t>
  </si>
  <si>
    <t>800G PSM8</t>
  </si>
  <si>
    <t>16-fiber SMF ribbon</t>
  </si>
  <si>
    <t xml:space="preserve">10 G at various reaches </t>
  </si>
  <si>
    <t>10G 40/80km</t>
  </si>
  <si>
    <t>100G 10km</t>
  </si>
  <si>
    <t>10G 40km</t>
  </si>
  <si>
    <t>10G 80km</t>
  </si>
  <si>
    <t xml:space="preserve">100 G at various reaches </t>
  </si>
  <si>
    <t>100G 80km (100ZR)</t>
  </si>
  <si>
    <t>copied from DWDM forecast on 9.23/2020</t>
  </si>
  <si>
    <t>100G 30/40km</t>
  </si>
  <si>
    <t>100G 30/80km</t>
  </si>
  <si>
    <t>&lt;== includes 6 km LR-6 and 10 km LR-10 versions</t>
  </si>
  <si>
    <t>Standard and MSA</t>
  </si>
  <si>
    <t>Total volume</t>
  </si>
  <si>
    <t>Volume SFP112</t>
  </si>
  <si>
    <t>Volume QSFP28</t>
  </si>
  <si>
    <t>100G LR4/LR1</t>
  </si>
  <si>
    <t>Volume QSFP112</t>
  </si>
  <si>
    <t>Volume all other</t>
  </si>
  <si>
    <t>100G QSFP28</t>
  </si>
  <si>
    <t>100G SFP112</t>
  </si>
  <si>
    <t>400G QSFP-DD/OSFP</t>
  </si>
  <si>
    <t>400G SR8/SR4.2/SR4</t>
  </si>
  <si>
    <t>2x(200G FR4) and 400G FR4</t>
  </si>
  <si>
    <t>400G LR8/LR4</t>
  </si>
  <si>
    <t>400G QSFP112</t>
  </si>
  <si>
    <t>100G SR4 and SR1</t>
  </si>
  <si>
    <t>Adoption of QSFP112 form factor in 400G transceivers</t>
  </si>
  <si>
    <t>Adoption of SFP112 form factor in 100G transceivers</t>
  </si>
  <si>
    <t>Adoption of SFP112 form factor</t>
  </si>
  <si>
    <t>Waterfall chart - top 10 contributors to forecast units total 2021-2025</t>
  </si>
  <si>
    <t>Waterfall chart - top 10 contributors to forecast revenue total 2021-2025</t>
  </si>
  <si>
    <t>1Q 20</t>
  </si>
  <si>
    <t>2Q 20</t>
  </si>
  <si>
    <t xml:space="preserve">Source: September 2020 Quarterly Market Update </t>
  </si>
  <si>
    <t>Singlemode only by data rate</t>
  </si>
  <si>
    <t>Multimode only by data rate</t>
  </si>
  <si>
    <t>800G MMF</t>
  </si>
  <si>
    <t>800G SMF</t>
  </si>
  <si>
    <t xml:space="preserve">800G at various reaches </t>
  </si>
  <si>
    <t>800G Shipments</t>
  </si>
  <si>
    <t>800G ASPs</t>
  </si>
  <si>
    <t>800G Revenues</t>
  </si>
  <si>
    <t>25G-800G Only</t>
  </si>
  <si>
    <t>800 G</t>
  </si>
  <si>
    <t>800G (all)</t>
  </si>
  <si>
    <t>200, 400 and 800G chart</t>
  </si>
  <si>
    <t xml:space="preserve">     </t>
  </si>
  <si>
    <t>100 G - the best sellers</t>
  </si>
  <si>
    <t>100G DR1 and FR1</t>
  </si>
  <si>
    <t>all in QSFP form factor</t>
  </si>
  <si>
    <t xml:space="preserve">100G CWDM4 </t>
  </si>
  <si>
    <t xml:space="preserve">100G SR4 </t>
  </si>
  <si>
    <t>All other 100G</t>
  </si>
  <si>
    <t>100G Total</t>
  </si>
  <si>
    <t>Volume</t>
  </si>
  <si>
    <t>Revenue</t>
  </si>
  <si>
    <t xml:space="preserve">This forecast presents historical sales from 2010 to 2019 and a forecast through 2025 for Ethernet transceivers.  The historical data accounts for more than 30 optical component and module vendors, including 25 that shared confidential data with LightCounting. The market forecast is based on a combination of historical trend extrapolation, expert opinion (based on numerous in-depth interviews with leading vendors), and life-cycle models based on past experience in this segment. </t>
  </si>
  <si>
    <t>September 2020 - sample -- for illustrative purposes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</si>
</sst>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_(* #,##0.0_);_(* \(#,##0.0\);_(* &quot;-&quot;??_);_(@_)"/>
    <numFmt numFmtId="170" formatCode="_(&quot;$&quot;* #,##0.0000000_);_(&quot;$&quot;* \(#,##0.0000000\);_(&quot;$&quot;* &quot;-&quot;??_);_(@_)"/>
    <numFmt numFmtId="174" formatCode="&quot;$&quot;#,##0"/>
    <numFmt numFmtId="176" formatCode="General_)"/>
    <numFmt numFmtId="177" formatCode="0.00_)"/>
    <numFmt numFmtId="178" formatCode="[&gt;9.9]0;[&gt;0]0.0;\-;"/>
    <numFmt numFmtId="179" formatCode="0.00000"/>
  </numFmts>
  <fonts count="78">
    <font>
      <sz val="10"/>
      <color theme="1"/>
      <name val="Arial"/>
      <family val="2"/>
    </font>
    <font>
      <sz val="12"/>
      <color theme="1"/>
      <name val="Calibri"/>
      <family val="2"/>
      <scheme val="minor"/>
    </font>
    <font>
      <sz val="10"/>
      <color theme="1"/>
      <name val="Calibri"/>
      <family val="2"/>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indexed="8"/>
      <name val="Arial"/>
      <family val="2"/>
    </font>
    <font>
      <sz val="10"/>
      <name val="Arial"/>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b/>
      <sz val="14"/>
      <color theme="1"/>
      <name val="Arial"/>
      <family val="2"/>
    </font>
    <font>
      <b/>
      <sz val="12"/>
      <color theme="1"/>
      <name val="Arial"/>
      <family val="2"/>
    </font>
    <font>
      <u/>
      <sz val="10"/>
      <color theme="11"/>
      <name val="Arial"/>
      <family val="2"/>
    </font>
    <font>
      <b/>
      <sz val="10"/>
      <color theme="1"/>
      <name val="Calibri"/>
      <family val="2"/>
      <scheme val="minor"/>
    </font>
    <font>
      <sz val="12"/>
      <color theme="1"/>
      <name val="Calibri"/>
      <family val="2"/>
      <scheme val="minor"/>
    </font>
    <font>
      <b/>
      <sz val="14"/>
      <color theme="1"/>
      <name val="Calibri"/>
      <family val="2"/>
      <scheme val="minor"/>
    </font>
    <font>
      <sz val="10"/>
      <name val="Calibri"/>
      <family val="2"/>
      <scheme val="minor"/>
    </font>
    <font>
      <sz val="10"/>
      <color theme="3"/>
      <name val="Calibri"/>
      <family val="2"/>
      <scheme val="minor"/>
    </font>
    <font>
      <b/>
      <sz val="18"/>
      <color theme="1"/>
      <name val="Calibri"/>
      <family val="2"/>
      <scheme val="minor"/>
    </font>
    <font>
      <sz val="10"/>
      <color rgb="FFFF0000"/>
      <name val="Calibri"/>
      <family val="2"/>
      <scheme val="minor"/>
    </font>
    <font>
      <b/>
      <sz val="10"/>
      <name val="Calibri"/>
      <family val="2"/>
      <scheme val="minor"/>
    </font>
    <font>
      <b/>
      <sz val="16"/>
      <color theme="1"/>
      <name val="Calibri"/>
      <family val="2"/>
      <scheme val="minor"/>
    </font>
    <font>
      <b/>
      <sz val="16"/>
      <color rgb="FF1F487C"/>
      <name val="Calibri"/>
      <family val="2"/>
      <scheme val="minor"/>
    </font>
    <font>
      <b/>
      <sz val="11"/>
      <color theme="1"/>
      <name val="Calibri"/>
      <family val="2"/>
      <scheme val="minor"/>
    </font>
    <font>
      <sz val="9"/>
      <color indexed="81"/>
      <name val="Tahoma"/>
      <family val="2"/>
    </font>
    <font>
      <b/>
      <sz val="10"/>
      <name val="Arial"/>
      <family val="2"/>
    </font>
    <font>
      <sz val="14"/>
      <color theme="1"/>
      <name val="Calibri"/>
      <family val="2"/>
      <scheme val="minor"/>
    </font>
    <font>
      <sz val="12"/>
      <color rgb="FFFF0000"/>
      <name val="Calibri"/>
      <family val="2"/>
      <scheme val="minor"/>
    </font>
    <font>
      <sz val="12"/>
      <color theme="1"/>
      <name val="Arial"/>
      <family val="2"/>
    </font>
    <font>
      <sz val="9"/>
      <color theme="1"/>
      <name val="Calibri"/>
      <family val="2"/>
      <scheme val="minor"/>
    </font>
    <font>
      <sz val="12"/>
      <color theme="3"/>
      <name val="Calibri"/>
      <family val="2"/>
      <scheme val="minor"/>
    </font>
    <font>
      <b/>
      <sz val="12"/>
      <name val="Arial"/>
      <family val="2"/>
    </font>
    <font>
      <sz val="12"/>
      <name val="Arial"/>
      <family val="2"/>
    </font>
    <font>
      <b/>
      <sz val="12"/>
      <color theme="1"/>
      <name val="Calibri"/>
      <family val="2"/>
      <scheme val="minor"/>
    </font>
    <font>
      <b/>
      <sz val="24"/>
      <color theme="3"/>
      <name val="Calibri"/>
      <family val="2"/>
      <scheme val="minor"/>
    </font>
    <font>
      <b/>
      <sz val="16"/>
      <color theme="3"/>
      <name val="Calibri"/>
      <family val="2"/>
      <scheme val="minor"/>
    </font>
    <font>
      <sz val="16"/>
      <color theme="1"/>
      <name val="Calibri"/>
      <family val="2"/>
      <scheme val="minor"/>
    </font>
    <font>
      <sz val="10"/>
      <color rgb="FF00B050"/>
      <name val="Calibri"/>
      <family val="2"/>
      <scheme val="minor"/>
    </font>
    <font>
      <sz val="18"/>
      <color theme="3"/>
      <name val="Calibri"/>
      <family val="2"/>
      <scheme val="minor"/>
    </font>
    <font>
      <sz val="10"/>
      <color theme="0"/>
      <name val="Calibri"/>
      <family val="2"/>
      <scheme val="minor"/>
    </font>
    <font>
      <u/>
      <sz val="10"/>
      <color theme="10"/>
      <name val="Arial"/>
      <family val="2"/>
    </font>
    <font>
      <b/>
      <sz val="12"/>
      <color rgb="FFFF0000"/>
      <name val="Arial"/>
      <family val="2"/>
    </font>
    <font>
      <b/>
      <sz val="12"/>
      <color rgb="FF00B050"/>
      <name val="Arial"/>
      <family val="2"/>
    </font>
    <font>
      <sz val="12"/>
      <color rgb="FFFF0000"/>
      <name val="Arial"/>
      <family val="2"/>
    </font>
    <font>
      <sz val="12"/>
      <color rgb="FF00B050"/>
      <name val="Arial"/>
      <family val="2"/>
    </font>
    <font>
      <sz val="12"/>
      <name val="Calibri"/>
      <family val="2"/>
      <scheme val="minor"/>
    </font>
    <font>
      <sz val="12"/>
      <color theme="1" tint="0.499984740745262"/>
      <name val="Calibri"/>
      <family val="2"/>
      <scheme val="minor"/>
    </font>
    <font>
      <b/>
      <sz val="16"/>
      <name val="Calibri"/>
      <family val="2"/>
      <scheme val="minor"/>
    </font>
    <font>
      <b/>
      <sz val="12"/>
      <name val="Calibri"/>
      <family val="2"/>
      <scheme val="minor"/>
    </font>
    <font>
      <sz val="12"/>
      <color indexed="81"/>
      <name val="Tahoma"/>
      <family val="2"/>
    </font>
    <font>
      <b/>
      <sz val="12"/>
      <color indexed="81"/>
      <name val="Tahoma"/>
      <family val="2"/>
    </font>
    <font>
      <sz val="10"/>
      <name val="Helvetica"/>
      <family val="2"/>
    </font>
    <font>
      <sz val="10"/>
      <color indexed="8"/>
      <name val="Helvetica"/>
      <family val="2"/>
    </font>
    <font>
      <b/>
      <sz val="12"/>
      <color indexed="8"/>
      <name val="Helvetica"/>
      <family val="2"/>
    </font>
    <font>
      <b/>
      <sz val="10"/>
      <color indexed="8"/>
      <name val="Helvetica"/>
      <family val="2"/>
    </font>
    <font>
      <b/>
      <i/>
      <sz val="16"/>
      <name val="Helv"/>
    </font>
    <font>
      <sz val="10"/>
      <name val="Geneva"/>
      <family val="2"/>
    </font>
    <font>
      <b/>
      <sz val="9"/>
      <color rgb="FF000000"/>
      <name val="Tahoma"/>
      <family val="2"/>
    </font>
    <font>
      <sz val="16"/>
      <color rgb="FF000000"/>
      <name val="Calibri"/>
      <family val="2"/>
      <scheme val="minor"/>
    </font>
    <font>
      <sz val="16"/>
      <color theme="1"/>
      <name val="Calibri"/>
      <family val="2"/>
    </font>
    <font>
      <sz val="9"/>
      <name val="Arial"/>
      <family val="2"/>
    </font>
    <font>
      <sz val="12"/>
      <color rgb="FF000000"/>
      <name val="Tahoma"/>
      <family val="2"/>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79998168889431442"/>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441">
    <xf numFmtId="0" fontId="0" fillId="0" borderId="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4" fontId="22" fillId="0" borderId="0" applyFont="0" applyFill="0" applyBorder="0" applyAlignment="0" applyProtection="0"/>
    <xf numFmtId="44" fontId="19" fillId="0" borderId="0" applyFont="0" applyFill="0" applyBorder="0" applyAlignment="0" applyProtection="0"/>
    <xf numFmtId="0" fontId="19" fillId="0" borderId="0"/>
    <xf numFmtId="9" fontId="22" fillId="0" borderId="0" applyFont="0" applyFill="0" applyBorder="0" applyAlignment="0" applyProtection="0"/>
    <xf numFmtId="9" fontId="19"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8" fillId="0" borderId="0"/>
    <xf numFmtId="43" fontId="18" fillId="0" borderId="0" applyFont="0" applyFill="0" applyBorder="0" applyAlignment="0" applyProtection="0"/>
    <xf numFmtId="44" fontId="18" fillId="0" borderId="0" applyFont="0" applyFill="0" applyBorder="0" applyAlignment="0" applyProtection="0"/>
    <xf numFmtId="0" fontId="30" fillId="0" borderId="0"/>
    <xf numFmtId="43" fontId="30"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9"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 fillId="0" borderId="0"/>
    <xf numFmtId="0" fontId="8" fillId="0" borderId="0"/>
    <xf numFmtId="9" fontId="8"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 fillId="0" borderId="0"/>
    <xf numFmtId="0" fontId="28"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 fillId="0" borderId="0"/>
    <xf numFmtId="43" fontId="5" fillId="0" borderId="0" applyFont="0" applyFill="0" applyBorder="0" applyAlignment="0" applyProtection="0"/>
    <xf numFmtId="43" fontId="7"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7" fillId="0" borderId="0"/>
    <xf numFmtId="43" fontId="7" fillId="0" borderId="0" applyFont="0" applyFill="0" applyBorder="0" applyAlignment="0" applyProtection="0"/>
    <xf numFmtId="43" fontId="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5" fontId="68" fillId="0" borderId="0" applyFont="0" applyFill="0" applyBorder="0" applyAlignment="0" applyProtection="0">
      <protection locked="0"/>
    </xf>
    <xf numFmtId="176" fontId="69" fillId="0" borderId="0" applyNumberFormat="0" applyFill="0" applyBorder="0" applyAlignment="0" applyProtection="0">
      <protection locked="0"/>
    </xf>
    <xf numFmtId="176" fontId="70" fillId="0" borderId="0" applyNumberFormat="0" applyFill="0" applyBorder="0" applyAlignment="0" applyProtection="0">
      <protection locked="0"/>
    </xf>
    <xf numFmtId="177" fontId="71" fillId="0" borderId="0"/>
    <xf numFmtId="0" fontId="7" fillId="0" borderId="0"/>
    <xf numFmtId="0" fontId="7" fillId="0" borderId="0"/>
    <xf numFmtId="0" fontId="3" fillId="0" borderId="0"/>
    <xf numFmtId="9" fontId="3" fillId="0" borderId="0" applyFont="0" applyFill="0" applyBorder="0" applyAlignment="0" applyProtection="0"/>
    <xf numFmtId="0" fontId="20" fillId="0" borderId="0"/>
    <xf numFmtId="178" fontId="72" fillId="0" borderId="13" applyBorder="0" applyAlignment="0">
      <alignment horizontal="center"/>
    </xf>
  </cellStyleXfs>
  <cellXfs count="587">
    <xf numFmtId="0" fontId="0" fillId="0" borderId="0" xfId="0"/>
    <xf numFmtId="0" fontId="0" fillId="3" borderId="0" xfId="0" applyFill="1" applyProtection="1">
      <protection locked="0"/>
    </xf>
    <xf numFmtId="0" fontId="0" fillId="3" borderId="0" xfId="0" applyFill="1"/>
    <xf numFmtId="0" fontId="24" fillId="0" borderId="0" xfId="0" applyFont="1"/>
    <xf numFmtId="0" fontId="0" fillId="0" borderId="0" xfId="0"/>
    <xf numFmtId="0" fontId="18" fillId="0" borderId="0" xfId="117"/>
    <xf numFmtId="0" fontId="26" fillId="3" borderId="0" xfId="0" applyFont="1" applyFill="1"/>
    <xf numFmtId="0" fontId="25" fillId="3" borderId="0" xfId="0" applyFont="1" applyFill="1" applyProtection="1">
      <protection locked="0"/>
    </xf>
    <xf numFmtId="0" fontId="25" fillId="3" borderId="0" xfId="0" applyFont="1" applyFill="1" applyAlignment="1" applyProtection="1">
      <alignment wrapText="1"/>
      <protection locked="0"/>
    </xf>
    <xf numFmtId="0" fontId="25" fillId="0" borderId="0" xfId="0" applyFont="1"/>
    <xf numFmtId="0" fontId="34" fillId="0" borderId="0" xfId="0" applyFont="1" applyAlignment="1">
      <alignment horizontal="center"/>
    </xf>
    <xf numFmtId="0" fontId="33" fillId="0" borderId="0" xfId="0" applyFont="1"/>
    <xf numFmtId="0" fontId="38" fillId="0" borderId="0" xfId="0" applyFont="1"/>
    <xf numFmtId="0" fontId="38" fillId="0" borderId="0" xfId="0" applyFont="1" applyAlignment="1">
      <alignment vertical="center"/>
    </xf>
    <xf numFmtId="0" fontId="38" fillId="0" borderId="0" xfId="0" applyFont="1" applyFill="1" applyAlignment="1">
      <alignment horizontal="left" vertical="center"/>
    </xf>
    <xf numFmtId="0" fontId="0" fillId="0" borderId="0" xfId="0" applyBorder="1" applyAlignment="1">
      <alignment horizontal="right"/>
    </xf>
    <xf numFmtId="0" fontId="0" fillId="0" borderId="0" xfId="0" applyBorder="1"/>
    <xf numFmtId="9" fontId="0" fillId="0" borderId="0" xfId="8" applyFont="1" applyBorder="1"/>
    <xf numFmtId="164" fontId="32" fillId="0" borderId="0" xfId="1" applyNumberFormat="1" applyFont="1" applyFill="1" applyBorder="1"/>
    <xf numFmtId="0" fontId="20" fillId="3" borderId="0" xfId="0" applyFont="1" applyFill="1" applyProtection="1">
      <protection locked="0"/>
    </xf>
    <xf numFmtId="0" fontId="41" fillId="3" borderId="0" xfId="0" applyFont="1" applyFill="1" applyProtection="1">
      <protection locked="0"/>
    </xf>
    <xf numFmtId="0" fontId="25" fillId="3" borderId="0" xfId="0" applyFont="1" applyFill="1" applyAlignment="1" applyProtection="1">
      <protection locked="0"/>
    </xf>
    <xf numFmtId="0" fontId="20" fillId="3" borderId="0" xfId="0" applyFont="1" applyFill="1" applyAlignment="1" applyProtection="1">
      <protection locked="0"/>
    </xf>
    <xf numFmtId="9" fontId="0" fillId="0" borderId="0" xfId="0" applyNumberFormat="1" applyBorder="1"/>
    <xf numFmtId="9" fontId="25" fillId="0" borderId="0" xfId="8" applyFont="1" applyBorder="1"/>
    <xf numFmtId="0" fontId="41" fillId="3" borderId="0" xfId="0" applyFont="1" applyFill="1" applyAlignment="1" applyProtection="1">
      <protection locked="0"/>
    </xf>
    <xf numFmtId="0" fontId="0" fillId="0" borderId="0" xfId="0" applyFill="1"/>
    <xf numFmtId="0" fontId="17" fillId="0" borderId="0" xfId="122"/>
    <xf numFmtId="0" fontId="17" fillId="0" borderId="0" xfId="122" applyFont="1" applyAlignment="1">
      <alignment horizontal="left"/>
    </xf>
    <xf numFmtId="0" fontId="42" fillId="0" borderId="0" xfId="122" applyFont="1"/>
    <xf numFmtId="0" fontId="42" fillId="0" borderId="8" xfId="122" applyFont="1" applyFill="1" applyBorder="1"/>
    <xf numFmtId="0" fontId="42" fillId="0" borderId="0" xfId="122" applyFont="1" applyFill="1" applyAlignment="1">
      <alignment horizontal="right"/>
    </xf>
    <xf numFmtId="0" fontId="42" fillId="0" borderId="8" xfId="122" applyFont="1" applyBorder="1"/>
    <xf numFmtId="0" fontId="44" fillId="3" borderId="0" xfId="0" applyFont="1" applyFill="1"/>
    <xf numFmtId="0" fontId="44" fillId="0" borderId="0" xfId="0" applyFont="1"/>
    <xf numFmtId="0" fontId="37" fillId="4" borderId="15" xfId="117" applyFont="1" applyFill="1" applyBorder="1" applyAlignment="1">
      <alignment vertical="center"/>
    </xf>
    <xf numFmtId="0" fontId="27" fillId="0" borderId="9" xfId="117" applyFont="1" applyBorder="1"/>
    <xf numFmtId="0" fontId="27" fillId="0" borderId="1" xfId="117" applyFont="1" applyBorder="1"/>
    <xf numFmtId="0" fontId="27" fillId="0" borderId="3" xfId="117" applyFont="1" applyBorder="1"/>
    <xf numFmtId="0" fontId="27" fillId="0" borderId="4" xfId="117" applyFont="1" applyBorder="1"/>
    <xf numFmtId="0" fontId="30" fillId="0" borderId="0" xfId="117" applyFont="1"/>
    <xf numFmtId="0" fontId="36" fillId="0" borderId="2" xfId="0" applyFont="1" applyBorder="1"/>
    <xf numFmtId="0" fontId="36" fillId="0" borderId="7" xfId="0" applyFont="1" applyBorder="1"/>
    <xf numFmtId="0" fontId="36" fillId="0" borderId="11" xfId="0" applyFont="1" applyBorder="1"/>
    <xf numFmtId="0" fontId="35" fillId="0" borderId="0" xfId="0" applyFont="1"/>
    <xf numFmtId="0" fontId="36" fillId="0" borderId="5" xfId="0" applyFont="1" applyBorder="1"/>
    <xf numFmtId="0" fontId="36" fillId="0" borderId="8" xfId="0" applyFont="1" applyBorder="1"/>
    <xf numFmtId="0" fontId="36" fillId="0" borderId="14" xfId="0" applyFont="1" applyBorder="1"/>
    <xf numFmtId="0" fontId="32" fillId="0" borderId="9" xfId="0" applyFont="1" applyFill="1" applyBorder="1" applyAlignment="1"/>
    <xf numFmtId="0" fontId="32" fillId="0" borderId="0" xfId="0" applyFont="1" applyFill="1" applyBorder="1" applyAlignment="1"/>
    <xf numFmtId="0" fontId="32" fillId="0" borderId="13" xfId="0" applyFont="1" applyFill="1" applyBorder="1" applyAlignment="1"/>
    <xf numFmtId="0" fontId="32" fillId="0" borderId="5" xfId="0" applyFont="1" applyFill="1" applyBorder="1" applyAlignment="1"/>
    <xf numFmtId="0" fontId="32" fillId="0" borderId="8" xfId="0" applyFont="1" applyFill="1" applyBorder="1" applyAlignment="1"/>
    <xf numFmtId="0" fontId="32" fillId="0" borderId="14" xfId="0" applyFont="1" applyFill="1" applyBorder="1" applyAlignment="1"/>
    <xf numFmtId="0" fontId="46" fillId="0" borderId="0" xfId="117" applyFont="1"/>
    <xf numFmtId="164" fontId="32" fillId="0" borderId="8" xfId="1" applyNumberFormat="1" applyFont="1" applyFill="1" applyBorder="1"/>
    <xf numFmtId="0" fontId="31" fillId="3" borderId="0" xfId="0" applyFont="1" applyFill="1"/>
    <xf numFmtId="164" fontId="30" fillId="0" borderId="0" xfId="1" applyNumberFormat="1" applyFont="1" applyFill="1"/>
    <xf numFmtId="165" fontId="0" fillId="0" borderId="0" xfId="0" applyNumberFormat="1"/>
    <xf numFmtId="9" fontId="22" fillId="0" borderId="0" xfId="8" applyFont="1"/>
    <xf numFmtId="164" fontId="35" fillId="0" borderId="0" xfId="0" applyNumberFormat="1" applyFont="1"/>
    <xf numFmtId="0" fontId="0" fillId="0" borderId="9" xfId="0" applyBorder="1"/>
    <xf numFmtId="164" fontId="35" fillId="0" borderId="0" xfId="0" applyNumberFormat="1" applyFont="1" applyFill="1" applyBorder="1"/>
    <xf numFmtId="165" fontId="30" fillId="0" borderId="0" xfId="5" applyNumberFormat="1" applyFont="1" applyFill="1"/>
    <xf numFmtId="0" fontId="27" fillId="0" borderId="9" xfId="117" applyFont="1" applyFill="1" applyBorder="1"/>
    <xf numFmtId="0" fontId="27" fillId="0" borderId="1" xfId="117" applyFont="1" applyFill="1" applyBorder="1"/>
    <xf numFmtId="0" fontId="18" fillId="0" borderId="0" xfId="117" applyFill="1"/>
    <xf numFmtId="0" fontId="50" fillId="0" borderId="0" xfId="0" applyFont="1"/>
    <xf numFmtId="0" fontId="29" fillId="0" borderId="0" xfId="0" applyFont="1"/>
    <xf numFmtId="0" fontId="15" fillId="0" borderId="0" xfId="0" applyFont="1"/>
    <xf numFmtId="0" fontId="23" fillId="0" borderId="0" xfId="0" applyFont="1"/>
    <xf numFmtId="0" fontId="15" fillId="0" borderId="0" xfId="117" applyFont="1" applyFill="1" applyBorder="1" applyAlignment="1">
      <alignment horizontal="left" vertical="center"/>
    </xf>
    <xf numFmtId="0" fontId="15" fillId="0" borderId="8" xfId="0" applyFont="1" applyFill="1" applyBorder="1"/>
    <xf numFmtId="0" fontId="15" fillId="0" borderId="6" xfId="117" applyFont="1" applyBorder="1" applyAlignment="1"/>
    <xf numFmtId="0" fontId="15" fillId="0" borderId="10" xfId="117" applyFont="1" applyBorder="1" applyAlignment="1"/>
    <xf numFmtId="0" fontId="15" fillId="0" borderId="12" xfId="117" applyFont="1" applyBorder="1" applyAlignment="1"/>
    <xf numFmtId="164" fontId="15" fillId="0" borderId="10" xfId="1" applyNumberFormat="1" applyFont="1" applyBorder="1"/>
    <xf numFmtId="0" fontId="15" fillId="0" borderId="5" xfId="117" applyFont="1" applyBorder="1" applyAlignment="1"/>
    <xf numFmtId="0" fontId="15" fillId="0" borderId="8" xfId="117" applyFont="1" applyBorder="1" applyAlignment="1"/>
    <xf numFmtId="0" fontId="15" fillId="0" borderId="14" xfId="117" applyFont="1" applyBorder="1" applyAlignment="1"/>
    <xf numFmtId="164" fontId="15" fillId="0" borderId="8" xfId="1" applyNumberFormat="1" applyFont="1" applyBorder="1"/>
    <xf numFmtId="0" fontId="15" fillId="0" borderId="9" xfId="117" applyFont="1" applyBorder="1" applyAlignment="1"/>
    <xf numFmtId="0" fontId="15" fillId="0" borderId="0" xfId="117" applyFont="1" applyBorder="1" applyAlignment="1"/>
    <xf numFmtId="0" fontId="15" fillId="0" borderId="13" xfId="117" applyFont="1" applyBorder="1" applyAlignment="1"/>
    <xf numFmtId="164" fontId="15" fillId="0" borderId="0" xfId="1" applyNumberFormat="1" applyFont="1" applyBorder="1"/>
    <xf numFmtId="0" fontId="15" fillId="0" borderId="0" xfId="0" applyFont="1" applyBorder="1" applyAlignment="1">
      <alignment vertical="center"/>
    </xf>
    <xf numFmtId="0" fontId="15" fillId="0" borderId="0" xfId="0" applyFont="1" applyBorder="1"/>
    <xf numFmtId="0" fontId="32" fillId="0" borderId="5" xfId="0" applyFont="1" applyBorder="1"/>
    <xf numFmtId="0" fontId="32" fillId="0" borderId="8" xfId="0" applyFont="1" applyBorder="1"/>
    <xf numFmtId="0" fontId="32" fillId="0" borderId="14" xfId="0" applyFont="1" applyBorder="1"/>
    <xf numFmtId="164" fontId="32" fillId="0" borderId="7" xfId="1" applyNumberFormat="1" applyFont="1" applyFill="1" applyBorder="1"/>
    <xf numFmtId="0" fontId="15" fillId="0" borderId="15" xfId="0" applyFont="1" applyBorder="1"/>
    <xf numFmtId="0" fontId="35" fillId="0" borderId="0" xfId="0" applyFont="1" applyAlignment="1">
      <alignment horizontal="right"/>
    </xf>
    <xf numFmtId="165" fontId="15" fillId="0" borderId="10" xfId="5" applyNumberFormat="1" applyFont="1" applyBorder="1"/>
    <xf numFmtId="165" fontId="15" fillId="0" borderId="8" xfId="5" applyNumberFormat="1" applyFont="1" applyBorder="1"/>
    <xf numFmtId="165" fontId="15" fillId="0" borderId="0" xfId="5" applyNumberFormat="1" applyFont="1" applyBorder="1"/>
    <xf numFmtId="165" fontId="15" fillId="0" borderId="0" xfId="5" applyNumberFormat="1" applyFont="1" applyFill="1" applyBorder="1"/>
    <xf numFmtId="165" fontId="32" fillId="0" borderId="2" xfId="5" applyNumberFormat="1" applyFont="1" applyFill="1" applyBorder="1"/>
    <xf numFmtId="165" fontId="32" fillId="0" borderId="7" xfId="5" applyNumberFormat="1" applyFont="1" applyFill="1" applyBorder="1"/>
    <xf numFmtId="165" fontId="32" fillId="0" borderId="11" xfId="5" applyNumberFormat="1" applyFont="1" applyFill="1" applyBorder="1"/>
    <xf numFmtId="166" fontId="15" fillId="0" borderId="10" xfId="5" applyNumberFormat="1" applyFont="1" applyBorder="1"/>
    <xf numFmtId="166" fontId="15" fillId="0" borderId="8" xfId="5" applyNumberFormat="1" applyFont="1" applyBorder="1"/>
    <xf numFmtId="166" fontId="15" fillId="0" borderId="0" xfId="5" applyNumberFormat="1" applyFont="1" applyBorder="1"/>
    <xf numFmtId="0" fontId="49" fillId="0" borderId="0" xfId="0" applyFont="1" applyAlignment="1">
      <alignment horizontal="left"/>
    </xf>
    <xf numFmtId="164" fontId="35" fillId="0" borderId="0" xfId="1" applyNumberFormat="1" applyFont="1"/>
    <xf numFmtId="0" fontId="14" fillId="0" borderId="0" xfId="0" applyFont="1"/>
    <xf numFmtId="0" fontId="14" fillId="0" borderId="0" xfId="0" applyFont="1" applyAlignment="1">
      <alignment horizontal="center" vertical="center"/>
    </xf>
    <xf numFmtId="17" fontId="14" fillId="0" borderId="0" xfId="0" applyNumberFormat="1" applyFont="1" applyAlignment="1">
      <alignment horizontal="center" vertical="center"/>
    </xf>
    <xf numFmtId="9" fontId="14" fillId="0" borderId="0" xfId="8" applyFont="1"/>
    <xf numFmtId="0" fontId="14" fillId="0" borderId="2" xfId="0" applyFont="1" applyFill="1" applyBorder="1"/>
    <xf numFmtId="0" fontId="14" fillId="0" borderId="7" xfId="0" applyFont="1" applyFill="1" applyBorder="1"/>
    <xf numFmtId="0" fontId="14" fillId="0" borderId="11" xfId="0" applyFont="1" applyFill="1" applyBorder="1"/>
    <xf numFmtId="165" fontId="14" fillId="0" borderId="10" xfId="5" applyNumberFormat="1" applyFont="1" applyBorder="1"/>
    <xf numFmtId="0" fontId="14" fillId="0" borderId="3" xfId="0" applyFont="1" applyBorder="1" applyAlignment="1">
      <alignment horizontal="right"/>
    </xf>
    <xf numFmtId="165" fontId="14" fillId="0" borderId="0" xfId="5" applyNumberFormat="1" applyFont="1" applyBorder="1"/>
    <xf numFmtId="0" fontId="14" fillId="0" borderId="4" xfId="0" applyFont="1" applyBorder="1" applyAlignment="1">
      <alignment horizontal="right"/>
    </xf>
    <xf numFmtId="165" fontId="14" fillId="0" borderId="8" xfId="5" applyNumberFormat="1" applyFont="1" applyBorder="1"/>
    <xf numFmtId="0" fontId="14" fillId="0" borderId="6" xfId="0" applyFont="1" applyFill="1" applyBorder="1"/>
    <xf numFmtId="0" fontId="14" fillId="0" borderId="10" xfId="0" applyFont="1" applyFill="1" applyBorder="1"/>
    <xf numFmtId="0" fontId="14" fillId="0" borderId="12" xfId="0" applyFont="1" applyFill="1" applyBorder="1"/>
    <xf numFmtId="164" fontId="13" fillId="0" borderId="0" xfId="0" applyNumberFormat="1" applyFont="1"/>
    <xf numFmtId="0" fontId="13" fillId="0" borderId="0" xfId="0" applyFont="1"/>
    <xf numFmtId="164" fontId="13" fillId="0" borderId="0" xfId="1" quotePrefix="1" applyNumberFormat="1" applyFont="1" applyAlignment="1">
      <alignment horizontal="right"/>
    </xf>
    <xf numFmtId="0" fontId="14" fillId="0" borderId="2" xfId="0" applyFont="1" applyBorder="1"/>
    <xf numFmtId="0" fontId="14" fillId="0" borderId="7" xfId="0" applyFont="1" applyBorder="1"/>
    <xf numFmtId="0" fontId="51" fillId="0" borderId="0" xfId="0" applyFont="1" applyAlignment="1">
      <alignment horizontal="left"/>
    </xf>
    <xf numFmtId="0" fontId="42" fillId="0" borderId="0" xfId="0" applyFont="1"/>
    <xf numFmtId="165" fontId="35" fillId="0" borderId="0" xfId="0" applyNumberFormat="1" applyFont="1"/>
    <xf numFmtId="0" fontId="16" fillId="0" borderId="7" xfId="0" applyFont="1" applyBorder="1"/>
    <xf numFmtId="0" fontId="29" fillId="0" borderId="0" xfId="0" applyFont="1" applyAlignment="1">
      <alignment horizontal="center"/>
    </xf>
    <xf numFmtId="164" fontId="32" fillId="0" borderId="6" xfId="0" applyNumberFormat="1" applyFont="1" applyFill="1" applyBorder="1"/>
    <xf numFmtId="164" fontId="32" fillId="0" borderId="10" xfId="0" applyNumberFormat="1" applyFont="1" applyFill="1" applyBorder="1"/>
    <xf numFmtId="164" fontId="32" fillId="0" borderId="9" xfId="0" applyNumberFormat="1" applyFont="1" applyFill="1" applyBorder="1"/>
    <xf numFmtId="164" fontId="32" fillId="0" borderId="0" xfId="0" applyNumberFormat="1" applyFont="1" applyFill="1" applyBorder="1"/>
    <xf numFmtId="164" fontId="32" fillId="0" borderId="5" xfId="0" applyNumberFormat="1" applyFont="1" applyFill="1" applyBorder="1"/>
    <xf numFmtId="164" fontId="32" fillId="0" borderId="8" xfId="0" applyNumberFormat="1" applyFont="1" applyFill="1" applyBorder="1"/>
    <xf numFmtId="164" fontId="32" fillId="0" borderId="2" xfId="0" applyNumberFormat="1" applyFont="1" applyFill="1" applyBorder="1"/>
    <xf numFmtId="164" fontId="32" fillId="0" borderId="7" xfId="0" applyNumberFormat="1" applyFont="1" applyFill="1" applyBorder="1"/>
    <xf numFmtId="165" fontId="32" fillId="0" borderId="8" xfId="5" applyNumberFormat="1" applyFont="1" applyFill="1" applyBorder="1"/>
    <xf numFmtId="165" fontId="32" fillId="0" borderId="14" xfId="5" applyNumberFormat="1" applyFont="1" applyFill="1" applyBorder="1"/>
    <xf numFmtId="165" fontId="32" fillId="0" borderId="10" xfId="5" applyNumberFormat="1" applyFont="1" applyFill="1" applyBorder="1"/>
    <xf numFmtId="165" fontId="32" fillId="0" borderId="12" xfId="5" applyNumberFormat="1" applyFont="1" applyFill="1" applyBorder="1"/>
    <xf numFmtId="165" fontId="32" fillId="0" borderId="0" xfId="5" applyNumberFormat="1" applyFont="1" applyFill="1" applyBorder="1"/>
    <xf numFmtId="165" fontId="32" fillId="0" borderId="6" xfId="5" applyNumberFormat="1" applyFont="1" applyFill="1" applyBorder="1"/>
    <xf numFmtId="165" fontId="32" fillId="0" borderId="9" xfId="5" applyNumberFormat="1" applyFont="1" applyFill="1" applyBorder="1"/>
    <xf numFmtId="165" fontId="14" fillId="0" borderId="0" xfId="5" applyNumberFormat="1" applyFont="1"/>
    <xf numFmtId="0" fontId="42" fillId="0" borderId="0" xfId="122" applyFont="1" applyAlignment="1">
      <alignment horizontal="center"/>
    </xf>
    <xf numFmtId="0" fontId="14" fillId="0" borderId="0" xfId="0" applyFont="1" applyBorder="1"/>
    <xf numFmtId="165" fontId="32" fillId="0" borderId="5" xfId="5" applyNumberFormat="1" applyFont="1" applyFill="1" applyBorder="1"/>
    <xf numFmtId="0" fontId="27" fillId="0" borderId="3" xfId="117" applyFont="1" applyFill="1" applyBorder="1"/>
    <xf numFmtId="164" fontId="25" fillId="0" borderId="0" xfId="0" applyNumberFormat="1" applyFont="1"/>
    <xf numFmtId="0" fontId="49" fillId="0" borderId="8" xfId="0" applyFont="1" applyBorder="1" applyAlignment="1">
      <alignment horizontal="left"/>
    </xf>
    <xf numFmtId="0" fontId="49" fillId="0" borderId="14" xfId="0" applyFont="1" applyBorder="1" applyAlignment="1">
      <alignment horizontal="left"/>
    </xf>
    <xf numFmtId="164" fontId="15" fillId="0" borderId="0" xfId="1" applyNumberFormat="1" applyFont="1" applyFill="1" applyBorder="1"/>
    <xf numFmtId="166" fontId="15" fillId="0" borderId="0" xfId="5" applyNumberFormat="1" applyFont="1" applyFill="1" applyBorder="1"/>
    <xf numFmtId="0" fontId="49" fillId="0" borderId="0" xfId="0" applyFont="1"/>
    <xf numFmtId="0" fontId="14" fillId="0" borderId="8" xfId="0" applyFont="1" applyBorder="1"/>
    <xf numFmtId="0" fontId="35" fillId="0" borderId="0" xfId="0" applyFont="1" applyAlignment="1">
      <alignment horizontal="center"/>
    </xf>
    <xf numFmtId="0" fontId="53" fillId="0" borderId="0" xfId="0" applyFont="1"/>
    <xf numFmtId="0" fontId="27" fillId="0" borderId="13" xfId="117" applyFont="1" applyBorder="1"/>
    <xf numFmtId="0" fontId="39" fillId="0" borderId="0" xfId="0" applyFont="1"/>
    <xf numFmtId="0" fontId="11" fillId="0" borderId="15" xfId="0" applyFont="1" applyBorder="1"/>
    <xf numFmtId="0" fontId="32" fillId="0" borderId="12" xfId="0" applyFont="1" applyFill="1" applyBorder="1" applyAlignment="1"/>
    <xf numFmtId="0" fontId="32" fillId="0" borderId="10" xfId="0" applyFont="1" applyFill="1" applyBorder="1" applyAlignment="1"/>
    <xf numFmtId="0" fontId="45" fillId="0" borderId="3" xfId="0" applyFont="1" applyBorder="1" applyAlignment="1">
      <alignment horizontal="left"/>
    </xf>
    <xf numFmtId="0" fontId="45" fillId="0" borderId="1" xfId="0" applyFont="1" applyBorder="1" applyAlignment="1">
      <alignment horizontal="left"/>
    </xf>
    <xf numFmtId="0" fontId="45" fillId="0" borderId="4" xfId="0" applyFont="1" applyBorder="1" applyAlignment="1">
      <alignment horizontal="left"/>
    </xf>
    <xf numFmtId="0" fontId="32" fillId="0" borderId="6" xfId="0" applyFont="1" applyFill="1" applyBorder="1" applyAlignment="1"/>
    <xf numFmtId="170" fontId="15" fillId="0" borderId="0" xfId="0" applyNumberFormat="1" applyFont="1"/>
    <xf numFmtId="0" fontId="15" fillId="0" borderId="0" xfId="117" applyFont="1" applyFill="1" applyBorder="1" applyAlignment="1"/>
    <xf numFmtId="164" fontId="15" fillId="0" borderId="0" xfId="1" applyNumberFormat="1" applyFont="1"/>
    <xf numFmtId="164" fontId="15" fillId="0" borderId="0" xfId="0" applyNumberFormat="1" applyFont="1"/>
    <xf numFmtId="0" fontId="18" fillId="0" borderId="9" xfId="117" applyBorder="1"/>
    <xf numFmtId="0" fontId="18" fillId="0" borderId="0" xfId="117" applyBorder="1"/>
    <xf numFmtId="0" fontId="18" fillId="0" borderId="13" xfId="117" applyBorder="1"/>
    <xf numFmtId="0" fontId="42" fillId="0" borderId="9" xfId="117" applyFont="1" applyBorder="1"/>
    <xf numFmtId="0" fontId="18" fillId="0" borderId="5" xfId="117" applyBorder="1"/>
    <xf numFmtId="0" fontId="18" fillId="0" borderId="8" xfId="117" applyBorder="1"/>
    <xf numFmtId="0" fontId="18" fillId="0" borderId="14" xfId="117" applyBorder="1"/>
    <xf numFmtId="0" fontId="16" fillId="0" borderId="2" xfId="117" applyFont="1" applyFill="1" applyBorder="1" applyAlignment="1">
      <alignment horizontal="left" vertical="center"/>
    </xf>
    <xf numFmtId="0" fontId="16" fillId="0" borderId="7" xfId="117" applyFont="1" applyFill="1" applyBorder="1" applyAlignment="1">
      <alignment horizontal="left" vertical="center"/>
    </xf>
    <xf numFmtId="0" fontId="16" fillId="0" borderId="11" xfId="117" applyFont="1" applyFill="1" applyBorder="1" applyAlignment="1">
      <alignment horizontal="left" vertical="center"/>
    </xf>
    <xf numFmtId="0" fontId="11" fillId="0" borderId="0" xfId="117" applyFont="1"/>
    <xf numFmtId="0" fontId="55" fillId="0" borderId="0" xfId="117" applyFont="1"/>
    <xf numFmtId="0" fontId="37" fillId="0" borderId="0" xfId="117" applyFont="1" applyFill="1" applyBorder="1" applyAlignment="1">
      <alignment vertical="center"/>
    </xf>
    <xf numFmtId="0" fontId="45" fillId="0" borderId="9" xfId="0" applyFont="1" applyBorder="1" applyAlignment="1">
      <alignment horizontal="left"/>
    </xf>
    <xf numFmtId="0" fontId="45" fillId="0" borderId="5" xfId="0" applyFont="1" applyBorder="1" applyAlignment="1">
      <alignment horizontal="left"/>
    </xf>
    <xf numFmtId="0" fontId="27" fillId="0" borderId="3" xfId="133" applyFont="1" applyFill="1" applyBorder="1"/>
    <xf numFmtId="0" fontId="32" fillId="0" borderId="0" xfId="0" quotePrefix="1" applyFont="1" applyFill="1" applyBorder="1" applyAlignment="1"/>
    <xf numFmtId="165" fontId="32" fillId="0" borderId="0" xfId="5" applyNumberFormat="1" applyFont="1" applyFill="1" applyBorder="1" applyAlignment="1"/>
    <xf numFmtId="0" fontId="7" fillId="0" borderId="0" xfId="0" applyFont="1"/>
    <xf numFmtId="9" fontId="7" fillId="0" borderId="0" xfId="8" applyFont="1"/>
    <xf numFmtId="0" fontId="7" fillId="0" borderId="2" xfId="0" applyFont="1" applyBorder="1"/>
    <xf numFmtId="164" fontId="7" fillId="0" borderId="0" xfId="1" applyNumberFormat="1" applyFont="1" applyBorder="1"/>
    <xf numFmtId="0" fontId="7" fillId="0" borderId="6" xfId="0" applyFont="1" applyBorder="1"/>
    <xf numFmtId="0" fontId="7" fillId="0" borderId="9" xfId="0" applyFont="1" applyBorder="1"/>
    <xf numFmtId="0" fontId="7" fillId="0" borderId="0" xfId="0" applyFont="1" applyBorder="1"/>
    <xf numFmtId="164" fontId="7" fillId="0" borderId="0" xfId="1" applyNumberFormat="1" applyFont="1"/>
    <xf numFmtId="165" fontId="7" fillId="0" borderId="0" xfId="5" applyNumberFormat="1" applyFont="1" applyBorder="1"/>
    <xf numFmtId="165" fontId="7" fillId="0" borderId="0" xfId="5" applyNumberFormat="1" applyFont="1" applyFill="1" applyBorder="1"/>
    <xf numFmtId="165" fontId="7" fillId="0" borderId="0" xfId="5" applyNumberFormat="1" applyFont="1"/>
    <xf numFmtId="166" fontId="7" fillId="0" borderId="9" xfId="5" applyNumberFormat="1" applyFont="1" applyFill="1" applyBorder="1"/>
    <xf numFmtId="166" fontId="7" fillId="0" borderId="0" xfId="5" applyNumberFormat="1" applyFont="1" applyFill="1" applyBorder="1"/>
    <xf numFmtId="0" fontId="7" fillId="6" borderId="0" xfId="0" applyFont="1" applyFill="1" applyAlignment="1">
      <alignment horizontal="center"/>
    </xf>
    <xf numFmtId="0" fontId="7" fillId="0" borderId="0" xfId="0" applyFont="1" applyFill="1" applyAlignment="1">
      <alignment horizontal="center"/>
    </xf>
    <xf numFmtId="9" fontId="35" fillId="0" borderId="0" xfId="8" applyFont="1"/>
    <xf numFmtId="0" fontId="7" fillId="0" borderId="3" xfId="0" applyFont="1" applyBorder="1"/>
    <xf numFmtId="164" fontId="15" fillId="0" borderId="8" xfId="1" applyNumberFormat="1" applyFont="1" applyFill="1" applyBorder="1"/>
    <xf numFmtId="164" fontId="15" fillId="0" borderId="10" xfId="1" applyNumberFormat="1" applyFont="1" applyFill="1" applyBorder="1"/>
    <xf numFmtId="0" fontId="15" fillId="0" borderId="0" xfId="0" applyFont="1" applyFill="1"/>
    <xf numFmtId="0" fontId="7" fillId="0" borderId="0" xfId="0" applyFont="1" applyFill="1"/>
    <xf numFmtId="164" fontId="7" fillId="0" borderId="0" xfId="0" applyNumberFormat="1" applyFont="1"/>
    <xf numFmtId="164" fontId="7" fillId="0" borderId="15" xfId="1" applyNumberFormat="1" applyFont="1" applyBorder="1"/>
    <xf numFmtId="0" fontId="7" fillId="0" borderId="15" xfId="0" applyFont="1" applyBorder="1"/>
    <xf numFmtId="0" fontId="7" fillId="0" borderId="5" xfId="0" applyFont="1" applyBorder="1"/>
    <xf numFmtId="0" fontId="7" fillId="0" borderId="8" xfId="0" applyFont="1" applyBorder="1"/>
    <xf numFmtId="0" fontId="52" fillId="0" borderId="0" xfId="0" applyFont="1"/>
    <xf numFmtId="166" fontId="32" fillId="0" borderId="0" xfId="5" applyNumberFormat="1" applyFont="1" applyFill="1" applyBorder="1"/>
    <xf numFmtId="166" fontId="32" fillId="0" borderId="8" xfId="5" applyNumberFormat="1" applyFont="1" applyFill="1" applyBorder="1"/>
    <xf numFmtId="166" fontId="32" fillId="0" borderId="10" xfId="5" applyNumberFormat="1" applyFont="1" applyFill="1" applyBorder="1"/>
    <xf numFmtId="0" fontId="20" fillId="0" borderId="0" xfId="0" applyFont="1" applyAlignment="1">
      <alignment vertical="top"/>
    </xf>
    <xf numFmtId="0" fontId="7" fillId="0" borderId="0" xfId="0" applyFont="1" applyAlignment="1">
      <alignment horizontal="center" vertical="center" wrapText="1"/>
    </xf>
    <xf numFmtId="0" fontId="7" fillId="0" borderId="0" xfId="0" quotePrefix="1" applyFont="1" applyFill="1" applyAlignment="1">
      <alignment horizontal="center"/>
    </xf>
    <xf numFmtId="0" fontId="57" fillId="0" borderId="0" xfId="0" applyFont="1" applyAlignment="1">
      <alignment horizontal="center"/>
    </xf>
    <xf numFmtId="0" fontId="58" fillId="0" borderId="0" xfId="0" applyFont="1" applyAlignment="1">
      <alignment horizontal="center"/>
    </xf>
    <xf numFmtId="0" fontId="27" fillId="0" borderId="4" xfId="117" applyFont="1" applyFill="1" applyBorder="1"/>
    <xf numFmtId="0" fontId="27" fillId="0" borderId="1" xfId="133" applyFont="1" applyFill="1" applyBorder="1"/>
    <xf numFmtId="0" fontId="47" fillId="0" borderId="1" xfId="133" applyFont="1" applyFill="1" applyBorder="1"/>
    <xf numFmtId="0" fontId="27" fillId="0" borderId="15" xfId="133" applyFont="1" applyFill="1" applyBorder="1"/>
    <xf numFmtId="0" fontId="27" fillId="0" borderId="13" xfId="133" applyFont="1" applyFill="1" applyBorder="1"/>
    <xf numFmtId="0" fontId="27" fillId="0" borderId="4" xfId="133" applyFont="1" applyFill="1" applyBorder="1"/>
    <xf numFmtId="0" fontId="27" fillId="0" borderId="9" xfId="133" applyFont="1" applyFill="1" applyBorder="1"/>
    <xf numFmtId="0" fontId="11" fillId="0" borderId="0" xfId="133" applyFill="1" applyAlignment="1">
      <alignment horizontal="center"/>
    </xf>
    <xf numFmtId="0" fontId="47" fillId="0" borderId="15" xfId="133" applyFont="1" applyFill="1" applyBorder="1"/>
    <xf numFmtId="0" fontId="27" fillId="0" borderId="6" xfId="133" applyFont="1" applyFill="1" applyBorder="1"/>
    <xf numFmtId="0" fontId="27" fillId="0" borderId="5" xfId="133" applyFont="1" applyFill="1" applyBorder="1"/>
    <xf numFmtId="0" fontId="27" fillId="0" borderId="5" xfId="117" applyFont="1" applyFill="1" applyBorder="1"/>
    <xf numFmtId="0" fontId="45" fillId="0" borderId="6" xfId="0" applyFont="1" applyBorder="1" applyAlignment="1">
      <alignment horizontal="left"/>
    </xf>
    <xf numFmtId="0" fontId="57" fillId="0" borderId="3" xfId="117" applyFont="1" applyFill="1" applyBorder="1"/>
    <xf numFmtId="0" fontId="57" fillId="0" borderId="1" xfId="133" applyFont="1" applyFill="1" applyBorder="1"/>
    <xf numFmtId="0" fontId="57" fillId="0" borderId="4" xfId="133" applyFont="1" applyFill="1" applyBorder="1"/>
    <xf numFmtId="0" fontId="57" fillId="0" borderId="15" xfId="117" applyFont="1" applyFill="1" applyBorder="1"/>
    <xf numFmtId="0" fontId="47" fillId="0" borderId="4" xfId="133" applyFont="1" applyFill="1" applyBorder="1"/>
    <xf numFmtId="0" fontId="57" fillId="0" borderId="15" xfId="133" applyFont="1" applyFill="1" applyBorder="1"/>
    <xf numFmtId="165" fontId="14" fillId="0" borderId="0" xfId="5" applyNumberFormat="1" applyFont="1" applyFill="1"/>
    <xf numFmtId="0" fontId="7" fillId="0" borderId="8" xfId="117" applyFont="1" applyFill="1" applyBorder="1" applyAlignment="1"/>
    <xf numFmtId="0" fontId="7" fillId="0" borderId="0" xfId="0" applyFont="1" applyAlignment="1">
      <alignment horizontal="right"/>
    </xf>
    <xf numFmtId="0" fontId="7" fillId="0" borderId="5" xfId="117" applyFont="1" applyFill="1" applyBorder="1" applyAlignment="1"/>
    <xf numFmtId="0" fontId="7" fillId="0" borderId="14" xfId="117" applyFont="1" applyFill="1" applyBorder="1" applyAlignment="1"/>
    <xf numFmtId="0" fontId="7" fillId="0" borderId="9" xfId="117" applyFont="1" applyBorder="1" applyAlignment="1"/>
    <xf numFmtId="0" fontId="7" fillId="0" borderId="0" xfId="117" applyFont="1" applyBorder="1" applyAlignment="1"/>
    <xf numFmtId="0" fontId="58" fillId="0" borderId="0" xfId="0" applyFont="1" applyBorder="1" applyAlignment="1">
      <alignment horizontal="center"/>
    </xf>
    <xf numFmtId="0" fontId="58" fillId="0" borderId="0" xfId="0" applyFont="1" applyFill="1" applyAlignment="1">
      <alignment horizontal="center"/>
    </xf>
    <xf numFmtId="0" fontId="57" fillId="0" borderId="10" xfId="0" applyFont="1" applyBorder="1" applyAlignment="1">
      <alignment horizontal="center"/>
    </xf>
    <xf numFmtId="0" fontId="44" fillId="0" borderId="1" xfId="117" applyFont="1" applyFill="1" applyBorder="1"/>
    <xf numFmtId="0" fontId="59" fillId="0" borderId="0" xfId="0" applyFont="1" applyFill="1" applyAlignment="1">
      <alignment horizontal="center"/>
    </xf>
    <xf numFmtId="0" fontId="44" fillId="0" borderId="4" xfId="117" applyFont="1" applyFill="1" applyBorder="1"/>
    <xf numFmtId="0" fontId="60" fillId="0" borderId="4" xfId="0" applyFont="1" applyFill="1" applyBorder="1" applyAlignment="1">
      <alignment horizontal="center"/>
    </xf>
    <xf numFmtId="0" fontId="44" fillId="0" borderId="3" xfId="117" applyFont="1" applyFill="1" applyBorder="1"/>
    <xf numFmtId="0" fontId="44" fillId="0" borderId="9" xfId="117" applyFont="1" applyFill="1" applyBorder="1"/>
    <xf numFmtId="0" fontId="59" fillId="0" borderId="4" xfId="0" applyFont="1" applyFill="1" applyBorder="1" applyAlignment="1">
      <alignment horizontal="center"/>
    </xf>
    <xf numFmtId="0" fontId="60" fillId="0" borderId="0" xfId="0" applyFont="1" applyFill="1" applyAlignment="1">
      <alignment horizontal="center"/>
    </xf>
    <xf numFmtId="0" fontId="44" fillId="0" borderId="3" xfId="0" applyFont="1" applyFill="1" applyBorder="1" applyAlignment="1">
      <alignment horizontal="left" vertical="center"/>
    </xf>
    <xf numFmtId="0" fontId="44" fillId="0" borderId="15" xfId="117" applyFont="1" applyFill="1" applyBorder="1"/>
    <xf numFmtId="0" fontId="44" fillId="0" borderId="2" xfId="117" applyFont="1" applyFill="1" applyBorder="1"/>
    <xf numFmtId="0" fontId="60" fillId="0" borderId="2" xfId="0" applyFont="1" applyFill="1" applyBorder="1" applyAlignment="1">
      <alignment horizontal="center"/>
    </xf>
    <xf numFmtId="0" fontId="61" fillId="0" borderId="0" xfId="117" applyFont="1"/>
    <xf numFmtId="0" fontId="44" fillId="0" borderId="1" xfId="0" applyFont="1" applyFill="1" applyBorder="1" applyAlignment="1">
      <alignment horizontal="left" vertical="center"/>
    </xf>
    <xf numFmtId="0" fontId="59" fillId="0" borderId="1" xfId="0" applyFont="1" applyFill="1" applyBorder="1" applyAlignment="1">
      <alignment horizontal="center"/>
    </xf>
    <xf numFmtId="0" fontId="59" fillId="0" borderId="3" xfId="0" applyFont="1" applyFill="1" applyBorder="1" applyAlignment="1">
      <alignment horizontal="center"/>
    </xf>
    <xf numFmtId="0" fontId="60" fillId="0" borderId="3" xfId="0" applyFont="1" applyFill="1" applyBorder="1" applyAlignment="1">
      <alignment horizontal="center"/>
    </xf>
    <xf numFmtId="0" fontId="44" fillId="0" borderId="3" xfId="117" applyFont="1" applyFill="1" applyBorder="1" applyAlignment="1">
      <alignment horizontal="center"/>
    </xf>
    <xf numFmtId="0" fontId="44" fillId="0" borderId="1" xfId="117" applyFont="1" applyFill="1" applyBorder="1" applyAlignment="1">
      <alignment horizontal="center"/>
    </xf>
    <xf numFmtId="0" fontId="44" fillId="0" borderId="4" xfId="117" applyFont="1" applyFill="1" applyBorder="1" applyAlignment="1">
      <alignment horizontal="center"/>
    </xf>
    <xf numFmtId="0" fontId="44" fillId="0" borderId="15" xfId="117" applyFont="1" applyFill="1" applyBorder="1" applyAlignment="1">
      <alignment horizontal="center"/>
    </xf>
    <xf numFmtId="0" fontId="42" fillId="0" borderId="0" xfId="117" applyFont="1"/>
    <xf numFmtId="44" fontId="15" fillId="0" borderId="0" xfId="0" applyNumberFormat="1" applyFont="1"/>
    <xf numFmtId="0" fontId="60" fillId="0" borderId="1" xfId="0" applyFont="1" applyFill="1" applyBorder="1" applyAlignment="1">
      <alignment horizontal="center"/>
    </xf>
    <xf numFmtId="0" fontId="45" fillId="0" borderId="0" xfId="0" applyFont="1" applyBorder="1" applyAlignment="1">
      <alignment horizontal="left"/>
    </xf>
    <xf numFmtId="165" fontId="15" fillId="0" borderId="10" xfId="5" applyNumberFormat="1" applyFont="1" applyFill="1" applyBorder="1"/>
    <xf numFmtId="0" fontId="7" fillId="0" borderId="1" xfId="0" applyFont="1" applyBorder="1"/>
    <xf numFmtId="165" fontId="14" fillId="0" borderId="10" xfId="5" applyNumberFormat="1" applyFont="1" applyFill="1" applyBorder="1"/>
    <xf numFmtId="165" fontId="14" fillId="0" borderId="8" xfId="5" applyNumberFormat="1" applyFont="1" applyFill="1" applyBorder="1"/>
    <xf numFmtId="0" fontId="15" fillId="0" borderId="2" xfId="117" applyFont="1" applyFill="1" applyBorder="1" applyAlignment="1">
      <alignment horizontal="left" vertical="center"/>
    </xf>
    <xf numFmtId="0" fontId="15" fillId="0" borderId="7" xfId="117" applyFont="1" applyFill="1" applyBorder="1" applyAlignment="1">
      <alignment horizontal="left" vertical="center"/>
    </xf>
    <xf numFmtId="0" fontId="15" fillId="0" borderId="11" xfId="117" applyFont="1" applyFill="1" applyBorder="1" applyAlignment="1">
      <alignment horizontal="left" vertical="center"/>
    </xf>
    <xf numFmtId="0" fontId="14" fillId="0" borderId="0" xfId="0" applyFont="1" applyFill="1"/>
    <xf numFmtId="165" fontId="14" fillId="0" borderId="5" xfId="5" applyNumberFormat="1" applyFont="1" applyFill="1" applyBorder="1"/>
    <xf numFmtId="0" fontId="7" fillId="0" borderId="0" xfId="117" applyFont="1" applyFill="1" applyBorder="1" applyAlignment="1"/>
    <xf numFmtId="165" fontId="14" fillId="0" borderId="0" xfId="5" applyNumberFormat="1" applyFont="1" applyFill="1" applyBorder="1"/>
    <xf numFmtId="166" fontId="14" fillId="0" borderId="0" xfId="5" applyNumberFormat="1" applyFont="1" applyFill="1" applyBorder="1"/>
    <xf numFmtId="166" fontId="14" fillId="0" borderId="0" xfId="0" applyNumberFormat="1" applyFont="1" applyFill="1" applyBorder="1"/>
    <xf numFmtId="166" fontId="14" fillId="0" borderId="0" xfId="5" applyNumberFormat="1" applyFont="1" applyBorder="1"/>
    <xf numFmtId="166" fontId="14" fillId="0" borderId="8" xfId="5" applyNumberFormat="1" applyFont="1" applyBorder="1"/>
    <xf numFmtId="165" fontId="14" fillId="0" borderId="0" xfId="0" applyNumberFormat="1" applyFont="1" applyFill="1" applyBorder="1"/>
    <xf numFmtId="165" fontId="14" fillId="0" borderId="8" xfId="0" applyNumberFormat="1" applyFont="1" applyFill="1" applyBorder="1"/>
    <xf numFmtId="0" fontId="7" fillId="0" borderId="4" xfId="0" applyFont="1" applyBorder="1"/>
    <xf numFmtId="0" fontId="7" fillId="0" borderId="5" xfId="0" applyFont="1" applyFill="1" applyBorder="1"/>
    <xf numFmtId="164" fontId="7" fillId="0" borderId="2" xfId="0" applyNumberFormat="1" applyFont="1" applyFill="1" applyBorder="1"/>
    <xf numFmtId="164" fontId="7" fillId="0" borderId="7" xfId="0" applyNumberFormat="1" applyFont="1" applyFill="1" applyBorder="1"/>
    <xf numFmtId="166" fontId="14" fillId="0" borderId="10" xfId="5" applyNumberFormat="1" applyFont="1" applyFill="1" applyBorder="1"/>
    <xf numFmtId="166" fontId="14" fillId="0" borderId="8" xfId="5" applyNumberFormat="1" applyFont="1" applyFill="1" applyBorder="1"/>
    <xf numFmtId="0" fontId="7" fillId="0" borderId="2" xfId="0" applyFont="1" applyFill="1" applyBorder="1"/>
    <xf numFmtId="0" fontId="7" fillId="0" borderId="7" xfId="0" applyFont="1" applyFill="1" applyBorder="1"/>
    <xf numFmtId="164" fontId="7" fillId="0" borderId="0" xfId="0" applyNumberFormat="1" applyFont="1" applyFill="1"/>
    <xf numFmtId="164" fontId="7" fillId="0" borderId="8" xfId="0" applyNumberFormat="1" applyFont="1" applyFill="1" applyBorder="1"/>
    <xf numFmtId="164" fontId="7" fillId="0" borderId="0" xfId="1" quotePrefix="1" applyNumberFormat="1" applyFont="1" applyAlignment="1">
      <alignment horizontal="right"/>
    </xf>
    <xf numFmtId="0" fontId="7" fillId="0" borderId="6" xfId="0" applyFont="1" applyFill="1" applyBorder="1"/>
    <xf numFmtId="0" fontId="7" fillId="0" borderId="10" xfId="0" applyFont="1" applyFill="1" applyBorder="1"/>
    <xf numFmtId="164" fontId="7" fillId="0" borderId="6" xfId="0" applyNumberFormat="1" applyFont="1" applyFill="1" applyBorder="1"/>
    <xf numFmtId="164" fontId="7" fillId="0" borderId="10" xfId="0" applyNumberFormat="1" applyFont="1" applyFill="1" applyBorder="1"/>
    <xf numFmtId="164" fontId="7" fillId="0" borderId="9" xfId="0" applyNumberFormat="1" applyFont="1" applyFill="1" applyBorder="1"/>
    <xf numFmtId="164" fontId="7" fillId="0" borderId="0" xfId="0" applyNumberFormat="1" applyFont="1" applyFill="1" applyBorder="1"/>
    <xf numFmtId="164" fontId="7" fillId="0" borderId="5" xfId="0" applyNumberFormat="1" applyFont="1" applyFill="1" applyBorder="1"/>
    <xf numFmtId="165" fontId="7" fillId="0" borderId="6" xfId="5" applyNumberFormat="1" applyFont="1" applyFill="1" applyBorder="1"/>
    <xf numFmtId="165" fontId="7" fillId="0" borderId="10" xfId="5" applyNumberFormat="1" applyFont="1" applyFill="1" applyBorder="1"/>
    <xf numFmtId="165" fontId="7" fillId="0" borderId="9" xfId="5" applyNumberFormat="1" applyFont="1" applyFill="1" applyBorder="1"/>
    <xf numFmtId="165" fontId="7" fillId="0" borderId="5" xfId="5" applyNumberFormat="1" applyFont="1" applyFill="1" applyBorder="1"/>
    <xf numFmtId="165" fontId="7" fillId="0" borderId="8" xfId="5" applyNumberFormat="1" applyFont="1" applyFill="1" applyBorder="1"/>
    <xf numFmtId="0" fontId="7" fillId="6" borderId="10" xfId="0" applyFont="1" applyFill="1" applyBorder="1"/>
    <xf numFmtId="0" fontId="0" fillId="6" borderId="10" xfId="0" applyFill="1" applyBorder="1"/>
    <xf numFmtId="164" fontId="7" fillId="6" borderId="0" xfId="0" applyNumberFormat="1" applyFont="1" applyFill="1"/>
    <xf numFmtId="0" fontId="7" fillId="7" borderId="0" xfId="0" applyFont="1" applyFill="1"/>
    <xf numFmtId="164" fontId="7" fillId="7" borderId="0" xfId="0" applyNumberFormat="1" applyFont="1" applyFill="1" applyBorder="1"/>
    <xf numFmtId="0" fontId="7" fillId="7" borderId="0" xfId="0" applyFont="1" applyFill="1" applyAlignment="1">
      <alignment horizontal="center"/>
    </xf>
    <xf numFmtId="164" fontId="7" fillId="7" borderId="0" xfId="0" applyNumberFormat="1" applyFont="1" applyFill="1"/>
    <xf numFmtId="0" fontId="7" fillId="7" borderId="8" xfId="0" applyFont="1" applyFill="1" applyBorder="1" applyAlignment="1">
      <alignment horizontal="center"/>
    </xf>
    <xf numFmtId="164" fontId="7" fillId="7" borderId="8" xfId="0" applyNumberFormat="1" applyFont="1" applyFill="1" applyBorder="1"/>
    <xf numFmtId="9" fontId="7" fillId="0" borderId="0" xfId="8" applyNumberFormat="1" applyFont="1"/>
    <xf numFmtId="0" fontId="7" fillId="0" borderId="0" xfId="0" applyFont="1" applyAlignment="1">
      <alignment vertical="center" wrapText="1"/>
    </xf>
    <xf numFmtId="164" fontId="7" fillId="0" borderId="0" xfId="8" applyNumberFormat="1" applyFont="1"/>
    <xf numFmtId="0" fontId="7" fillId="0" borderId="0" xfId="0" applyFont="1" applyAlignment="1">
      <alignment horizontal="right" vertical="center"/>
    </xf>
    <xf numFmtId="167" fontId="7" fillId="0" borderId="0" xfId="8" applyNumberFormat="1" applyFont="1"/>
    <xf numFmtId="166" fontId="7" fillId="0" borderId="6" xfId="5" applyNumberFormat="1" applyFont="1" applyFill="1" applyBorder="1"/>
    <xf numFmtId="166" fontId="7" fillId="0" borderId="10" xfId="5" applyNumberFormat="1" applyFont="1" applyFill="1" applyBorder="1"/>
    <xf numFmtId="166" fontId="7" fillId="0" borderId="5" xfId="5" applyNumberFormat="1" applyFont="1" applyFill="1" applyBorder="1"/>
    <xf numFmtId="166" fontId="7" fillId="0" borderId="8" xfId="5" applyNumberFormat="1" applyFont="1" applyFill="1" applyBorder="1"/>
    <xf numFmtId="0" fontId="31" fillId="0" borderId="0" xfId="0" applyFont="1" applyFill="1"/>
    <xf numFmtId="14" fontId="0" fillId="3" borderId="0" xfId="0" applyNumberFormat="1" applyFill="1"/>
    <xf numFmtId="0" fontId="14" fillId="0" borderId="0" xfId="0" applyFont="1" applyAlignment="1">
      <alignment horizontal="center"/>
    </xf>
    <xf numFmtId="0" fontId="32" fillId="0" borderId="3" xfId="0" applyFont="1" applyFill="1" applyBorder="1" applyAlignment="1">
      <alignment horizontal="right"/>
    </xf>
    <xf numFmtId="0" fontId="11" fillId="0" borderId="3" xfId="0" applyFont="1" applyBorder="1" applyAlignment="1">
      <alignment horizontal="right"/>
    </xf>
    <xf numFmtId="166" fontId="14" fillId="0" borderId="7" xfId="5" applyNumberFormat="1" applyFont="1" applyBorder="1"/>
    <xf numFmtId="166" fontId="32" fillId="0" borderId="9" xfId="5" applyNumberFormat="1" applyFont="1" applyFill="1" applyBorder="1"/>
    <xf numFmtId="0" fontId="36" fillId="0" borderId="6" xfId="117" applyFont="1" applyBorder="1"/>
    <xf numFmtId="0" fontId="18" fillId="0" borderId="10" xfId="117" applyBorder="1"/>
    <xf numFmtId="0" fontId="18" fillId="0" borderId="12" xfId="117" applyBorder="1"/>
    <xf numFmtId="0" fontId="32" fillId="0" borderId="9" xfId="117" applyFont="1" applyBorder="1"/>
    <xf numFmtId="0" fontId="57" fillId="0" borderId="4" xfId="117" applyFont="1" applyFill="1" applyBorder="1"/>
    <xf numFmtId="0" fontId="27" fillId="0" borderId="15" xfId="117" applyFont="1" applyFill="1" applyBorder="1"/>
    <xf numFmtId="0" fontId="27" fillId="0" borderId="11" xfId="117" applyFont="1" applyFill="1" applyBorder="1"/>
    <xf numFmtId="0" fontId="58" fillId="0" borderId="7" xfId="0" applyFont="1" applyFill="1" applyBorder="1" applyAlignment="1">
      <alignment horizontal="center"/>
    </xf>
    <xf numFmtId="0" fontId="57" fillId="0" borderId="0" xfId="0" applyFont="1" applyFill="1" applyAlignment="1">
      <alignment horizontal="center"/>
    </xf>
    <xf numFmtId="0" fontId="27" fillId="0" borderId="14" xfId="117" applyFont="1" applyFill="1" applyBorder="1"/>
    <xf numFmtId="0" fontId="58" fillId="0" borderId="8" xfId="0" applyFont="1" applyFill="1" applyBorder="1" applyAlignment="1">
      <alignment horizontal="center"/>
    </xf>
    <xf numFmtId="0" fontId="27" fillId="0" borderId="3" xfId="0" applyFont="1" applyFill="1" applyBorder="1" applyAlignment="1">
      <alignment horizontal="left" vertical="center"/>
    </xf>
    <xf numFmtId="0" fontId="27" fillId="0" borderId="13" xfId="117" applyFont="1" applyFill="1" applyBorder="1"/>
    <xf numFmtId="0" fontId="49" fillId="4" borderId="15" xfId="117" applyFont="1" applyFill="1" applyBorder="1" applyAlignment="1">
      <alignment vertical="center"/>
    </xf>
    <xf numFmtId="0" fontId="27" fillId="0" borderId="12" xfId="117" applyFont="1" applyBorder="1"/>
    <xf numFmtId="0" fontId="15" fillId="0" borderId="15" xfId="117" applyFont="1" applyFill="1" applyBorder="1" applyAlignment="1">
      <alignment horizontal="left" vertical="center"/>
    </xf>
    <xf numFmtId="0" fontId="4" fillId="0" borderId="5" xfId="117" applyFont="1" applyBorder="1"/>
    <xf numFmtId="164" fontId="32" fillId="0" borderId="0" xfId="1" applyNumberFormat="1" applyFont="1" applyFill="1" applyBorder="1" applyAlignment="1"/>
    <xf numFmtId="166" fontId="7" fillId="0" borderId="0" xfId="0" applyNumberFormat="1" applyFont="1"/>
    <xf numFmtId="164" fontId="15" fillId="0" borderId="0" xfId="0" applyNumberFormat="1" applyFont="1" applyFill="1"/>
    <xf numFmtId="0" fontId="16" fillId="0" borderId="7" xfId="0" applyFont="1" applyFill="1" applyBorder="1"/>
    <xf numFmtId="165" fontId="15" fillId="0" borderId="8" xfId="5" applyNumberFormat="1" applyFont="1" applyFill="1" applyBorder="1"/>
    <xf numFmtId="170" fontId="15" fillId="0" borderId="0" xfId="0" applyNumberFormat="1" applyFont="1" applyFill="1"/>
    <xf numFmtId="166" fontId="15" fillId="0" borderId="8" xfId="5" applyNumberFormat="1" applyFont="1" applyFill="1" applyBorder="1"/>
    <xf numFmtId="166" fontId="15" fillId="0" borderId="10" xfId="5" applyNumberFormat="1" applyFont="1" applyFill="1" applyBorder="1"/>
    <xf numFmtId="0" fontId="57" fillId="0" borderId="3" xfId="133" applyFont="1" applyFill="1" applyBorder="1"/>
    <xf numFmtId="0" fontId="7" fillId="0" borderId="1" xfId="0" quotePrefix="1" applyFont="1" applyBorder="1"/>
    <xf numFmtId="0" fontId="7" fillId="2" borderId="0" xfId="0" applyFont="1" applyFill="1"/>
    <xf numFmtId="166" fontId="32" fillId="0" borderId="7" xfId="5" applyNumberFormat="1" applyFont="1" applyFill="1" applyBorder="1"/>
    <xf numFmtId="0" fontId="7" fillId="0" borderId="8" xfId="0" applyFont="1" applyBorder="1" applyAlignment="1">
      <alignment horizontal="center"/>
    </xf>
    <xf numFmtId="0" fontId="57" fillId="0" borderId="14" xfId="0" applyFont="1" applyFill="1" applyBorder="1" applyAlignment="1">
      <alignment horizontal="center"/>
    </xf>
    <xf numFmtId="0" fontId="57" fillId="0" borderId="14" xfId="0" applyFont="1" applyBorder="1" applyAlignment="1">
      <alignment horizontal="center"/>
    </xf>
    <xf numFmtId="0" fontId="58" fillId="0" borderId="14" xfId="0" applyFont="1" applyFill="1" applyBorder="1" applyAlignment="1">
      <alignment horizontal="center"/>
    </xf>
    <xf numFmtId="0" fontId="58" fillId="0" borderId="13" xfId="0" applyFont="1" applyFill="1" applyBorder="1" applyAlignment="1">
      <alignment horizontal="center"/>
    </xf>
    <xf numFmtId="0" fontId="57" fillId="0" borderId="7" xfId="0" applyFont="1" applyFill="1" applyBorder="1" applyAlignment="1">
      <alignment horizontal="center"/>
    </xf>
    <xf numFmtId="0" fontId="58" fillId="0" borderId="11" xfId="0" applyFont="1" applyFill="1" applyBorder="1" applyAlignment="1">
      <alignment horizontal="center"/>
    </xf>
    <xf numFmtId="0" fontId="58" fillId="0" borderId="12" xfId="0" applyFont="1" applyFill="1" applyBorder="1" applyAlignment="1">
      <alignment horizontal="center"/>
    </xf>
    <xf numFmtId="0" fontId="57" fillId="0" borderId="12" xfId="0" applyFont="1" applyFill="1" applyBorder="1" applyAlignment="1">
      <alignment horizontal="center"/>
    </xf>
    <xf numFmtId="0" fontId="57" fillId="0" borderId="0" xfId="0" applyFont="1" applyFill="1" applyBorder="1" applyAlignment="1">
      <alignment horizontal="center"/>
    </xf>
    <xf numFmtId="0" fontId="58" fillId="0" borderId="0" xfId="0" applyFont="1" applyFill="1" applyBorder="1" applyAlignment="1">
      <alignment horizontal="center"/>
    </xf>
    <xf numFmtId="0" fontId="58" fillId="0" borderId="14" xfId="0" applyFont="1" applyBorder="1" applyAlignment="1">
      <alignment horizontal="center"/>
    </xf>
    <xf numFmtId="0" fontId="62" fillId="0" borderId="0" xfId="133" applyFont="1"/>
    <xf numFmtId="0" fontId="62" fillId="0" borderId="0" xfId="117" applyFont="1"/>
    <xf numFmtId="0" fontId="32" fillId="0" borderId="0" xfId="117" applyFont="1"/>
    <xf numFmtId="0" fontId="32" fillId="0" borderId="0" xfId="117" applyFont="1" applyBorder="1"/>
    <xf numFmtId="0" fontId="32" fillId="0" borderId="8" xfId="117" applyFont="1" applyBorder="1"/>
    <xf numFmtId="0" fontId="64" fillId="4" borderId="0" xfId="117" applyFont="1" applyFill="1" applyBorder="1" applyAlignment="1">
      <alignment vertical="center"/>
    </xf>
    <xf numFmtId="0" fontId="48" fillId="0" borderId="0" xfId="117" applyFont="1" applyFill="1" applyBorder="1" applyAlignment="1">
      <alignment horizontal="center"/>
    </xf>
    <xf numFmtId="0" fontId="47" fillId="0" borderId="1" xfId="133" applyFont="1" applyFill="1" applyBorder="1" applyAlignment="1">
      <alignment horizontal="left"/>
    </xf>
    <xf numFmtId="0" fontId="63" fillId="4" borderId="15" xfId="117" applyFont="1" applyFill="1" applyBorder="1" applyAlignment="1">
      <alignment horizontal="left" vertical="center"/>
    </xf>
    <xf numFmtId="0" fontId="59" fillId="0" borderId="1" xfId="117" applyFont="1" applyFill="1" applyBorder="1" applyAlignment="1">
      <alignment horizontal="left"/>
    </xf>
    <xf numFmtId="0" fontId="59" fillId="0" borderId="3" xfId="117" applyFont="1" applyFill="1" applyBorder="1" applyAlignment="1">
      <alignment horizontal="left"/>
    </xf>
    <xf numFmtId="0" fontId="59" fillId="0" borderId="4" xfId="117" applyFont="1" applyFill="1" applyBorder="1" applyAlignment="1">
      <alignment horizontal="left"/>
    </xf>
    <xf numFmtId="0" fontId="59" fillId="0" borderId="15" xfId="117" applyFont="1" applyFill="1" applyBorder="1" applyAlignment="1">
      <alignment horizontal="left"/>
    </xf>
    <xf numFmtId="0" fontId="59" fillId="0" borderId="1" xfId="133" applyFont="1" applyFill="1" applyBorder="1" applyAlignment="1">
      <alignment horizontal="left"/>
    </xf>
    <xf numFmtId="0" fontId="59" fillId="0" borderId="4" xfId="133" applyFont="1" applyFill="1" applyBorder="1" applyAlignment="1">
      <alignment horizontal="left"/>
    </xf>
    <xf numFmtId="0" fontId="59" fillId="0" borderId="15" xfId="133" applyFont="1" applyFill="1" applyBorder="1" applyAlignment="1">
      <alignment horizontal="left"/>
    </xf>
    <xf numFmtId="0" fontId="48" fillId="0" borderId="3" xfId="117" applyFont="1" applyFill="1" applyBorder="1" applyAlignment="1">
      <alignment horizontal="left"/>
    </xf>
    <xf numFmtId="0" fontId="48" fillId="0" borderId="4" xfId="117" applyFont="1" applyFill="1" applyBorder="1" applyAlignment="1">
      <alignment horizontal="left"/>
    </xf>
    <xf numFmtId="0" fontId="47" fillId="0" borderId="3" xfId="117" applyFont="1" applyFill="1" applyBorder="1" applyAlignment="1">
      <alignment horizontal="left"/>
    </xf>
    <xf numFmtId="0" fontId="48" fillId="0" borderId="1" xfId="133" applyFont="1" applyFill="1" applyBorder="1" applyAlignment="1">
      <alignment horizontal="left"/>
    </xf>
    <xf numFmtId="0" fontId="48" fillId="0" borderId="4" xfId="133" applyFont="1" applyFill="1" applyBorder="1" applyAlignment="1">
      <alignment horizontal="left"/>
    </xf>
    <xf numFmtId="0" fontId="47" fillId="0" borderId="3" xfId="133" applyFont="1" applyFill="1" applyBorder="1" applyAlignment="1">
      <alignment horizontal="left"/>
    </xf>
    <xf numFmtId="0" fontId="47" fillId="0" borderId="1" xfId="117" applyFont="1" applyFill="1" applyBorder="1" applyAlignment="1">
      <alignment horizontal="left"/>
    </xf>
    <xf numFmtId="0" fontId="48" fillId="0" borderId="3" xfId="133" applyFont="1" applyFill="1" applyBorder="1" applyAlignment="1">
      <alignment horizontal="left"/>
    </xf>
    <xf numFmtId="0" fontId="48" fillId="0" borderId="1" xfId="117" applyFont="1" applyFill="1" applyBorder="1" applyAlignment="1">
      <alignment horizontal="left"/>
    </xf>
    <xf numFmtId="0" fontId="49" fillId="4" borderId="0" xfId="117" applyFont="1" applyFill="1" applyBorder="1" applyAlignment="1">
      <alignment vertical="center"/>
    </xf>
    <xf numFmtId="0" fontId="44" fillId="0" borderId="0" xfId="117" applyFont="1" applyFill="1" applyBorder="1" applyAlignment="1">
      <alignment horizontal="center"/>
    </xf>
    <xf numFmtId="0" fontId="48" fillId="0" borderId="4" xfId="133" applyFont="1" applyFill="1" applyBorder="1"/>
    <xf numFmtId="0" fontId="48" fillId="0" borderId="4" xfId="117" applyFont="1" applyFill="1" applyBorder="1"/>
    <xf numFmtId="0" fontId="48" fillId="0" borderId="3" xfId="117" applyFont="1" applyFill="1" applyBorder="1"/>
    <xf numFmtId="0" fontId="48" fillId="0" borderId="1" xfId="117" applyFont="1" applyFill="1" applyBorder="1"/>
    <xf numFmtId="0" fontId="48" fillId="0" borderId="15" xfId="117" applyFont="1" applyFill="1" applyBorder="1"/>
    <xf numFmtId="0" fontId="48" fillId="0" borderId="1" xfId="133" applyFont="1" applyFill="1" applyBorder="1"/>
    <xf numFmtId="0" fontId="48" fillId="0" borderId="15" xfId="133" applyFont="1" applyFill="1" applyBorder="1"/>
    <xf numFmtId="0" fontId="48" fillId="0" borderId="3" xfId="133" applyFont="1" applyFill="1" applyBorder="1"/>
    <xf numFmtId="0" fontId="48" fillId="0" borderId="13" xfId="133" applyFont="1" applyFill="1" applyBorder="1"/>
    <xf numFmtId="0" fontId="48" fillId="0" borderId="12" xfId="133" applyFont="1" applyFill="1" applyBorder="1"/>
    <xf numFmtId="0" fontId="27" fillId="0" borderId="2" xfId="133" applyFont="1" applyFill="1" applyBorder="1"/>
    <xf numFmtId="0" fontId="27" fillId="0" borderId="2" xfId="117" applyFont="1" applyFill="1" applyBorder="1"/>
    <xf numFmtId="0" fontId="47" fillId="0" borderId="3" xfId="133" applyFont="1" applyFill="1" applyBorder="1"/>
    <xf numFmtId="0" fontId="61" fillId="0" borderId="1" xfId="133" applyFont="1" applyFill="1" applyBorder="1" applyAlignment="1">
      <alignment horizontal="left"/>
    </xf>
    <xf numFmtId="174" fontId="35" fillId="0" borderId="0" xfId="5" applyNumberFormat="1" applyFont="1"/>
    <xf numFmtId="0" fontId="37" fillId="0" borderId="0" xfId="117" applyFont="1"/>
    <xf numFmtId="166" fontId="14" fillId="0" borderId="13" xfId="5" applyNumberFormat="1" applyFont="1" applyFill="1" applyBorder="1"/>
    <xf numFmtId="165" fontId="14" fillId="0" borderId="13" xfId="0" applyNumberFormat="1" applyFont="1" applyFill="1" applyBorder="1"/>
    <xf numFmtId="166" fontId="14" fillId="0" borderId="13" xfId="0" applyNumberFormat="1" applyFont="1" applyFill="1" applyBorder="1"/>
    <xf numFmtId="166" fontId="14" fillId="0" borderId="14" xfId="5" applyNumberFormat="1" applyFont="1" applyFill="1" applyBorder="1"/>
    <xf numFmtId="165" fontId="14" fillId="0" borderId="13" xfId="5" applyNumberFormat="1" applyFont="1" applyFill="1" applyBorder="1"/>
    <xf numFmtId="165" fontId="14" fillId="0" borderId="14" xfId="5" applyNumberFormat="1" applyFont="1" applyFill="1" applyBorder="1"/>
    <xf numFmtId="0" fontId="27" fillId="0" borderId="0" xfId="117" applyFont="1" applyFill="1" applyBorder="1"/>
    <xf numFmtId="0" fontId="36" fillId="0" borderId="9" xfId="117" applyFont="1" applyBorder="1"/>
    <xf numFmtId="166" fontId="14" fillId="0" borderId="12" xfId="5" applyNumberFormat="1" applyFont="1" applyFill="1" applyBorder="1"/>
    <xf numFmtId="0" fontId="62" fillId="0" borderId="0" xfId="133" quotePrefix="1" applyFont="1"/>
    <xf numFmtId="0" fontId="7" fillId="0" borderId="8" xfId="117" applyFont="1" applyBorder="1" applyAlignment="1"/>
    <xf numFmtId="0" fontId="45" fillId="0" borderId="9" xfId="0" applyFont="1" applyFill="1" applyBorder="1" applyAlignment="1">
      <alignment horizontal="left"/>
    </xf>
    <xf numFmtId="0" fontId="45" fillId="0" borderId="5" xfId="0" applyFont="1" applyFill="1" applyBorder="1" applyAlignment="1">
      <alignment horizontal="left"/>
    </xf>
    <xf numFmtId="0" fontId="7" fillId="6" borderId="0" xfId="0" applyFont="1" applyFill="1" applyBorder="1" applyAlignment="1">
      <alignment horizontal="center"/>
    </xf>
    <xf numFmtId="164" fontId="7" fillId="6" borderId="0" xfId="0" applyNumberFormat="1" applyFont="1" applyFill="1" applyBorder="1"/>
    <xf numFmtId="43" fontId="15" fillId="0" borderId="0" xfId="0" applyNumberFormat="1" applyFont="1"/>
    <xf numFmtId="0" fontId="7" fillId="0" borderId="0" xfId="117" applyFont="1" applyFill="1"/>
    <xf numFmtId="0" fontId="7" fillId="0" borderId="0" xfId="117" quotePrefix="1" applyFont="1" applyFill="1"/>
    <xf numFmtId="168" fontId="35" fillId="0" borderId="0" xfId="1" applyNumberFormat="1" applyFont="1" applyFill="1" applyAlignment="1">
      <alignment horizontal="right"/>
    </xf>
    <xf numFmtId="43" fontId="25" fillId="0" borderId="0" xfId="1" applyFont="1"/>
    <xf numFmtId="164" fontId="7" fillId="0" borderId="0" xfId="0" applyNumberFormat="1" applyFont="1" applyBorder="1"/>
    <xf numFmtId="164" fontId="7" fillId="0" borderId="15" xfId="0" applyNumberFormat="1" applyFont="1" applyBorder="1"/>
    <xf numFmtId="44" fontId="14" fillId="0" borderId="0" xfId="5" applyNumberFormat="1" applyFont="1" applyBorder="1"/>
    <xf numFmtId="44" fontId="14" fillId="0" borderId="0" xfId="5" applyNumberFormat="1" applyFont="1" applyFill="1" applyBorder="1"/>
    <xf numFmtId="44" fontId="14" fillId="0" borderId="13" xfId="5" applyNumberFormat="1" applyFont="1" applyFill="1" applyBorder="1"/>
    <xf numFmtId="0" fontId="7" fillId="0" borderId="14" xfId="164" applyFont="1" applyFill="1" applyBorder="1" applyAlignment="1"/>
    <xf numFmtId="164" fontId="7" fillId="0" borderId="10" xfId="1" applyNumberFormat="1" applyFont="1" applyBorder="1"/>
    <xf numFmtId="0" fontId="7" fillId="0" borderId="0" xfId="0" applyFont="1" applyFill="1" applyBorder="1"/>
    <xf numFmtId="165" fontId="7" fillId="0" borderId="10" xfId="5" applyNumberFormat="1" applyFont="1" applyBorder="1"/>
    <xf numFmtId="0" fontId="7" fillId="0" borderId="13" xfId="164" applyFont="1" applyFill="1" applyBorder="1" applyAlignment="1"/>
    <xf numFmtId="0" fontId="32" fillId="0" borderId="10" xfId="0" quotePrefix="1" applyFont="1" applyFill="1" applyBorder="1" applyAlignment="1"/>
    <xf numFmtId="165" fontId="32" fillId="0" borderId="10" xfId="5" quotePrefix="1" applyNumberFormat="1" applyFont="1" applyFill="1" applyBorder="1" applyAlignment="1"/>
    <xf numFmtId="164" fontId="7" fillId="0" borderId="1" xfId="1" applyNumberFormat="1" applyFont="1" applyBorder="1"/>
    <xf numFmtId="0" fontId="7" fillId="0" borderId="11" xfId="0" applyFont="1" applyFill="1" applyBorder="1"/>
    <xf numFmtId="0" fontId="18" fillId="0" borderId="3" xfId="117" applyBorder="1"/>
    <xf numFmtId="0" fontId="44" fillId="0" borderId="5" xfId="117" applyFont="1" applyFill="1" applyBorder="1"/>
    <xf numFmtId="0" fontId="44" fillId="0" borderId="4" xfId="0" applyFont="1" applyFill="1" applyBorder="1" applyAlignment="1">
      <alignment horizontal="left" vertical="center"/>
    </xf>
    <xf numFmtId="0" fontId="44" fillId="0" borderId="14" xfId="117" applyFont="1" applyFill="1" applyBorder="1"/>
    <xf numFmtId="0" fontId="59" fillId="0" borderId="4" xfId="117" applyFont="1" applyFill="1" applyBorder="1" applyAlignment="1">
      <alignment horizontal="center"/>
    </xf>
    <xf numFmtId="0" fontId="59" fillId="0" borderId="14" xfId="0" applyFont="1" applyFill="1" applyBorder="1" applyAlignment="1">
      <alignment horizontal="center"/>
    </xf>
    <xf numFmtId="0" fontId="44" fillId="13" borderId="15" xfId="117" applyFont="1" applyFill="1" applyBorder="1"/>
    <xf numFmtId="0" fontId="57" fillId="13" borderId="15" xfId="117" applyFont="1" applyFill="1" applyBorder="1" applyAlignment="1">
      <alignment horizontal="center"/>
    </xf>
    <xf numFmtId="0" fontId="60" fillId="13" borderId="4" xfId="0" applyFont="1" applyFill="1" applyBorder="1" applyAlignment="1">
      <alignment horizontal="center"/>
    </xf>
    <xf numFmtId="43" fontId="7" fillId="0" borderId="0" xfId="0" applyNumberFormat="1" applyFont="1"/>
    <xf numFmtId="0" fontId="7" fillId="0" borderId="15" xfId="0" applyFont="1" applyFill="1" applyBorder="1"/>
    <xf numFmtId="0" fontId="48" fillId="3" borderId="0" xfId="0" applyFont="1" applyFill="1"/>
    <xf numFmtId="165" fontId="35" fillId="0" borderId="0" xfId="5" applyNumberFormat="1" applyFont="1"/>
    <xf numFmtId="0" fontId="37" fillId="0" borderId="0" xfId="0" applyFont="1"/>
    <xf numFmtId="0" fontId="74" fillId="0" borderId="0" xfId="0" applyFont="1" applyAlignment="1">
      <alignment horizontal="left" vertical="center" readingOrder="1"/>
    </xf>
    <xf numFmtId="164" fontId="52" fillId="0" borderId="0" xfId="1" quotePrefix="1" applyNumberFormat="1" applyFont="1" applyAlignment="1">
      <alignment horizontal="right"/>
    </xf>
    <xf numFmtId="164" fontId="52" fillId="0" borderId="0" xfId="0" applyNumberFormat="1" applyFont="1"/>
    <xf numFmtId="0" fontId="7" fillId="0" borderId="0" xfId="0" applyFont="1" applyAlignment="1">
      <alignment horizontal="left"/>
    </xf>
    <xf numFmtId="164" fontId="32" fillId="0" borderId="12" xfId="0" applyNumberFormat="1" applyFont="1" applyFill="1" applyBorder="1"/>
    <xf numFmtId="164" fontId="32" fillId="0" borderId="14" xfId="0" applyNumberFormat="1" applyFont="1" applyFill="1" applyBorder="1"/>
    <xf numFmtId="166" fontId="14" fillId="0" borderId="8" xfId="0" applyNumberFormat="1" applyFont="1" applyFill="1" applyBorder="1"/>
    <xf numFmtId="166" fontId="14" fillId="0" borderId="14" xfId="0" applyNumberFormat="1" applyFont="1" applyFill="1" applyBorder="1"/>
    <xf numFmtId="0" fontId="7" fillId="2" borderId="15" xfId="117" applyFont="1" applyFill="1" applyBorder="1" applyAlignment="1">
      <alignment horizontal="center"/>
    </xf>
    <xf numFmtId="0" fontId="52" fillId="0" borderId="0" xfId="122" quotePrefix="1" applyFont="1"/>
    <xf numFmtId="164" fontId="59" fillId="0" borderId="0" xfId="1" applyNumberFormat="1" applyFont="1" applyFill="1"/>
    <xf numFmtId="164" fontId="59" fillId="0" borderId="0" xfId="0" applyNumberFormat="1" applyFont="1" applyFill="1"/>
    <xf numFmtId="0" fontId="29" fillId="0" borderId="0" xfId="0" applyFont="1" applyFill="1" applyAlignment="1">
      <alignment horizontal="right"/>
    </xf>
    <xf numFmtId="164" fontId="43" fillId="0" borderId="0" xfId="0" applyNumberFormat="1" applyFont="1" applyFill="1"/>
    <xf numFmtId="0" fontId="20" fillId="0" borderId="0" xfId="0" applyFont="1" applyFill="1" applyAlignment="1">
      <alignment vertical="top"/>
    </xf>
    <xf numFmtId="165" fontId="7" fillId="0" borderId="12" xfId="5" applyNumberFormat="1" applyFont="1" applyFill="1" applyBorder="1" applyAlignment="1"/>
    <xf numFmtId="0" fontId="7" fillId="0" borderId="12" xfId="117" applyFont="1" applyFill="1" applyBorder="1" applyAlignment="1"/>
    <xf numFmtId="0" fontId="76" fillId="0" borderId="6" xfId="0" applyFont="1" applyBorder="1"/>
    <xf numFmtId="0" fontId="32" fillId="0" borderId="8" xfId="0" quotePrefix="1" applyFont="1" applyFill="1" applyBorder="1" applyAlignment="1"/>
    <xf numFmtId="0" fontId="7" fillId="0" borderId="6" xfId="0" applyFont="1" applyBorder="1" applyAlignment="1">
      <alignment horizontal="right"/>
    </xf>
    <xf numFmtId="0" fontId="7" fillId="0" borderId="5" xfId="0" applyFont="1" applyBorder="1" applyAlignment="1">
      <alignment horizontal="right"/>
    </xf>
    <xf numFmtId="0" fontId="7" fillId="0" borderId="2" xfId="0" applyFont="1" applyBorder="1" applyAlignment="1">
      <alignment horizontal="right"/>
    </xf>
    <xf numFmtId="0" fontId="0" fillId="6" borderId="6" xfId="0" applyFill="1" applyBorder="1"/>
    <xf numFmtId="164" fontId="7" fillId="6" borderId="9" xfId="0" applyNumberFormat="1" applyFont="1" applyFill="1" applyBorder="1"/>
    <xf numFmtId="164" fontId="7" fillId="7" borderId="9" xfId="0" applyNumberFormat="1" applyFont="1" applyFill="1" applyBorder="1"/>
    <xf numFmtId="164" fontId="7" fillId="7" borderId="5" xfId="0" applyNumberFormat="1" applyFont="1" applyFill="1" applyBorder="1"/>
    <xf numFmtId="9" fontId="7" fillId="0" borderId="9" xfId="8" applyFont="1" applyBorder="1"/>
    <xf numFmtId="9" fontId="7" fillId="0" borderId="9" xfId="8" applyNumberFormat="1" applyFont="1" applyBorder="1"/>
    <xf numFmtId="164" fontId="35" fillId="0" borderId="9" xfId="0" applyNumberFormat="1" applyFont="1" applyBorder="1"/>
    <xf numFmtId="164" fontId="7" fillId="0" borderId="9" xfId="1" applyNumberFormat="1" applyFont="1" applyBorder="1"/>
    <xf numFmtId="164" fontId="7" fillId="0" borderId="9" xfId="0" applyNumberFormat="1" applyFont="1" applyBorder="1"/>
    <xf numFmtId="167" fontId="7" fillId="0" borderId="9" xfId="8" applyNumberFormat="1" applyFont="1" applyBorder="1"/>
    <xf numFmtId="168" fontId="35" fillId="0" borderId="9" xfId="1" applyNumberFormat="1" applyFont="1" applyFill="1" applyBorder="1" applyAlignment="1">
      <alignment horizontal="right"/>
    </xf>
    <xf numFmtId="166" fontId="32" fillId="0" borderId="5" xfId="5" applyNumberFormat="1" applyFont="1" applyFill="1" applyBorder="1"/>
    <xf numFmtId="165" fontId="32" fillId="5" borderId="0" xfId="5" applyNumberFormat="1" applyFont="1" applyFill="1" applyBorder="1"/>
    <xf numFmtId="165" fontId="14" fillId="5" borderId="6" xfId="5" applyNumberFormat="1" applyFont="1" applyFill="1" applyBorder="1"/>
    <xf numFmtId="165" fontId="14" fillId="5" borderId="10" xfId="5" applyNumberFormat="1" applyFont="1" applyFill="1" applyBorder="1"/>
    <xf numFmtId="165" fontId="14" fillId="5" borderId="9" xfId="5" applyNumberFormat="1" applyFont="1" applyFill="1" applyBorder="1"/>
    <xf numFmtId="165" fontId="14" fillId="5" borderId="0" xfId="5" applyNumberFormat="1" applyFont="1" applyFill="1" applyBorder="1"/>
    <xf numFmtId="165" fontId="14" fillId="5" borderId="5" xfId="5" applyNumberFormat="1" applyFont="1" applyFill="1" applyBorder="1"/>
    <xf numFmtId="165" fontId="14" fillId="5" borderId="8" xfId="5" applyNumberFormat="1" applyFont="1" applyFill="1" applyBorder="1"/>
    <xf numFmtId="166" fontId="14" fillId="5" borderId="9" xfId="5" applyNumberFormat="1" applyFont="1" applyFill="1" applyBorder="1"/>
    <xf numFmtId="166" fontId="14" fillId="5" borderId="0" xfId="5" applyNumberFormat="1" applyFont="1" applyFill="1" applyBorder="1"/>
    <xf numFmtId="166" fontId="14" fillId="5" borderId="9" xfId="0" applyNumberFormat="1" applyFont="1" applyFill="1" applyBorder="1"/>
    <xf numFmtId="166" fontId="14" fillId="5" borderId="0" xfId="0" applyNumberFormat="1" applyFont="1" applyFill="1" applyBorder="1"/>
    <xf numFmtId="0" fontId="14" fillId="5" borderId="9" xfId="0" applyFont="1" applyFill="1" applyBorder="1"/>
    <xf numFmtId="0" fontId="14" fillId="5" borderId="0" xfId="0" applyFont="1" applyFill="1" applyBorder="1"/>
    <xf numFmtId="0" fontId="14" fillId="5" borderId="5" xfId="0" applyFont="1" applyFill="1" applyBorder="1"/>
    <xf numFmtId="0" fontId="14" fillId="5" borderId="8" xfId="0" applyFont="1" applyFill="1" applyBorder="1"/>
    <xf numFmtId="165" fontId="14" fillId="5" borderId="9" xfId="0" applyNumberFormat="1" applyFont="1" applyFill="1" applyBorder="1"/>
    <xf numFmtId="165" fontId="14" fillId="5" borderId="0" xfId="0" applyNumberFormat="1" applyFont="1" applyFill="1" applyBorder="1"/>
    <xf numFmtId="165" fontId="14" fillId="5" borderId="5" xfId="0" applyNumberFormat="1" applyFont="1" applyFill="1" applyBorder="1"/>
    <xf numFmtId="165" fontId="14" fillId="5" borderId="8" xfId="0" applyNumberFormat="1" applyFont="1" applyFill="1" applyBorder="1"/>
    <xf numFmtId="0" fontId="49" fillId="0" borderId="8" xfId="0" applyFont="1" applyBorder="1" applyAlignment="1">
      <alignment horizontal="right"/>
    </xf>
    <xf numFmtId="0" fontId="11" fillId="0" borderId="1" xfId="0" applyFont="1" applyBorder="1" applyAlignment="1">
      <alignment horizontal="right" indent="2"/>
    </xf>
    <xf numFmtId="0" fontId="11" fillId="0" borderId="3" xfId="0" applyFont="1" applyFill="1" applyBorder="1" applyAlignment="1">
      <alignment horizontal="right" indent="2"/>
    </xf>
    <xf numFmtId="0" fontId="11" fillId="0" borderId="3" xfId="0" applyFont="1" applyBorder="1" applyAlignment="1">
      <alignment horizontal="right" indent="2"/>
    </xf>
    <xf numFmtId="0" fontId="7" fillId="0" borderId="4" xfId="0" applyFont="1" applyBorder="1" applyAlignment="1">
      <alignment horizontal="right" indent="2"/>
    </xf>
    <xf numFmtId="0" fontId="14" fillId="0" borderId="0" xfId="0" applyFont="1" applyAlignment="1">
      <alignment horizontal="right"/>
    </xf>
    <xf numFmtId="0" fontId="11" fillId="0" borderId="4" xfId="0" applyFont="1" applyBorder="1" applyAlignment="1">
      <alignment horizontal="right" indent="2"/>
    </xf>
    <xf numFmtId="165" fontId="14" fillId="5" borderId="2" xfId="5" applyNumberFormat="1" applyFont="1" applyFill="1" applyBorder="1"/>
    <xf numFmtId="166" fontId="14" fillId="5" borderId="7" xfId="5" applyNumberFormat="1" applyFont="1" applyFill="1" applyBorder="1"/>
    <xf numFmtId="44" fontId="15" fillId="0" borderId="0" xfId="5" applyNumberFormat="1" applyFont="1" applyBorder="1"/>
    <xf numFmtId="165" fontId="7" fillId="0" borderId="1" xfId="5" applyNumberFormat="1" applyFont="1" applyBorder="1"/>
    <xf numFmtId="164" fontId="7" fillId="0" borderId="4" xfId="0" applyNumberFormat="1" applyFont="1" applyBorder="1"/>
    <xf numFmtId="9" fontId="33" fillId="6" borderId="15" xfId="8" applyFont="1" applyFill="1" applyBorder="1"/>
    <xf numFmtId="0" fontId="29" fillId="15" borderId="15" xfId="122" applyFont="1" applyFill="1" applyBorder="1"/>
    <xf numFmtId="0" fontId="29" fillId="15" borderId="1" xfId="122" applyFont="1" applyFill="1" applyBorder="1"/>
    <xf numFmtId="3" fontId="7" fillId="0" borderId="0" xfId="0" applyNumberFormat="1" applyFont="1"/>
    <xf numFmtId="0" fontId="1" fillId="8" borderId="0" xfId="0" applyFont="1" applyFill="1" applyAlignment="1">
      <alignment horizontal="center"/>
    </xf>
    <xf numFmtId="0" fontId="1" fillId="4" borderId="0" xfId="0" applyFont="1" applyFill="1" applyAlignment="1">
      <alignment horizontal="center"/>
    </xf>
    <xf numFmtId="0" fontId="1" fillId="9" borderId="0" xfId="0" applyFont="1" applyFill="1" applyAlignment="1">
      <alignment horizontal="center"/>
    </xf>
    <xf numFmtId="0" fontId="1" fillId="6" borderId="8" xfId="0" applyFont="1" applyFill="1" applyBorder="1" applyAlignment="1">
      <alignment horizontal="center"/>
    </xf>
    <xf numFmtId="0" fontId="1" fillId="10"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2" borderId="0" xfId="0" applyFont="1" applyFill="1" applyBorder="1" applyAlignment="1">
      <alignment horizontal="center"/>
    </xf>
    <xf numFmtId="0" fontId="1" fillId="14" borderId="8" xfId="0" applyFont="1" applyFill="1" applyBorder="1" applyAlignment="1">
      <alignment horizontal="center"/>
    </xf>
    <xf numFmtId="166" fontId="35" fillId="0" borderId="0" xfId="5" applyNumberFormat="1" applyFont="1" applyFill="1" applyBorder="1"/>
    <xf numFmtId="0" fontId="7" fillId="0" borderId="15" xfId="0" applyFont="1" applyBorder="1" applyAlignment="1">
      <alignment horizontal="left" indent="1"/>
    </xf>
    <xf numFmtId="0" fontId="7" fillId="0" borderId="15" xfId="0" applyFont="1" applyBorder="1" applyAlignment="1">
      <alignment horizontal="left" indent="2"/>
    </xf>
    <xf numFmtId="0" fontId="7" fillId="0" borderId="4" xfId="0" applyFont="1" applyBorder="1" applyAlignment="1">
      <alignment horizontal="right"/>
    </xf>
    <xf numFmtId="0" fontId="7" fillId="0" borderId="1" xfId="0" applyFont="1" applyBorder="1" applyAlignment="1">
      <alignment horizontal="right"/>
    </xf>
    <xf numFmtId="0" fontId="51" fillId="2" borderId="0" xfId="0" applyFont="1" applyFill="1" applyAlignment="1">
      <alignment horizontal="left"/>
    </xf>
    <xf numFmtId="0" fontId="51" fillId="0" borderId="0" xfId="0" applyFont="1" applyFill="1" applyAlignment="1">
      <alignment horizontal="left"/>
    </xf>
    <xf numFmtId="165" fontId="7" fillId="0" borderId="15" xfId="5" applyNumberFormat="1" applyFont="1" applyBorder="1"/>
    <xf numFmtId="0" fontId="7" fillId="5" borderId="15" xfId="0" applyFont="1" applyFill="1" applyBorder="1" applyAlignment="1">
      <alignment horizontal="right" indent="1"/>
    </xf>
    <xf numFmtId="164" fontId="7" fillId="5" borderId="15" xfId="0" applyNumberFormat="1" applyFont="1" applyFill="1" applyBorder="1"/>
    <xf numFmtId="164" fontId="7" fillId="5" borderId="15" xfId="1" applyNumberFormat="1" applyFont="1" applyFill="1" applyBorder="1"/>
    <xf numFmtId="165" fontId="7" fillId="5" borderId="15" xfId="5" applyNumberFormat="1" applyFont="1" applyFill="1" applyBorder="1"/>
    <xf numFmtId="166" fontId="7" fillId="5" borderId="15" xfId="5" applyNumberFormat="1" applyFont="1" applyFill="1" applyBorder="1"/>
    <xf numFmtId="0" fontId="1" fillId="0" borderId="0" xfId="0" applyFont="1"/>
    <xf numFmtId="179" fontId="7" fillId="0" borderId="0" xfId="0" applyNumberFormat="1" applyFont="1"/>
    <xf numFmtId="0" fontId="20" fillId="3" borderId="0" xfId="0" applyFont="1" applyFill="1" applyAlignment="1">
      <alignment horizontal="left" vertical="center" wrapText="1"/>
    </xf>
    <xf numFmtId="0" fontId="20" fillId="3" borderId="0" xfId="0" applyFont="1" applyFill="1" applyAlignment="1" applyProtection="1">
      <alignment wrapText="1"/>
      <protection locked="0"/>
    </xf>
    <xf numFmtId="0" fontId="37" fillId="4" borderId="2" xfId="117" applyFont="1" applyFill="1" applyBorder="1" applyAlignment="1">
      <alignment horizontal="center" vertical="center"/>
    </xf>
    <xf numFmtId="0" fontId="37" fillId="4" borderId="7" xfId="117" applyFont="1" applyFill="1" applyBorder="1" applyAlignment="1">
      <alignment horizontal="center" vertical="center"/>
    </xf>
    <xf numFmtId="0" fontId="37" fillId="4" borderId="11" xfId="117" applyFont="1" applyFill="1" applyBorder="1" applyAlignment="1">
      <alignment horizontal="center" vertical="center"/>
    </xf>
    <xf numFmtId="0" fontId="52" fillId="0" borderId="6" xfId="117" applyFont="1" applyBorder="1" applyAlignment="1">
      <alignment horizontal="left" wrapText="1"/>
    </xf>
    <xf numFmtId="0" fontId="52" fillId="0" borderId="10" xfId="117" applyFont="1" applyBorder="1" applyAlignment="1">
      <alignment horizontal="left" wrapText="1"/>
    </xf>
    <xf numFmtId="0" fontId="52" fillId="0" borderId="12" xfId="117" applyFont="1" applyBorder="1" applyAlignment="1">
      <alignment horizontal="left" wrapText="1"/>
    </xf>
    <xf numFmtId="0" fontId="52" fillId="0" borderId="9" xfId="117" applyFont="1" applyBorder="1" applyAlignment="1">
      <alignment horizontal="left" wrapText="1"/>
    </xf>
    <xf numFmtId="0" fontId="52" fillId="0" borderId="0" xfId="117" applyFont="1" applyBorder="1" applyAlignment="1">
      <alignment horizontal="left" wrapText="1"/>
    </xf>
    <xf numFmtId="0" fontId="52" fillId="0" borderId="13" xfId="117" applyFont="1" applyBorder="1" applyAlignment="1">
      <alignment horizontal="left" wrapText="1"/>
    </xf>
    <xf numFmtId="0" fontId="44" fillId="0" borderId="1" xfId="117" applyFont="1" applyFill="1" applyBorder="1" applyAlignment="1">
      <alignment horizontal="center" vertical="center"/>
    </xf>
    <xf numFmtId="0" fontId="44" fillId="0" borderId="3" xfId="117" applyFont="1" applyFill="1" applyBorder="1" applyAlignment="1">
      <alignment horizontal="center" vertical="center"/>
    </xf>
    <xf numFmtId="0" fontId="44" fillId="0" borderId="4" xfId="117" applyFont="1" applyFill="1" applyBorder="1" applyAlignment="1">
      <alignment horizontal="center" vertical="center"/>
    </xf>
    <xf numFmtId="0" fontId="54" fillId="6" borderId="2" xfId="122" applyFont="1" applyFill="1" applyBorder="1" applyAlignment="1">
      <alignment horizontal="center"/>
    </xf>
    <xf numFmtId="0" fontId="54" fillId="6" borderId="7" xfId="122" applyFont="1" applyFill="1" applyBorder="1" applyAlignment="1">
      <alignment horizontal="center"/>
    </xf>
    <xf numFmtId="0" fontId="54" fillId="6" borderId="11" xfId="122" applyFont="1" applyFill="1" applyBorder="1" applyAlignment="1">
      <alignment horizontal="center"/>
    </xf>
    <xf numFmtId="0" fontId="1" fillId="0" borderId="0" xfId="117" applyFont="1"/>
  </cellXfs>
  <cellStyles count="441">
    <cellStyle name="%" xfId="173"/>
    <cellStyle name="Comma" xfId="1" builtinId="3"/>
    <cellStyle name="Comma 2" xfId="2"/>
    <cellStyle name="Comma 2 2" xfId="128"/>
    <cellStyle name="Comma 2 2 2" xfId="162"/>
    <cellStyle name="Comma 3" xfId="3"/>
    <cellStyle name="Comma 3 2" xfId="127"/>
    <cellStyle name="Comma 3 2 2" xfId="163"/>
    <cellStyle name="Comma 3 2 3" xfId="165"/>
    <cellStyle name="Comma 4" xfId="4"/>
    <cellStyle name="Comma 5" xfId="118"/>
    <cellStyle name="Comma 5 2" xfId="123"/>
    <cellStyle name="Comma 5 2 2" xfId="174"/>
    <cellStyle name="Comma 5 3" xfId="166"/>
    <cellStyle name="Comma 6" xfId="121"/>
    <cellStyle name="Comma 7" xfId="130"/>
    <cellStyle name="Comma 8" xfId="170"/>
    <cellStyle name="Comma 9" xfId="175"/>
    <cellStyle name="Currency" xfId="5" builtinId="4"/>
    <cellStyle name="Currency 2" xfId="6"/>
    <cellStyle name="Currency 2 10" xfId="176"/>
    <cellStyle name="Currency 2 100" xfId="177"/>
    <cellStyle name="Currency 2 101" xfId="178"/>
    <cellStyle name="Currency 2 102" xfId="179"/>
    <cellStyle name="Currency 2 103" xfId="180"/>
    <cellStyle name="Currency 2 104" xfId="181"/>
    <cellStyle name="Currency 2 105" xfId="182"/>
    <cellStyle name="Currency 2 106" xfId="183"/>
    <cellStyle name="Currency 2 107" xfId="184"/>
    <cellStyle name="Currency 2 108" xfId="185"/>
    <cellStyle name="Currency 2 109" xfId="186"/>
    <cellStyle name="Currency 2 11" xfId="187"/>
    <cellStyle name="Currency 2 110" xfId="188"/>
    <cellStyle name="Currency 2 111" xfId="189"/>
    <cellStyle name="Currency 2 112" xfId="190"/>
    <cellStyle name="Currency 2 113" xfId="191"/>
    <cellStyle name="Currency 2 114" xfId="192"/>
    <cellStyle name="Currency 2 115" xfId="193"/>
    <cellStyle name="Currency 2 116" xfId="194"/>
    <cellStyle name="Currency 2 117" xfId="195"/>
    <cellStyle name="Currency 2 118" xfId="196"/>
    <cellStyle name="Currency 2 119" xfId="197"/>
    <cellStyle name="Currency 2 12" xfId="198"/>
    <cellStyle name="Currency 2 120" xfId="199"/>
    <cellStyle name="Currency 2 121" xfId="200"/>
    <cellStyle name="Currency 2 122" xfId="201"/>
    <cellStyle name="Currency 2 123" xfId="202"/>
    <cellStyle name="Currency 2 124" xfId="203"/>
    <cellStyle name="Currency 2 125" xfId="204"/>
    <cellStyle name="Currency 2 126" xfId="205"/>
    <cellStyle name="Currency 2 127" xfId="206"/>
    <cellStyle name="Currency 2 128" xfId="207"/>
    <cellStyle name="Currency 2 129" xfId="208"/>
    <cellStyle name="Currency 2 13" xfId="209"/>
    <cellStyle name="Currency 2 130" xfId="210"/>
    <cellStyle name="Currency 2 131" xfId="211"/>
    <cellStyle name="Currency 2 132" xfId="212"/>
    <cellStyle name="Currency 2 133" xfId="213"/>
    <cellStyle name="Currency 2 134" xfId="214"/>
    <cellStyle name="Currency 2 135" xfId="215"/>
    <cellStyle name="Currency 2 136" xfId="216"/>
    <cellStyle name="Currency 2 137" xfId="217"/>
    <cellStyle name="Currency 2 138" xfId="218"/>
    <cellStyle name="Currency 2 139" xfId="219"/>
    <cellStyle name="Currency 2 14" xfId="220"/>
    <cellStyle name="Currency 2 140" xfId="221"/>
    <cellStyle name="Currency 2 141" xfId="222"/>
    <cellStyle name="Currency 2 142" xfId="223"/>
    <cellStyle name="Currency 2 143" xfId="224"/>
    <cellStyle name="Currency 2 144" xfId="225"/>
    <cellStyle name="Currency 2 145" xfId="226"/>
    <cellStyle name="Currency 2 146" xfId="227"/>
    <cellStyle name="Currency 2 147" xfId="228"/>
    <cellStyle name="Currency 2 148" xfId="229"/>
    <cellStyle name="Currency 2 149" xfId="230"/>
    <cellStyle name="Currency 2 15" xfId="231"/>
    <cellStyle name="Currency 2 150" xfId="232"/>
    <cellStyle name="Currency 2 151" xfId="233"/>
    <cellStyle name="Currency 2 152" xfId="234"/>
    <cellStyle name="Currency 2 153" xfId="235"/>
    <cellStyle name="Currency 2 154" xfId="236"/>
    <cellStyle name="Currency 2 155" xfId="237"/>
    <cellStyle name="Currency 2 156" xfId="238"/>
    <cellStyle name="Currency 2 157" xfId="239"/>
    <cellStyle name="Currency 2 158" xfId="240"/>
    <cellStyle name="Currency 2 159" xfId="241"/>
    <cellStyle name="Currency 2 16" xfId="242"/>
    <cellStyle name="Currency 2 160" xfId="243"/>
    <cellStyle name="Currency 2 161" xfId="244"/>
    <cellStyle name="Currency 2 162" xfId="245"/>
    <cellStyle name="Currency 2 163" xfId="246"/>
    <cellStyle name="Currency 2 164" xfId="247"/>
    <cellStyle name="Currency 2 165" xfId="248"/>
    <cellStyle name="Currency 2 166" xfId="249"/>
    <cellStyle name="Currency 2 167" xfId="250"/>
    <cellStyle name="Currency 2 168" xfId="251"/>
    <cellStyle name="Currency 2 169" xfId="252"/>
    <cellStyle name="Currency 2 17" xfId="253"/>
    <cellStyle name="Currency 2 170" xfId="254"/>
    <cellStyle name="Currency 2 171" xfId="255"/>
    <cellStyle name="Currency 2 172" xfId="256"/>
    <cellStyle name="Currency 2 173" xfId="257"/>
    <cellStyle name="Currency 2 174" xfId="258"/>
    <cellStyle name="Currency 2 175" xfId="259"/>
    <cellStyle name="Currency 2 176" xfId="260"/>
    <cellStyle name="Currency 2 177" xfId="261"/>
    <cellStyle name="Currency 2 178" xfId="262"/>
    <cellStyle name="Currency 2 179" xfId="263"/>
    <cellStyle name="Currency 2 18" xfId="264"/>
    <cellStyle name="Currency 2 180" xfId="265"/>
    <cellStyle name="Currency 2 181" xfId="266"/>
    <cellStyle name="Currency 2 182" xfId="267"/>
    <cellStyle name="Currency 2 183" xfId="268"/>
    <cellStyle name="Currency 2 184" xfId="269"/>
    <cellStyle name="Currency 2 185" xfId="270"/>
    <cellStyle name="Currency 2 186" xfId="271"/>
    <cellStyle name="Currency 2 187" xfId="272"/>
    <cellStyle name="Currency 2 188" xfId="273"/>
    <cellStyle name="Currency 2 189" xfId="274"/>
    <cellStyle name="Currency 2 19" xfId="275"/>
    <cellStyle name="Currency 2 190" xfId="276"/>
    <cellStyle name="Currency 2 191" xfId="277"/>
    <cellStyle name="Currency 2 192" xfId="278"/>
    <cellStyle name="Currency 2 193" xfId="279"/>
    <cellStyle name="Currency 2 194" xfId="280"/>
    <cellStyle name="Currency 2 195" xfId="281"/>
    <cellStyle name="Currency 2 196" xfId="282"/>
    <cellStyle name="Currency 2 197" xfId="283"/>
    <cellStyle name="Currency 2 198" xfId="284"/>
    <cellStyle name="Currency 2 199" xfId="285"/>
    <cellStyle name="Currency 2 2" xfId="286"/>
    <cellStyle name="Currency 2 20" xfId="287"/>
    <cellStyle name="Currency 2 200" xfId="288"/>
    <cellStyle name="Currency 2 201" xfId="289"/>
    <cellStyle name="Currency 2 202" xfId="290"/>
    <cellStyle name="Currency 2 203" xfId="291"/>
    <cellStyle name="Currency 2 204" xfId="292"/>
    <cellStyle name="Currency 2 205" xfId="293"/>
    <cellStyle name="Currency 2 206" xfId="294"/>
    <cellStyle name="Currency 2 207" xfId="295"/>
    <cellStyle name="Currency 2 208" xfId="296"/>
    <cellStyle name="Currency 2 209" xfId="297"/>
    <cellStyle name="Currency 2 21" xfId="298"/>
    <cellStyle name="Currency 2 210" xfId="299"/>
    <cellStyle name="Currency 2 211" xfId="300"/>
    <cellStyle name="Currency 2 212" xfId="301"/>
    <cellStyle name="Currency 2 213" xfId="302"/>
    <cellStyle name="Currency 2 214" xfId="303"/>
    <cellStyle name="Currency 2 215" xfId="304"/>
    <cellStyle name="Currency 2 216" xfId="305"/>
    <cellStyle name="Currency 2 217" xfId="306"/>
    <cellStyle name="Currency 2 218" xfId="307"/>
    <cellStyle name="Currency 2 219" xfId="308"/>
    <cellStyle name="Currency 2 22" xfId="309"/>
    <cellStyle name="Currency 2 220" xfId="310"/>
    <cellStyle name="Currency 2 221" xfId="311"/>
    <cellStyle name="Currency 2 222" xfId="312"/>
    <cellStyle name="Currency 2 223" xfId="313"/>
    <cellStyle name="Currency 2 224" xfId="314"/>
    <cellStyle name="Currency 2 225" xfId="315"/>
    <cellStyle name="Currency 2 226" xfId="316"/>
    <cellStyle name="Currency 2 227" xfId="317"/>
    <cellStyle name="Currency 2 228" xfId="318"/>
    <cellStyle name="Currency 2 229" xfId="319"/>
    <cellStyle name="Currency 2 23" xfId="320"/>
    <cellStyle name="Currency 2 230" xfId="321"/>
    <cellStyle name="Currency 2 231" xfId="322"/>
    <cellStyle name="Currency 2 232" xfId="323"/>
    <cellStyle name="Currency 2 233" xfId="324"/>
    <cellStyle name="Currency 2 234" xfId="325"/>
    <cellStyle name="Currency 2 235" xfId="326"/>
    <cellStyle name="Currency 2 236" xfId="327"/>
    <cellStyle name="Currency 2 237" xfId="328"/>
    <cellStyle name="Currency 2 238" xfId="329"/>
    <cellStyle name="Currency 2 239" xfId="330"/>
    <cellStyle name="Currency 2 24" xfId="331"/>
    <cellStyle name="Currency 2 240" xfId="332"/>
    <cellStyle name="Currency 2 241" xfId="333"/>
    <cellStyle name="Currency 2 242" xfId="334"/>
    <cellStyle name="Currency 2 243" xfId="335"/>
    <cellStyle name="Currency 2 244" xfId="336"/>
    <cellStyle name="Currency 2 245" xfId="337"/>
    <cellStyle name="Currency 2 246" xfId="338"/>
    <cellStyle name="Currency 2 247" xfId="339"/>
    <cellStyle name="Currency 2 248" xfId="340"/>
    <cellStyle name="Currency 2 249" xfId="341"/>
    <cellStyle name="Currency 2 25" xfId="342"/>
    <cellStyle name="Currency 2 250" xfId="343"/>
    <cellStyle name="Currency 2 251" xfId="344"/>
    <cellStyle name="Currency 2 252" xfId="345"/>
    <cellStyle name="Currency 2 253" xfId="346"/>
    <cellStyle name="Currency 2 254" xfId="347"/>
    <cellStyle name="Currency 2 26" xfId="348"/>
    <cellStyle name="Currency 2 27" xfId="349"/>
    <cellStyle name="Currency 2 28" xfId="350"/>
    <cellStyle name="Currency 2 29" xfId="351"/>
    <cellStyle name="Currency 2 3" xfId="352"/>
    <cellStyle name="Currency 2 30" xfId="353"/>
    <cellStyle name="Currency 2 31" xfId="354"/>
    <cellStyle name="Currency 2 32" xfId="355"/>
    <cellStyle name="Currency 2 33" xfId="356"/>
    <cellStyle name="Currency 2 34" xfId="357"/>
    <cellStyle name="Currency 2 35" xfId="358"/>
    <cellStyle name="Currency 2 36" xfId="359"/>
    <cellStyle name="Currency 2 37" xfId="360"/>
    <cellStyle name="Currency 2 38" xfId="361"/>
    <cellStyle name="Currency 2 39" xfId="362"/>
    <cellStyle name="Currency 2 4" xfId="363"/>
    <cellStyle name="Currency 2 40" xfId="364"/>
    <cellStyle name="Currency 2 41" xfId="365"/>
    <cellStyle name="Currency 2 42" xfId="366"/>
    <cellStyle name="Currency 2 43" xfId="367"/>
    <cellStyle name="Currency 2 44" xfId="368"/>
    <cellStyle name="Currency 2 45" xfId="369"/>
    <cellStyle name="Currency 2 46" xfId="370"/>
    <cellStyle name="Currency 2 47" xfId="371"/>
    <cellStyle name="Currency 2 48" xfId="372"/>
    <cellStyle name="Currency 2 49" xfId="373"/>
    <cellStyle name="Currency 2 5" xfId="374"/>
    <cellStyle name="Currency 2 50" xfId="375"/>
    <cellStyle name="Currency 2 51" xfId="376"/>
    <cellStyle name="Currency 2 52" xfId="377"/>
    <cellStyle name="Currency 2 53" xfId="378"/>
    <cellStyle name="Currency 2 54" xfId="379"/>
    <cellStyle name="Currency 2 55" xfId="380"/>
    <cellStyle name="Currency 2 56" xfId="381"/>
    <cellStyle name="Currency 2 57" xfId="382"/>
    <cellStyle name="Currency 2 58" xfId="383"/>
    <cellStyle name="Currency 2 59" xfId="384"/>
    <cellStyle name="Currency 2 6" xfId="385"/>
    <cellStyle name="Currency 2 60" xfId="386"/>
    <cellStyle name="Currency 2 61" xfId="387"/>
    <cellStyle name="Currency 2 62" xfId="388"/>
    <cellStyle name="Currency 2 63" xfId="389"/>
    <cellStyle name="Currency 2 64" xfId="390"/>
    <cellStyle name="Currency 2 65" xfId="391"/>
    <cellStyle name="Currency 2 66" xfId="392"/>
    <cellStyle name="Currency 2 67" xfId="393"/>
    <cellStyle name="Currency 2 68" xfId="394"/>
    <cellStyle name="Currency 2 69" xfId="395"/>
    <cellStyle name="Currency 2 7" xfId="396"/>
    <cellStyle name="Currency 2 70" xfId="397"/>
    <cellStyle name="Currency 2 71" xfId="398"/>
    <cellStyle name="Currency 2 72" xfId="399"/>
    <cellStyle name="Currency 2 73" xfId="400"/>
    <cellStyle name="Currency 2 74" xfId="401"/>
    <cellStyle name="Currency 2 75" xfId="402"/>
    <cellStyle name="Currency 2 76" xfId="403"/>
    <cellStyle name="Currency 2 77" xfId="404"/>
    <cellStyle name="Currency 2 78" xfId="405"/>
    <cellStyle name="Currency 2 79" xfId="406"/>
    <cellStyle name="Currency 2 8" xfId="407"/>
    <cellStyle name="Currency 2 80" xfId="408"/>
    <cellStyle name="Currency 2 81" xfId="409"/>
    <cellStyle name="Currency 2 82" xfId="410"/>
    <cellStyle name="Currency 2 83" xfId="411"/>
    <cellStyle name="Currency 2 84" xfId="412"/>
    <cellStyle name="Currency 2 85" xfId="413"/>
    <cellStyle name="Currency 2 86" xfId="414"/>
    <cellStyle name="Currency 2 87" xfId="415"/>
    <cellStyle name="Currency 2 88" xfId="416"/>
    <cellStyle name="Currency 2 89" xfId="417"/>
    <cellStyle name="Currency 2 9" xfId="418"/>
    <cellStyle name="Currency 2 90" xfId="419"/>
    <cellStyle name="Currency 2 91" xfId="420"/>
    <cellStyle name="Currency 2 92" xfId="421"/>
    <cellStyle name="Currency 2 93" xfId="422"/>
    <cellStyle name="Currency 2 94" xfId="423"/>
    <cellStyle name="Currency 2 95" xfId="424"/>
    <cellStyle name="Currency 2 96" xfId="425"/>
    <cellStyle name="Currency 2 97" xfId="426"/>
    <cellStyle name="Currency 2 98" xfId="427"/>
    <cellStyle name="Currency 2 99" xfId="428"/>
    <cellStyle name="Currency 3" xfId="119"/>
    <cellStyle name="Currency 3 2" xfId="124"/>
    <cellStyle name="Currency 3 2 2" xfId="429"/>
    <cellStyle name="Currency 3 3" xfId="430"/>
    <cellStyle name="Currency 4" xfId="131"/>
    <cellStyle name="Currency 5" xfId="171"/>
    <cellStyle name="Date" xfId="43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1" builtinId="9" hidden="1"/>
    <cellStyle name="Followed Hyperlink" xfId="167" builtinId="9" hidden="1"/>
    <cellStyle name="Followed Hyperlink" xfId="168" builtinId="9" hidden="1"/>
    <cellStyle name="Heading 2 2" xfId="432"/>
    <cellStyle name="Heading 3 2" xfId="433"/>
    <cellStyle name="Hyperlink 2" xfId="151"/>
    <cellStyle name="Normal" xfId="0" builtinId="0"/>
    <cellStyle name="Normal - Style1" xfId="434"/>
    <cellStyle name="Normal 2" xfId="7"/>
    <cellStyle name="Normal 3" xfId="117"/>
    <cellStyle name="Normal 3 2" xfId="122"/>
    <cellStyle name="Normal 3 2 2" xfId="125"/>
    <cellStyle name="Normal 3 2 2 2" xfId="164"/>
    <cellStyle name="Normal 3 2 3" xfId="435"/>
    <cellStyle name="Normal 3 3" xfId="126"/>
    <cellStyle name="Normal 3 3 2" xfId="436"/>
    <cellStyle name="Normal 3 4" xfId="133"/>
    <cellStyle name="Normal 3 5" xfId="160"/>
    <cellStyle name="Normal 4" xfId="120"/>
    <cellStyle name="Normal 5" xfId="129"/>
    <cellStyle name="Normal 6" xfId="134"/>
    <cellStyle name="Normal 6 2" xfId="437"/>
    <cellStyle name="Normal 7" xfId="169"/>
    <cellStyle name="Percent" xfId="8" builtinId="5"/>
    <cellStyle name="Percent 2" xfId="9"/>
    <cellStyle name="Percent 3" xfId="132"/>
    <cellStyle name="Percent 4" xfId="135"/>
    <cellStyle name="Percent 4 2" xfId="438"/>
    <cellStyle name="Percent 5" xfId="172"/>
    <cellStyle name="Style 1" xfId="439"/>
    <cellStyle name="Volume" xfId="440"/>
  </cellStyles>
  <dxfs count="28">
    <dxf>
      <font>
        <b/>
        <i val="0"/>
        <color rgb="FFFF0000"/>
      </font>
    </dxf>
    <dxf>
      <font>
        <b/>
        <i val="0"/>
        <color rgb="FFFF0000"/>
      </font>
      <fill>
        <patternFill>
          <bgColor rgb="FFFFFF00"/>
        </patternFill>
      </fill>
    </dxf>
    <dxf>
      <font>
        <b/>
        <i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s>
  <tableStyles count="0" defaultTableStyle="TableStyleMedium9" defaultPivotStyle="PivotStyleLight16"/>
  <colors>
    <mruColors>
      <color rgb="FFCCFFCC"/>
      <color rgb="FFFFFFCC"/>
      <color rgb="FF3244F2"/>
      <color rgb="FFCCFFFF"/>
      <color rgb="FFFFCCCC"/>
      <color rgb="FFC0FCE8"/>
      <color rgb="FFE6F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5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Ethernet transceiver market has three major customer segments</a:t>
            </a:r>
          </a:p>
        </c:rich>
      </c:tx>
      <c:overlay val="1"/>
    </c:title>
    <c:autoTitleDeleted val="0"/>
    <c:plotArea>
      <c:layout>
        <c:manualLayout>
          <c:layoutTarget val="inner"/>
          <c:xMode val="edge"/>
          <c:yMode val="edge"/>
          <c:x val="0.30308983410756801"/>
          <c:y val="0.297743172515953"/>
          <c:w val="0.31540559392624201"/>
          <c:h val="0.67565366266512505"/>
        </c:manualLayout>
      </c:layout>
      <c:pieChart>
        <c:varyColors val="1"/>
        <c:ser>
          <c:idx val="0"/>
          <c:order val="0"/>
          <c:dLbls>
            <c:dLbl>
              <c:idx val="0"/>
              <c:layout>
                <c:manualLayout>
                  <c:x val="4.04532143995412E-2"/>
                  <c:y val="5.6695201425014698E-2"/>
                </c:manualLayout>
              </c:layout>
              <c:dLblPos val="bestFit"/>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8BE-BA4D-B8B7-4DE6850AF434}"/>
                </c:ext>
              </c:extLst>
            </c:dLbl>
            <c:dLbl>
              <c:idx val="1"/>
              <c:layout>
                <c:manualLayout>
                  <c:x val="2.2222222222222199E-2"/>
                  <c:y val="-9.2592592592592601E-2"/>
                </c:manualLayout>
              </c:layout>
              <c:dLblPos val="bestFit"/>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8BE-BA4D-B8B7-4DE6850AF434}"/>
                </c:ext>
              </c:extLst>
            </c:dLbl>
            <c:spPr>
              <a:noFill/>
              <a:ln>
                <a:noFill/>
              </a:ln>
              <a:effectLst/>
            </c:spPr>
            <c:txPr>
              <a:bodyPr/>
              <a:lstStyle/>
              <a:p>
                <a:pPr>
                  <a:defRPr sz="1400" b="1"/>
                </a:pPr>
                <a:endParaRPr lang="en-US"/>
              </a:p>
            </c:txPr>
            <c:dLblPos val="outEnd"/>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#REF!</c:f>
            </c: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28BE-BA4D-B8B7-4DE6850AF434}"/>
            </c:ext>
          </c:extLst>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71050141584193"/>
          <c:y val="6.2015795685431342E-2"/>
          <c:w val="0.81279017520375507"/>
          <c:h val="0.83045118644786242"/>
        </c:manualLayout>
      </c:layout>
      <c:lineChart>
        <c:grouping val="standard"/>
        <c:varyColors val="0"/>
        <c:ser>
          <c:idx val="0"/>
          <c:order val="0"/>
          <c:tx>
            <c:strRef>
              <c:f>Summary!$B$356</c:f>
              <c:strCache>
                <c:ptCount val="1"/>
                <c:pt idx="0">
                  <c:v>100 m</c:v>
                </c:pt>
              </c:strCache>
            </c:strRef>
          </c:tx>
          <c:cat>
            <c:numRef>
              <c:f>Summary!$C$355:$L$355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Summary!$C$356:$L$356</c:f>
              <c:numCache>
                <c:formatCode>_(* #,##0_);_(* \(#,##0\);_(* "-"??_);_(@_)</c:formatCode>
                <c:ptCount val="10"/>
                <c:pt idx="0">
                  <c:v>1254229</c:v>
                </c:pt>
                <c:pt idx="1">
                  <c:v>1544331</c:v>
                </c:pt>
                <c:pt idx="2">
                  <c:v>1554966.5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E5A1-4040-A02F-85C09F091F79}"/>
            </c:ext>
          </c:extLst>
        </c:ser>
        <c:ser>
          <c:idx val="1"/>
          <c:order val="1"/>
          <c:tx>
            <c:strRef>
              <c:f>Summary!$B$357</c:f>
              <c:strCache>
                <c:ptCount val="1"/>
                <c:pt idx="0">
                  <c:v>300 m</c:v>
                </c:pt>
              </c:strCache>
            </c:strRef>
          </c:tx>
          <c:spPr>
            <a:ln>
              <a:solidFill>
                <a:schemeClr val="accent4"/>
              </a:solidFill>
            </a:ln>
          </c:spPr>
          <c:marker>
            <c:symbol val="square"/>
            <c:size val="5"/>
            <c:spPr>
              <a:solidFill>
                <a:schemeClr val="accent4"/>
              </a:solidFill>
              <a:ln>
                <a:solidFill>
                  <a:schemeClr val="accent4"/>
                </a:solidFill>
              </a:ln>
            </c:spPr>
          </c:marker>
          <c:cat>
            <c:numRef>
              <c:f>Summary!$C$355:$L$355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Summary!$C$357:$L$357</c:f>
              <c:numCache>
                <c:formatCode>_(* #,##0_);_(* \(#,##0\);_(* "-"??_);_(@_)</c:formatCode>
                <c:ptCount val="10"/>
                <c:pt idx="0">
                  <c:v>275269</c:v>
                </c:pt>
                <c:pt idx="1">
                  <c:v>466535</c:v>
                </c:pt>
                <c:pt idx="2">
                  <c:v>491067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E5A1-4040-A02F-85C09F091F79}"/>
            </c:ext>
          </c:extLst>
        </c:ser>
        <c:ser>
          <c:idx val="5"/>
          <c:order val="2"/>
          <c:tx>
            <c:strRef>
              <c:f>Summary!$B$358</c:f>
              <c:strCache>
                <c:ptCount val="1"/>
                <c:pt idx="0">
                  <c:v>500 m</c:v>
                </c:pt>
              </c:strCache>
            </c:strRef>
          </c:tx>
          <c:cat>
            <c:numRef>
              <c:f>Summary!$C$355:$L$355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Summary!$C$358:$L$358</c:f>
              <c:numCache>
                <c:formatCode>_(* #,##0_);_(* \(#,##0\);_(* "-"??_);_(@_)</c:formatCode>
                <c:ptCount val="10"/>
                <c:pt idx="0">
                  <c:v>813790</c:v>
                </c:pt>
                <c:pt idx="1">
                  <c:v>613640</c:v>
                </c:pt>
                <c:pt idx="2">
                  <c:v>502708</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E5A1-4040-A02F-85C09F091F79}"/>
            </c:ext>
          </c:extLst>
        </c:ser>
        <c:ser>
          <c:idx val="2"/>
          <c:order val="3"/>
          <c:tx>
            <c:strRef>
              <c:f>Summary!$B$359</c:f>
              <c:strCache>
                <c:ptCount val="1"/>
                <c:pt idx="0">
                  <c:v>2 km</c:v>
                </c:pt>
              </c:strCache>
            </c:strRef>
          </c:tx>
          <c:spPr>
            <a:ln>
              <a:solidFill>
                <a:schemeClr val="accent2"/>
              </a:solidFill>
            </a:ln>
          </c:spPr>
          <c:marker>
            <c:spPr>
              <a:solidFill>
                <a:schemeClr val="accent2"/>
              </a:solidFill>
              <a:ln>
                <a:solidFill>
                  <a:schemeClr val="accent2"/>
                </a:solidFill>
              </a:ln>
            </c:spPr>
          </c:marker>
          <c:cat>
            <c:numRef>
              <c:f>Summary!$C$355:$L$355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Summary!$C$359:$L$359</c:f>
              <c:numCache>
                <c:formatCode>_(* #,##0_);_(* \(#,##0\);_(* "-"??_);_(@_)</c:formatCode>
                <c:ptCount val="10"/>
                <c:pt idx="0">
                  <c:v>471000</c:v>
                </c:pt>
                <c:pt idx="1">
                  <c:v>807018</c:v>
                </c:pt>
                <c:pt idx="2">
                  <c:v>271821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E5A1-4040-A02F-85C09F091F79}"/>
            </c:ext>
          </c:extLst>
        </c:ser>
        <c:ser>
          <c:idx val="3"/>
          <c:order val="4"/>
          <c:tx>
            <c:strRef>
              <c:f>Summary!$B$360</c:f>
              <c:strCache>
                <c:ptCount val="1"/>
                <c:pt idx="0">
                  <c:v>10 km</c:v>
                </c:pt>
              </c:strCache>
            </c:strRef>
          </c:tx>
          <c:spPr>
            <a:ln>
              <a:solidFill>
                <a:schemeClr val="accent3"/>
              </a:solidFill>
            </a:ln>
          </c:spPr>
          <c:marker>
            <c:symbol val="x"/>
            <c:size val="5"/>
            <c:spPr>
              <a:solidFill>
                <a:schemeClr val="accent3"/>
              </a:solidFill>
              <a:ln>
                <a:solidFill>
                  <a:schemeClr val="accent3"/>
                </a:solidFill>
              </a:ln>
            </c:spPr>
          </c:marker>
          <c:cat>
            <c:numRef>
              <c:f>Summary!$C$355:$L$355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Summary!$C$360:$L$360</c:f>
              <c:numCache>
                <c:formatCode>_(* #,##0_);_(* \(#,##0\);_(* "-"??_);_(@_)</c:formatCode>
                <c:ptCount val="10"/>
                <c:pt idx="0">
                  <c:v>333886</c:v>
                </c:pt>
                <c:pt idx="1">
                  <c:v>427204</c:v>
                </c:pt>
                <c:pt idx="2">
                  <c:v>269337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E5A1-4040-A02F-85C09F091F79}"/>
            </c:ext>
          </c:extLst>
        </c:ser>
        <c:ser>
          <c:idx val="4"/>
          <c:order val="5"/>
          <c:tx>
            <c:strRef>
              <c:f>Summary!$B$361</c:f>
              <c:strCache>
                <c:ptCount val="1"/>
                <c:pt idx="0">
                  <c:v>40 km</c:v>
                </c:pt>
              </c:strCache>
            </c:strRef>
          </c:tx>
          <c:cat>
            <c:numRef>
              <c:f>Summary!$C$355:$L$355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Summary!$C$361:$L$361</c:f>
              <c:numCache>
                <c:formatCode>_(* #,##0_);_(* \(#,##0\);_(* "-"??_);_(@_)</c:formatCode>
                <c:ptCount val="10"/>
                <c:pt idx="0">
                  <c:v>4894</c:v>
                </c:pt>
                <c:pt idx="1">
                  <c:v>5432</c:v>
                </c:pt>
                <c:pt idx="2">
                  <c:v>8224</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E5A1-4040-A02F-85C09F091F79}"/>
            </c:ext>
          </c:extLst>
        </c:ser>
        <c:dLbls>
          <c:showLegendKey val="0"/>
          <c:showVal val="0"/>
          <c:showCatName val="0"/>
          <c:showSerName val="0"/>
          <c:showPercent val="0"/>
          <c:showBubbleSize val="0"/>
        </c:dLbls>
        <c:marker val="1"/>
        <c:smooth val="0"/>
        <c:axId val="130018688"/>
        <c:axId val="130495616"/>
      </c:lineChart>
      <c:catAx>
        <c:axId val="130018688"/>
        <c:scaling>
          <c:orientation val="minMax"/>
        </c:scaling>
        <c:delete val="0"/>
        <c:axPos val="b"/>
        <c:numFmt formatCode="General" sourceLinked="1"/>
        <c:majorTickMark val="out"/>
        <c:minorTickMark val="none"/>
        <c:tickLblPos val="nextTo"/>
        <c:txPr>
          <a:bodyPr/>
          <a:lstStyle/>
          <a:p>
            <a:pPr>
              <a:defRPr sz="1000"/>
            </a:pPr>
            <a:endParaRPr lang="en-US"/>
          </a:p>
        </c:txPr>
        <c:crossAx val="130495616"/>
        <c:crosses val="autoZero"/>
        <c:auto val="1"/>
        <c:lblAlgn val="ctr"/>
        <c:lblOffset val="100"/>
        <c:noMultiLvlLbl val="0"/>
      </c:catAx>
      <c:valAx>
        <c:axId val="130495616"/>
        <c:scaling>
          <c:orientation val="minMax"/>
          <c:max val="1600000"/>
        </c:scaling>
        <c:delete val="0"/>
        <c:axPos val="l"/>
        <c:majorGridlines/>
        <c:title>
          <c:tx>
            <c:rich>
              <a:bodyPr rot="-5400000" vert="horz"/>
              <a:lstStyle/>
              <a:p>
                <a:pPr>
                  <a:defRPr sz="1400"/>
                </a:pPr>
                <a:r>
                  <a:rPr lang="en-US" sz="1400"/>
                  <a:t>Annual shipments (Units)</a:t>
                </a:r>
              </a:p>
            </c:rich>
          </c:tx>
          <c:overlay val="0"/>
        </c:title>
        <c:numFmt formatCode="_(* #,##0_);_(* \(#,##0\);_(* &quot;-&quot;??_);_(@_)" sourceLinked="1"/>
        <c:majorTickMark val="out"/>
        <c:minorTickMark val="none"/>
        <c:tickLblPos val="nextTo"/>
        <c:txPr>
          <a:bodyPr/>
          <a:lstStyle/>
          <a:p>
            <a:pPr>
              <a:defRPr sz="1000"/>
            </a:pPr>
            <a:endParaRPr lang="en-US"/>
          </a:p>
        </c:txPr>
        <c:crossAx val="130018688"/>
        <c:crosses val="autoZero"/>
        <c:crossBetween val="between"/>
      </c:valAx>
    </c:plotArea>
    <c:legend>
      <c:legendPos val="t"/>
      <c:layout>
        <c:manualLayout>
          <c:xMode val="edge"/>
          <c:yMode val="edge"/>
          <c:x val="0.82648683899731656"/>
          <c:y val="6.3585545525659176E-2"/>
          <c:w val="0.15189796737783431"/>
          <c:h val="0.5706233153390905"/>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80654628726852"/>
          <c:y val="4.3952713374130495E-2"/>
          <c:w val="0.81527553424805821"/>
          <c:h val="0.86134541117128949"/>
        </c:manualLayout>
      </c:layout>
      <c:lineChart>
        <c:grouping val="standard"/>
        <c:varyColors val="0"/>
        <c:ser>
          <c:idx val="5"/>
          <c:order val="0"/>
          <c:tx>
            <c:strRef>
              <c:f>Summary!$B$434</c:f>
              <c:strCache>
                <c:ptCount val="1"/>
                <c:pt idx="0">
                  <c:v>500m 40G PSM4 QSFP+</c:v>
                </c:pt>
              </c:strCache>
            </c:strRef>
          </c:tx>
          <c:cat>
            <c:numRef>
              <c:f>Summary!$C$433:$L$433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Summary!$C$434:$L$434</c:f>
              <c:numCache>
                <c:formatCode>_(* #,##0_);_(* \(#,##0\);_(* "-"??_);_(@_)</c:formatCode>
                <c:ptCount val="10"/>
                <c:pt idx="0">
                  <c:v>813790</c:v>
                </c:pt>
                <c:pt idx="1">
                  <c:v>613640</c:v>
                </c:pt>
                <c:pt idx="2">
                  <c:v>502708</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1CF4-5E4E-B425-604C7E3108CC}"/>
            </c:ext>
          </c:extLst>
        </c:ser>
        <c:ser>
          <c:idx val="0"/>
          <c:order val="1"/>
          <c:tx>
            <c:strRef>
              <c:f>Summary!$B$435</c:f>
              <c:strCache>
                <c:ptCount val="1"/>
                <c:pt idx="0">
                  <c:v>2 km  40G (FR) CFP</c:v>
                </c:pt>
              </c:strCache>
            </c:strRef>
          </c:tx>
          <c:cat>
            <c:numRef>
              <c:f>Summary!$C$433:$L$433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Summary!$C$435:$L$435</c:f>
              <c:numCache>
                <c:formatCode>_(* #,##0_);_(* \(#,##0\);_(* "-"??_);_(@_)</c:formatCode>
                <c:ptCount val="10"/>
                <c:pt idx="0">
                  <c:v>791</c:v>
                </c:pt>
                <c:pt idx="1">
                  <c:v>402</c:v>
                </c:pt>
              </c:numCache>
            </c:numRef>
          </c:val>
          <c:smooth val="0"/>
          <c:extLst xmlns:c16r2="http://schemas.microsoft.com/office/drawing/2015/06/chart">
            <c:ext xmlns:c16="http://schemas.microsoft.com/office/drawing/2014/chart" uri="{C3380CC4-5D6E-409C-BE32-E72D297353CC}">
              <c16:uniqueId val="{00000001-1CF4-5E4E-B425-604C7E3108CC}"/>
            </c:ext>
          </c:extLst>
        </c:ser>
        <c:ser>
          <c:idx val="1"/>
          <c:order val="2"/>
          <c:tx>
            <c:strRef>
              <c:f>Summary!$B$436</c:f>
              <c:strCache>
                <c:ptCount val="1"/>
                <c:pt idx="0">
                  <c:v>2 km 40G LR4 subspec QSFP+</c:v>
                </c:pt>
              </c:strCache>
            </c:strRef>
          </c:tx>
          <c:cat>
            <c:numRef>
              <c:f>Summary!$C$433:$L$433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Summary!$C$436:$L$436</c:f>
              <c:numCache>
                <c:formatCode>_(* #,##0_);_(* \(#,##0\);_(* "-"??_);_(@_)</c:formatCode>
                <c:ptCount val="10"/>
                <c:pt idx="0">
                  <c:v>470209</c:v>
                </c:pt>
                <c:pt idx="1">
                  <c:v>806616</c:v>
                </c:pt>
                <c:pt idx="2">
                  <c:v>271821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1CF4-5E4E-B425-604C7E3108CC}"/>
            </c:ext>
          </c:extLst>
        </c:ser>
        <c:ser>
          <c:idx val="2"/>
          <c:order val="3"/>
          <c:tx>
            <c:strRef>
              <c:f>Summary!$B$437</c:f>
              <c:strCache>
                <c:ptCount val="1"/>
                <c:pt idx="0">
                  <c:v>10 km 40G CFP</c:v>
                </c:pt>
              </c:strCache>
            </c:strRef>
          </c:tx>
          <c:cat>
            <c:numRef>
              <c:f>Summary!$C$433:$L$433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Summary!$C$437:$L$437</c:f>
              <c:numCache>
                <c:formatCode>_(* #,##0_);_(* \(#,##0\);_(* "-"??_);_(@_)</c:formatCode>
                <c:ptCount val="10"/>
                <c:pt idx="0">
                  <c:v>6655</c:v>
                </c:pt>
                <c:pt idx="1">
                  <c:v>2846</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1CF4-5E4E-B425-604C7E3108CC}"/>
            </c:ext>
          </c:extLst>
        </c:ser>
        <c:ser>
          <c:idx val="3"/>
          <c:order val="4"/>
          <c:tx>
            <c:strRef>
              <c:f>Summary!$B$438</c:f>
              <c:strCache>
                <c:ptCount val="1"/>
                <c:pt idx="0">
                  <c:v>10 km  40G QSFP+</c:v>
                </c:pt>
              </c:strCache>
            </c:strRef>
          </c:tx>
          <c:marker>
            <c:symbol val="square"/>
            <c:size val="5"/>
          </c:marker>
          <c:cat>
            <c:numRef>
              <c:f>Summary!$C$433:$L$433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Summary!$C$438:$L$438</c:f>
              <c:numCache>
                <c:formatCode>_(* #,##0_);_(* \(#,##0\);_(* "-"??_);_(@_)</c:formatCode>
                <c:ptCount val="10"/>
                <c:pt idx="0">
                  <c:v>327231</c:v>
                </c:pt>
                <c:pt idx="1">
                  <c:v>424358</c:v>
                </c:pt>
                <c:pt idx="2">
                  <c:v>269337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1CF4-5E4E-B425-604C7E3108CC}"/>
            </c:ext>
          </c:extLst>
        </c:ser>
        <c:ser>
          <c:idx val="4"/>
          <c:order val="5"/>
          <c:tx>
            <c:strRef>
              <c:f>Summary!$B$439</c:f>
              <c:strCache>
                <c:ptCount val="1"/>
                <c:pt idx="0">
                  <c:v>40 km 40G all</c:v>
                </c:pt>
              </c:strCache>
            </c:strRef>
          </c:tx>
          <c:cat>
            <c:numRef>
              <c:f>Summary!$C$433:$L$433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Summary!$C$439:$L$439</c:f>
              <c:numCache>
                <c:formatCode>_(* #,##0_);_(* \(#,##0\);_(* "-"??_);_(@_)</c:formatCode>
                <c:ptCount val="10"/>
                <c:pt idx="0">
                  <c:v>4894</c:v>
                </c:pt>
                <c:pt idx="1">
                  <c:v>5432</c:v>
                </c:pt>
                <c:pt idx="2">
                  <c:v>8224</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1CF4-5E4E-B425-604C7E3108CC}"/>
            </c:ext>
          </c:extLst>
        </c:ser>
        <c:dLbls>
          <c:showLegendKey val="0"/>
          <c:showVal val="0"/>
          <c:showCatName val="0"/>
          <c:showSerName val="0"/>
          <c:showPercent val="0"/>
          <c:showBubbleSize val="0"/>
        </c:dLbls>
        <c:marker val="1"/>
        <c:smooth val="0"/>
        <c:axId val="130534784"/>
        <c:axId val="130544768"/>
      </c:lineChart>
      <c:catAx>
        <c:axId val="130534784"/>
        <c:scaling>
          <c:orientation val="minMax"/>
        </c:scaling>
        <c:delete val="0"/>
        <c:axPos val="b"/>
        <c:numFmt formatCode="General" sourceLinked="1"/>
        <c:majorTickMark val="out"/>
        <c:minorTickMark val="none"/>
        <c:tickLblPos val="nextTo"/>
        <c:txPr>
          <a:bodyPr/>
          <a:lstStyle/>
          <a:p>
            <a:pPr>
              <a:defRPr sz="1050"/>
            </a:pPr>
            <a:endParaRPr lang="en-US"/>
          </a:p>
        </c:txPr>
        <c:crossAx val="130544768"/>
        <c:crosses val="autoZero"/>
        <c:auto val="1"/>
        <c:lblAlgn val="ctr"/>
        <c:lblOffset val="100"/>
        <c:noMultiLvlLbl val="0"/>
      </c:catAx>
      <c:valAx>
        <c:axId val="130544768"/>
        <c:scaling>
          <c:orientation val="minMax"/>
          <c:min val="0"/>
        </c:scaling>
        <c:delete val="0"/>
        <c:axPos val="l"/>
        <c:majorGridlines/>
        <c:title>
          <c:tx>
            <c:rich>
              <a:bodyPr rot="-5400000" vert="horz"/>
              <a:lstStyle/>
              <a:p>
                <a:pPr>
                  <a:defRPr sz="1400"/>
                </a:pPr>
                <a:r>
                  <a:rPr lang="en-US" sz="1400"/>
                  <a:t>Annual shipments</a:t>
                </a:r>
              </a:p>
            </c:rich>
          </c:tx>
          <c:overlay val="0"/>
        </c:title>
        <c:numFmt formatCode="#,##0" sourceLinked="0"/>
        <c:majorTickMark val="out"/>
        <c:minorTickMark val="none"/>
        <c:tickLblPos val="nextTo"/>
        <c:txPr>
          <a:bodyPr/>
          <a:lstStyle/>
          <a:p>
            <a:pPr>
              <a:defRPr sz="1100"/>
            </a:pPr>
            <a:endParaRPr lang="en-US"/>
          </a:p>
        </c:txPr>
        <c:crossAx val="130534784"/>
        <c:crosses val="autoZero"/>
        <c:crossBetween val="between"/>
      </c:valAx>
    </c:plotArea>
    <c:legend>
      <c:legendPos val="t"/>
      <c:layout>
        <c:manualLayout>
          <c:xMode val="edge"/>
          <c:yMode val="edge"/>
          <c:x val="0.66542919714521842"/>
          <c:y val="5.4345651718956473E-2"/>
          <c:w val="0.3238385731109733"/>
          <c:h val="0.44029319100870484"/>
        </c:manualLayout>
      </c:layout>
      <c:overlay val="0"/>
      <c:spPr>
        <a:solidFill>
          <a:schemeClr val="bg1"/>
        </a:solidFill>
        <a:ln>
          <a:solidFill>
            <a:schemeClr val="tx1"/>
          </a:solidFill>
        </a:ln>
      </c:spPr>
      <c:txPr>
        <a:bodyPr/>
        <a:lstStyle/>
        <a:p>
          <a:pPr>
            <a:defRPr lang="en-US"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35386850370981"/>
          <c:y val="3.2895576992769252E-2"/>
          <c:w val="0.76545195838128821"/>
          <c:h val="0.88129472991329527"/>
        </c:manualLayout>
      </c:layout>
      <c:lineChart>
        <c:grouping val="standard"/>
        <c:varyColors val="0"/>
        <c:ser>
          <c:idx val="0"/>
          <c:order val="0"/>
          <c:tx>
            <c:strRef>
              <c:f>Summary!$B$635</c:f>
              <c:strCache>
                <c:ptCount val="1"/>
                <c:pt idx="0">
                  <c:v>100G PSM4_500 m_QSFP28</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Summary!$C$635:$L$635</c:f>
              <c:numCache>
                <c:formatCode>_(* #,##0_);_(* \(#,##0\);_(* "-"??_);_(@_)</c:formatCode>
                <c:ptCount val="10"/>
                <c:pt idx="0">
                  <c:v>200861</c:v>
                </c:pt>
                <c:pt idx="1">
                  <c:v>710038</c:v>
                </c:pt>
                <c:pt idx="2">
                  <c:v>514311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0742-FF43-B74E-AD72223D05C9}"/>
            </c:ext>
          </c:extLst>
        </c:ser>
        <c:ser>
          <c:idx val="7"/>
          <c:order val="1"/>
          <c:tx>
            <c:strRef>
              <c:f>Summary!$B$636</c:f>
              <c:strCache>
                <c:ptCount val="1"/>
                <c:pt idx="0">
                  <c:v>100G DR_500 m_QSFP28</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Summary!$C$636:$L$636</c:f>
              <c:numCache>
                <c:formatCode>_(* #,##0_);_(* \(#,##0\);_(* "-"??_);_(@_)</c:formatCode>
                <c:ptCount val="10"/>
                <c:pt idx="2">
                  <c:v>3000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AEFC-0541-A2A8-6BE89802A05E}"/>
            </c:ext>
          </c:extLst>
        </c:ser>
        <c:ser>
          <c:idx val="8"/>
          <c:order val="2"/>
          <c:tx>
            <c:strRef>
              <c:f>Summary!$B$637</c:f>
              <c:strCache>
                <c:ptCount val="1"/>
                <c:pt idx="0">
                  <c:v>100G CWDM4-subspec_500 m_QSFP28</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Summary!$C$637:$L$637</c:f>
              <c:numCache>
                <c:formatCode>_(* #,##0_);_(* \(#,##0\);_(* "-"??_);_(@_)</c:formatCode>
                <c:ptCount val="10"/>
                <c:pt idx="0">
                  <c:v>88200.6</c:v>
                </c:pt>
                <c:pt idx="1">
                  <c:v>683412.1</c:v>
                </c:pt>
                <c:pt idx="2">
                  <c:v>1100000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AEFC-0541-A2A8-6BE89802A05E}"/>
            </c:ext>
          </c:extLst>
        </c:ser>
        <c:ser>
          <c:idx val="5"/>
          <c:order val="3"/>
          <c:tx>
            <c:strRef>
              <c:f>Summary!$B$638</c:f>
              <c:strCache>
                <c:ptCount val="1"/>
                <c:pt idx="0">
                  <c:v>100G CWDM4_2 km_QSFP28</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Summary!$C$638:$L$638</c:f>
              <c:numCache>
                <c:formatCode>_(* #,##0_);_(* \(#,##0\);_(* "-"??_);_(@_)</c:formatCode>
                <c:ptCount val="10"/>
                <c:pt idx="0">
                  <c:v>30989.399999999994</c:v>
                </c:pt>
                <c:pt idx="1">
                  <c:v>292890.90000000002</c:v>
                </c:pt>
                <c:pt idx="2">
                  <c:v>1866292.6190476189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0742-FF43-B74E-AD72223D05C9}"/>
            </c:ext>
          </c:extLst>
        </c:ser>
        <c:ser>
          <c:idx val="10"/>
          <c:order val="4"/>
          <c:tx>
            <c:strRef>
              <c:f>Summary!$B$639</c:f>
              <c:strCache>
                <c:ptCount val="1"/>
                <c:pt idx="0">
                  <c:v>100G FR1_2 km_QSFP28</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Summary!$C$639:$L$639</c:f>
              <c:numCache>
                <c:formatCode>_(* #,##0_);_(* \(#,##0\);_(* "-"??_);_(@_)</c:formatCode>
                <c:ptCount val="10"/>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AEFC-0541-A2A8-6BE89802A05E}"/>
            </c:ext>
          </c:extLst>
        </c:ser>
        <c:ser>
          <c:idx val="1"/>
          <c:order val="5"/>
          <c:tx>
            <c:strRef>
              <c:f>Summary!$B$640</c:f>
              <c:strCache>
                <c:ptCount val="1"/>
                <c:pt idx="0">
                  <c:v>100G LR4_10 km_CFP</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Summary!$C$640:$L$640</c:f>
              <c:numCache>
                <c:formatCode>_(* #,##0_);_(* \(#,##0\);_(* "-"??_);_(@_)</c:formatCode>
                <c:ptCount val="10"/>
                <c:pt idx="0">
                  <c:v>109936</c:v>
                </c:pt>
                <c:pt idx="1">
                  <c:v>67349</c:v>
                </c:pt>
                <c:pt idx="2">
                  <c:v>38716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0742-FF43-B74E-AD72223D05C9}"/>
            </c:ext>
          </c:extLst>
        </c:ser>
        <c:ser>
          <c:idx val="2"/>
          <c:order val="6"/>
          <c:tx>
            <c:strRef>
              <c:f>Summary!$B$641</c:f>
              <c:strCache>
                <c:ptCount val="1"/>
                <c:pt idx="0">
                  <c:v>100G LR4_10 km_CFP2/4</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Summary!$C$641:$L$641</c:f>
              <c:numCache>
                <c:formatCode>_(* #,##0_);_(* \(#,##0\);_(* "-"??_);_(@_)</c:formatCode>
                <c:ptCount val="10"/>
                <c:pt idx="0">
                  <c:v>92243</c:v>
                </c:pt>
                <c:pt idx="1">
                  <c:v>78202</c:v>
                </c:pt>
                <c:pt idx="2">
                  <c:v>73797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0742-FF43-B74E-AD72223D05C9}"/>
            </c:ext>
          </c:extLst>
        </c:ser>
        <c:ser>
          <c:idx val="3"/>
          <c:order val="7"/>
          <c:tx>
            <c:strRef>
              <c:f>Summary!$B$642</c:f>
              <c:strCache>
                <c:ptCount val="1"/>
                <c:pt idx="0">
                  <c:v>100G LR4 and LR1_10 km_QSFP28</c:v>
                </c:pt>
              </c:strCache>
            </c:strRef>
          </c:tx>
          <c:marker>
            <c:symbol val="square"/>
            <c:size val="5"/>
          </c:marker>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Summary!$C$642:$L$642</c:f>
              <c:numCache>
                <c:formatCode>_(* #,##0_);_(* \(#,##0\);_(* "-"??_);_(@_)</c:formatCode>
                <c:ptCount val="10"/>
                <c:pt idx="0">
                  <c:v>90443</c:v>
                </c:pt>
                <c:pt idx="1">
                  <c:v>362352</c:v>
                </c:pt>
                <c:pt idx="2">
                  <c:v>397891.1176470588</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0742-FF43-B74E-AD72223D05C9}"/>
            </c:ext>
          </c:extLst>
        </c:ser>
        <c:ser>
          <c:idx val="9"/>
          <c:order val="8"/>
          <c:tx>
            <c:strRef>
              <c:f>Summary!$B$643</c:f>
              <c:strCache>
                <c:ptCount val="1"/>
                <c:pt idx="0">
                  <c:v>100G 4WDM10_10 km_QSFP28</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Summary!$C$643:$L$643</c:f>
              <c:numCache>
                <c:formatCode>_(* #,##0_);_(* \(#,##0\);_(* "-"??_);_(@_)</c:formatCode>
                <c:ptCount val="10"/>
                <c:pt idx="1">
                  <c:v>45000</c:v>
                </c:pt>
                <c:pt idx="2">
                  <c:v>100000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AEFC-0541-A2A8-6BE89802A05E}"/>
            </c:ext>
          </c:extLst>
        </c:ser>
        <c:ser>
          <c:idx val="6"/>
          <c:order val="9"/>
          <c:tx>
            <c:strRef>
              <c:f>Summary!$B$644</c:f>
              <c:strCache>
                <c:ptCount val="1"/>
                <c:pt idx="0">
                  <c:v>100G 4WDM20_20 km_QSFP28</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Summary!$C$644:$L$644</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0742-FF43-B74E-AD72223D05C9}"/>
            </c:ext>
          </c:extLst>
        </c:ser>
        <c:ser>
          <c:idx val="4"/>
          <c:order val="10"/>
          <c:tx>
            <c:strRef>
              <c:f>Summary!$B$645</c:f>
              <c:strCache>
                <c:ptCount val="1"/>
                <c:pt idx="0">
                  <c:v>100G ER4, ER4-Lite_40 km_QSFP28</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Summary!$C$645:$L$645</c:f>
              <c:numCache>
                <c:formatCode>_(* #,##0_);_(* \(#,##0\);_(* "-"??_);_(@_)</c:formatCode>
                <c:ptCount val="10"/>
                <c:pt idx="0">
                  <c:v>7456</c:v>
                </c:pt>
                <c:pt idx="1">
                  <c:v>10272</c:v>
                </c:pt>
                <c:pt idx="2">
                  <c:v>10106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0742-FF43-B74E-AD72223D05C9}"/>
            </c:ext>
          </c:extLst>
        </c:ser>
        <c:dLbls>
          <c:showLegendKey val="0"/>
          <c:showVal val="0"/>
          <c:showCatName val="0"/>
          <c:showSerName val="0"/>
          <c:showPercent val="0"/>
          <c:showBubbleSize val="0"/>
        </c:dLbls>
        <c:marker val="1"/>
        <c:smooth val="0"/>
        <c:axId val="130872832"/>
        <c:axId val="130874368"/>
      </c:lineChart>
      <c:catAx>
        <c:axId val="130872832"/>
        <c:scaling>
          <c:orientation val="minMax"/>
        </c:scaling>
        <c:delete val="0"/>
        <c:axPos val="b"/>
        <c:numFmt formatCode="General" sourceLinked="1"/>
        <c:majorTickMark val="out"/>
        <c:minorTickMark val="none"/>
        <c:tickLblPos val="nextTo"/>
        <c:txPr>
          <a:bodyPr/>
          <a:lstStyle/>
          <a:p>
            <a:pPr>
              <a:defRPr sz="1050"/>
            </a:pPr>
            <a:endParaRPr lang="en-US"/>
          </a:p>
        </c:txPr>
        <c:crossAx val="130874368"/>
        <c:crosses val="autoZero"/>
        <c:auto val="1"/>
        <c:lblAlgn val="ctr"/>
        <c:lblOffset val="100"/>
        <c:noMultiLvlLbl val="0"/>
      </c:catAx>
      <c:valAx>
        <c:axId val="130874368"/>
        <c:scaling>
          <c:orientation val="minMax"/>
          <c:min val="0"/>
        </c:scaling>
        <c:delete val="0"/>
        <c:axPos val="l"/>
        <c:majorGridlines/>
        <c:title>
          <c:tx>
            <c:rich>
              <a:bodyPr rot="-5400000" vert="horz"/>
              <a:lstStyle/>
              <a:p>
                <a:pPr>
                  <a:defRPr sz="1400"/>
                </a:pPr>
                <a:r>
                  <a:rPr lang="en-US" sz="1400"/>
                  <a:t>Annual shipments
</a:t>
                </a:r>
              </a:p>
            </c:rich>
          </c:tx>
          <c:overlay val="0"/>
        </c:title>
        <c:numFmt formatCode="#,##0" sourceLinked="0"/>
        <c:majorTickMark val="out"/>
        <c:minorTickMark val="none"/>
        <c:tickLblPos val="nextTo"/>
        <c:txPr>
          <a:bodyPr/>
          <a:lstStyle/>
          <a:p>
            <a:pPr>
              <a:defRPr sz="1100"/>
            </a:pPr>
            <a:endParaRPr lang="en-US"/>
          </a:p>
        </c:txPr>
        <c:crossAx val="130872832"/>
        <c:crosses val="autoZero"/>
        <c:crossBetween val="between"/>
      </c:valAx>
    </c:plotArea>
    <c:legend>
      <c:legendPos val="t"/>
      <c:layout>
        <c:manualLayout>
          <c:xMode val="edge"/>
          <c:yMode val="edge"/>
          <c:x val="0.20178010540665142"/>
          <c:y val="5.1199495105133011E-2"/>
          <c:w val="0.44542832823741785"/>
          <c:h val="0.47054266419987173"/>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75688679781172"/>
          <c:y val="4.2306270244038963E-2"/>
          <c:w val="0.82519515019078471"/>
          <c:h val="0.86289738655314385"/>
        </c:manualLayout>
      </c:layout>
      <c:lineChart>
        <c:grouping val="standard"/>
        <c:varyColors val="0"/>
        <c:ser>
          <c:idx val="0"/>
          <c:order val="0"/>
          <c:tx>
            <c:strRef>
              <c:f>Summary!$B$401</c:f>
              <c:strCache>
                <c:ptCount val="1"/>
                <c:pt idx="0">
                  <c:v>100 m  40G QSFP+</c:v>
                </c:pt>
              </c:strCache>
            </c:strRef>
          </c:tx>
          <c:cat>
            <c:numRef>
              <c:f>Summary!$C$400:$L$400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Summary!$C$401:$L$401</c:f>
              <c:numCache>
                <c:formatCode>_("$"* #,##0_);_("$"* \(#,##0\);_("$"* "-"??_);_(@_)</c:formatCode>
                <c:ptCount val="10"/>
                <c:pt idx="0">
                  <c:v>96.595063887564976</c:v>
                </c:pt>
                <c:pt idx="1">
                  <c:v>80.379797575925679</c:v>
                </c:pt>
                <c:pt idx="2">
                  <c:v>58.660264540622045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A296-AD4C-8705-1C468C75B2C8}"/>
            </c:ext>
          </c:extLst>
        </c:ser>
        <c:ser>
          <c:idx val="2"/>
          <c:order val="1"/>
          <c:tx>
            <c:strRef>
              <c:f>Summary!$B$402</c:f>
              <c:strCache>
                <c:ptCount val="1"/>
                <c:pt idx="0">
                  <c:v>100 m  40G MM duplex</c:v>
                </c:pt>
              </c:strCache>
            </c:strRef>
          </c:tx>
          <c:cat>
            <c:numRef>
              <c:f>Summary!$C$400:$L$400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Summary!$C$402:$L$402</c:f>
              <c:numCache>
                <c:formatCode>_("$"* #,##0_);_("$"* \(#,##0\);_("$"* "-"??_);_(@_)</c:formatCode>
                <c:ptCount val="10"/>
                <c:pt idx="0">
                  <c:v>250</c:v>
                </c:pt>
                <c:pt idx="1">
                  <c:v>240</c:v>
                </c:pt>
                <c:pt idx="2">
                  <c:v>227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A296-AD4C-8705-1C468C75B2C8}"/>
            </c:ext>
          </c:extLst>
        </c:ser>
        <c:ser>
          <c:idx val="1"/>
          <c:order val="2"/>
          <c:tx>
            <c:strRef>
              <c:f>Summary!$B$403</c:f>
              <c:strCache>
                <c:ptCount val="1"/>
                <c:pt idx="0">
                  <c:v>300 m  40 G eSR QSFP+</c:v>
                </c:pt>
              </c:strCache>
            </c:strRef>
          </c:tx>
          <c:cat>
            <c:numRef>
              <c:f>Summary!$C$400:$L$400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Summary!$C$403:$L$403</c:f>
              <c:numCache>
                <c:formatCode>_("$"* #,##0_);_("$"* \(#,##0\);_("$"* "-"??_);_(@_)</c:formatCode>
                <c:ptCount val="10"/>
                <c:pt idx="0">
                  <c:v>106.66614587912188</c:v>
                </c:pt>
                <c:pt idx="1">
                  <c:v>80.99928194026171</c:v>
                </c:pt>
                <c:pt idx="2">
                  <c:v>63.850920529241115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A296-AD4C-8705-1C468C75B2C8}"/>
            </c:ext>
          </c:extLst>
        </c:ser>
        <c:dLbls>
          <c:showLegendKey val="0"/>
          <c:showVal val="0"/>
          <c:showCatName val="0"/>
          <c:showSerName val="0"/>
          <c:showPercent val="0"/>
          <c:showBubbleSize val="0"/>
        </c:dLbls>
        <c:marker val="1"/>
        <c:smooth val="0"/>
        <c:axId val="130934656"/>
        <c:axId val="130936192"/>
      </c:lineChart>
      <c:catAx>
        <c:axId val="130934656"/>
        <c:scaling>
          <c:orientation val="minMax"/>
        </c:scaling>
        <c:delete val="0"/>
        <c:axPos val="b"/>
        <c:numFmt formatCode="General" sourceLinked="1"/>
        <c:majorTickMark val="out"/>
        <c:minorTickMark val="none"/>
        <c:tickLblPos val="nextTo"/>
        <c:txPr>
          <a:bodyPr/>
          <a:lstStyle/>
          <a:p>
            <a:pPr>
              <a:defRPr sz="1050"/>
            </a:pPr>
            <a:endParaRPr lang="en-US"/>
          </a:p>
        </c:txPr>
        <c:crossAx val="130936192"/>
        <c:crosses val="autoZero"/>
        <c:auto val="1"/>
        <c:lblAlgn val="ctr"/>
        <c:lblOffset val="100"/>
        <c:noMultiLvlLbl val="0"/>
      </c:catAx>
      <c:valAx>
        <c:axId val="130936192"/>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2.4035855319214587E-2"/>
              <c:y val="0.40424722023588677"/>
            </c:manualLayout>
          </c:layout>
          <c:overlay val="0"/>
        </c:title>
        <c:numFmt formatCode="&quot;$&quot;#,##0" sourceLinked="0"/>
        <c:majorTickMark val="out"/>
        <c:minorTickMark val="none"/>
        <c:tickLblPos val="nextTo"/>
        <c:txPr>
          <a:bodyPr/>
          <a:lstStyle/>
          <a:p>
            <a:pPr>
              <a:defRPr sz="1200"/>
            </a:pPr>
            <a:endParaRPr lang="en-US"/>
          </a:p>
        </c:txPr>
        <c:crossAx val="130934656"/>
        <c:crosses val="autoZero"/>
        <c:crossBetween val="between"/>
      </c:valAx>
    </c:plotArea>
    <c:legend>
      <c:legendPos val="t"/>
      <c:layout>
        <c:manualLayout>
          <c:xMode val="edge"/>
          <c:yMode val="edge"/>
          <c:x val="0.59379916214148942"/>
          <c:y val="4.3385653130271255E-2"/>
          <c:w val="0.38604741795783842"/>
          <c:h val="0.2334430907042700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8586214111809"/>
          <c:y val="3.5766284295518598E-2"/>
          <c:w val="0.82582543362373229"/>
          <c:h val="0.8523798229910875"/>
        </c:manualLayout>
      </c:layout>
      <c:lineChart>
        <c:grouping val="standard"/>
        <c:varyColors val="0"/>
        <c:ser>
          <c:idx val="2"/>
          <c:order val="0"/>
          <c:tx>
            <c:strRef>
              <c:f>Summary!$B$565</c:f>
              <c:strCache>
                <c:ptCount val="1"/>
                <c:pt idx="0">
                  <c:v>100 m  100G SR2, SR4  QSFP28</c:v>
                </c:pt>
              </c:strCache>
            </c:strRef>
          </c:tx>
          <c:cat>
            <c:numRef>
              <c:f>Summary!$C$554:$L$554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Summary!$C$565:$L$565</c:f>
              <c:numCache>
                <c:formatCode>_("$"* #,##0_);_("$"* \(#,##0\);_("$"* "-"??_);_(@_)</c:formatCode>
                <c:ptCount val="10"/>
                <c:pt idx="0">
                  <c:v>258.09426618771823</c:v>
                </c:pt>
                <c:pt idx="1">
                  <c:v>182.02277386466108</c:v>
                </c:pt>
                <c:pt idx="2">
                  <c:v>113.54682982085136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65E2-914D-9780-0F3F5FB47860}"/>
            </c:ext>
          </c:extLst>
        </c:ser>
        <c:ser>
          <c:idx val="3"/>
          <c:order val="1"/>
          <c:tx>
            <c:strRef>
              <c:f>Summary!$B$566</c:f>
              <c:strCache>
                <c:ptCount val="1"/>
                <c:pt idx="0">
                  <c:v>100 m  100G QSFP28 MM Duplex</c:v>
                </c:pt>
              </c:strCache>
            </c:strRef>
          </c:tx>
          <c:cat>
            <c:numRef>
              <c:f>Summary!$C$554:$L$554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Summary!$C$566:$L$566</c:f>
              <c:numCache>
                <c:formatCode>_("$"* #,##0_);_("$"* \(#,##0\);_("$"* "-"??_);_(@_)</c:formatCode>
                <c:ptCount val="10"/>
                <c:pt idx="1">
                  <c:v>0</c:v>
                </c:pt>
                <c:pt idx="2">
                  <c:v>170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65E2-914D-9780-0F3F5FB47860}"/>
            </c:ext>
          </c:extLst>
        </c:ser>
        <c:ser>
          <c:idx val="4"/>
          <c:order val="2"/>
          <c:tx>
            <c:strRef>
              <c:f>Summary!$B$567</c:f>
              <c:strCache>
                <c:ptCount val="1"/>
                <c:pt idx="0">
                  <c:v>300 m  100G QSFP28  eSR4</c:v>
                </c:pt>
              </c:strCache>
            </c:strRef>
          </c:tx>
          <c:cat>
            <c:numRef>
              <c:f>Summary!$C$554:$L$554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Summary!$C$567:$L$567</c:f>
              <c:numCache>
                <c:formatCode>_("$"* #,##0_);_("$"* \(#,##0\);_("$"* "-"??_);_(@_)</c:formatCode>
                <c:ptCount val="10"/>
                <c:pt idx="2">
                  <c:v>150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65E2-914D-9780-0F3F5FB47860}"/>
            </c:ext>
          </c:extLst>
        </c:ser>
        <c:dLbls>
          <c:showLegendKey val="0"/>
          <c:showVal val="0"/>
          <c:showCatName val="0"/>
          <c:showSerName val="0"/>
          <c:showPercent val="0"/>
          <c:showBubbleSize val="0"/>
        </c:dLbls>
        <c:marker val="1"/>
        <c:smooth val="0"/>
        <c:axId val="131041536"/>
        <c:axId val="131067904"/>
      </c:lineChart>
      <c:catAx>
        <c:axId val="131041536"/>
        <c:scaling>
          <c:orientation val="minMax"/>
        </c:scaling>
        <c:delete val="0"/>
        <c:axPos val="b"/>
        <c:numFmt formatCode="General" sourceLinked="1"/>
        <c:majorTickMark val="out"/>
        <c:minorTickMark val="none"/>
        <c:tickLblPos val="nextTo"/>
        <c:txPr>
          <a:bodyPr/>
          <a:lstStyle/>
          <a:p>
            <a:pPr>
              <a:defRPr sz="1100"/>
            </a:pPr>
            <a:endParaRPr lang="en-US"/>
          </a:p>
        </c:txPr>
        <c:crossAx val="131067904"/>
        <c:crosses val="autoZero"/>
        <c:auto val="1"/>
        <c:lblAlgn val="ctr"/>
        <c:lblOffset val="100"/>
        <c:noMultiLvlLbl val="0"/>
      </c:catAx>
      <c:valAx>
        <c:axId val="131067904"/>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2.6878718658461209E-2"/>
              <c:y val="0.38912298227147679"/>
            </c:manualLayout>
          </c:layout>
          <c:overlay val="0"/>
        </c:title>
        <c:numFmt formatCode="&quot;$&quot;#,##0" sourceLinked="0"/>
        <c:majorTickMark val="out"/>
        <c:minorTickMark val="none"/>
        <c:tickLblPos val="nextTo"/>
        <c:txPr>
          <a:bodyPr/>
          <a:lstStyle/>
          <a:p>
            <a:pPr>
              <a:defRPr sz="1200"/>
            </a:pPr>
            <a:endParaRPr lang="en-US"/>
          </a:p>
        </c:txPr>
        <c:crossAx val="131041536"/>
        <c:crosses val="autoZero"/>
        <c:crossBetween val="between"/>
      </c:valAx>
    </c:plotArea>
    <c:legend>
      <c:legendPos val="t"/>
      <c:layout>
        <c:manualLayout>
          <c:xMode val="edge"/>
          <c:yMode val="edge"/>
          <c:x val="0.61847762549219165"/>
          <c:y val="4.6658610278654936E-2"/>
          <c:w val="0.35215332939678884"/>
          <c:h val="0.35953089786339548"/>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75377290285891"/>
          <c:y val="4.3751134432091006E-2"/>
          <c:w val="0.83633763989259313"/>
          <c:h val="0.85713486951690254"/>
        </c:manualLayout>
      </c:layout>
      <c:lineChart>
        <c:grouping val="standard"/>
        <c:varyColors val="0"/>
        <c:ser>
          <c:idx val="0"/>
          <c:order val="0"/>
          <c:tx>
            <c:strRef>
              <c:f>Summary!$B$649</c:f>
              <c:strCache>
                <c:ptCount val="1"/>
                <c:pt idx="0">
                  <c:v>100G PSM4_500 m_QSFP28</c:v>
                </c:pt>
              </c:strCache>
            </c:strRef>
          </c:tx>
          <c:cat>
            <c:numRef>
              <c:f>Summary!$C$648:$L$648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Summary!$C$649:$L$649</c:f>
              <c:numCache>
                <c:formatCode>_("$"* #,##0_);_("$"* \(#,##0\);_("$"* "-"??_);_(@_)</c:formatCode>
                <c:ptCount val="10"/>
                <c:pt idx="0">
                  <c:v>337.41687156790022</c:v>
                </c:pt>
                <c:pt idx="1">
                  <c:v>222.65569307558187</c:v>
                </c:pt>
                <c:pt idx="2">
                  <c:v>188.02033788894266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D455-2A45-B2C8-6267A3389E6C}"/>
            </c:ext>
          </c:extLst>
        </c:ser>
        <c:ser>
          <c:idx val="7"/>
          <c:order val="1"/>
          <c:tx>
            <c:strRef>
              <c:f>Summary!$B$650</c:f>
              <c:strCache>
                <c:ptCount val="1"/>
                <c:pt idx="0">
                  <c:v>100G DR_500 m_QSFP28</c:v>
                </c:pt>
              </c:strCache>
            </c:strRef>
          </c:tx>
          <c:cat>
            <c:numRef>
              <c:f>Summary!$C$648:$L$648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Summary!$C$650:$L$650</c:f>
              <c:numCache>
                <c:formatCode>_("$"* #,##0_);_("$"* \(#,##0\);_("$"* "-"??_);_(@_)</c:formatCode>
                <c:ptCount val="10"/>
                <c:pt idx="2">
                  <c:v>400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6DB7-6449-97D8-C194F1CD0C91}"/>
            </c:ext>
          </c:extLst>
        </c:ser>
        <c:ser>
          <c:idx val="8"/>
          <c:order val="2"/>
          <c:tx>
            <c:strRef>
              <c:f>Summary!$B$651</c:f>
              <c:strCache>
                <c:ptCount val="1"/>
                <c:pt idx="0">
                  <c:v>100G CWDM4-subspec_500 m_QSFP28</c:v>
                </c:pt>
              </c:strCache>
            </c:strRef>
          </c:tx>
          <c:cat>
            <c:numRef>
              <c:f>Summary!$C$648:$L$648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Summary!$C$651:$L$651</c:f>
              <c:numCache>
                <c:formatCode>_("$"* #,##0_);_("$"* \(#,##0\);_("$"* "-"??_);_(@_)</c:formatCode>
                <c:ptCount val="10"/>
                <c:pt idx="0">
                  <c:v>625</c:v>
                </c:pt>
                <c:pt idx="1">
                  <c:v>450</c:v>
                </c:pt>
                <c:pt idx="2">
                  <c:v>280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6DB7-6449-97D8-C194F1CD0C91}"/>
            </c:ext>
          </c:extLst>
        </c:ser>
        <c:ser>
          <c:idx val="5"/>
          <c:order val="3"/>
          <c:tx>
            <c:strRef>
              <c:f>Summary!$B$652</c:f>
              <c:strCache>
                <c:ptCount val="1"/>
                <c:pt idx="0">
                  <c:v>100G CWDM4_2 km_QSFP28</c:v>
                </c:pt>
              </c:strCache>
            </c:strRef>
          </c:tx>
          <c:cat>
            <c:numRef>
              <c:f>Summary!$C$648:$L$648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Summary!$C$652:$L$652</c:f>
              <c:numCache>
                <c:formatCode>_("$"* #,##0_);_("$"* \(#,##0\);_("$"* "-"??_);_(@_)</c:formatCode>
                <c:ptCount val="10"/>
                <c:pt idx="0">
                  <c:v>825</c:v>
                </c:pt>
                <c:pt idx="1">
                  <c:v>650</c:v>
                </c:pt>
                <c:pt idx="2">
                  <c:v>490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D455-2A45-B2C8-6267A3389E6C}"/>
            </c:ext>
          </c:extLst>
        </c:ser>
        <c:ser>
          <c:idx val="9"/>
          <c:order val="4"/>
          <c:tx>
            <c:strRef>
              <c:f>Summary!$B$653</c:f>
              <c:strCache>
                <c:ptCount val="1"/>
                <c:pt idx="0">
                  <c:v>100G FR1_2 km_QSFP28</c:v>
                </c:pt>
              </c:strCache>
            </c:strRef>
          </c:tx>
          <c:cat>
            <c:numRef>
              <c:f>Summary!$C$648:$L$648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Summary!$C$653:$L$653</c:f>
              <c:numCache>
                <c:formatCode>_("$"* #,##0_);_("$"* \(#,##0\);_("$"* "-"??_);_(@_)</c:formatCode>
                <c:ptCount val="10"/>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6DB7-6449-97D8-C194F1CD0C91}"/>
            </c:ext>
          </c:extLst>
        </c:ser>
        <c:ser>
          <c:idx val="1"/>
          <c:order val="5"/>
          <c:tx>
            <c:strRef>
              <c:f>Summary!$B$654</c:f>
              <c:strCache>
                <c:ptCount val="1"/>
                <c:pt idx="0">
                  <c:v>100G LR4_10 km_CFP</c:v>
                </c:pt>
              </c:strCache>
            </c:strRef>
          </c:tx>
          <c:cat>
            <c:numRef>
              <c:f>Summary!$C$648:$L$648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Summary!$C$654:$L$654</c:f>
              <c:numCache>
                <c:formatCode>_("$"* #,##0_);_("$"* \(#,##0\);_("$"* "-"??_);_(@_)</c:formatCode>
                <c:ptCount val="10"/>
                <c:pt idx="0">
                  <c:v>3527.8709620331333</c:v>
                </c:pt>
                <c:pt idx="1">
                  <c:v>2768.0701132780364</c:v>
                </c:pt>
                <c:pt idx="2">
                  <c:v>2103.9330552211131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D455-2A45-B2C8-6267A3389E6C}"/>
            </c:ext>
          </c:extLst>
        </c:ser>
        <c:ser>
          <c:idx val="2"/>
          <c:order val="6"/>
          <c:tx>
            <c:strRef>
              <c:f>Summary!$B$655</c:f>
              <c:strCache>
                <c:ptCount val="1"/>
                <c:pt idx="0">
                  <c:v>100G LR4_10 km_CFP2/4</c:v>
                </c:pt>
              </c:strCache>
            </c:strRef>
          </c:tx>
          <c:cat>
            <c:numRef>
              <c:f>Summary!$C$648:$L$648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Summary!$C$655:$L$655</c:f>
              <c:numCache>
                <c:formatCode>_("$"* #,##0_);_("$"* \(#,##0\);_("$"* "-"??_);_(@_)</c:formatCode>
                <c:ptCount val="10"/>
                <c:pt idx="0">
                  <c:v>2882.5268681316725</c:v>
                </c:pt>
                <c:pt idx="1">
                  <c:v>2140.3307221126156</c:v>
                </c:pt>
                <c:pt idx="2">
                  <c:v>1371.5324877705048</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D455-2A45-B2C8-6267A3389E6C}"/>
            </c:ext>
          </c:extLst>
        </c:ser>
        <c:ser>
          <c:idx val="3"/>
          <c:order val="7"/>
          <c:tx>
            <c:strRef>
              <c:f>Summary!$B$656</c:f>
              <c:strCache>
                <c:ptCount val="1"/>
                <c:pt idx="0">
                  <c:v>100G LR4 and LR1_10 km_QSFP28</c:v>
                </c:pt>
              </c:strCache>
            </c:strRef>
          </c:tx>
          <c:marker>
            <c:symbol val="square"/>
            <c:size val="5"/>
          </c:marker>
          <c:cat>
            <c:numRef>
              <c:f>Summary!$C$648:$L$648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Summary!$C$656:$L$656</c:f>
              <c:numCache>
                <c:formatCode>_("$"* #,##0_);_("$"* \(#,##0\);_("$"* "-"??_);_(@_)</c:formatCode>
                <c:ptCount val="10"/>
                <c:pt idx="0">
                  <c:v>1938.1501024552811</c:v>
                </c:pt>
                <c:pt idx="1">
                  <c:v>1200</c:v>
                </c:pt>
                <c:pt idx="2">
                  <c:v>833.83281288172873</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D455-2A45-B2C8-6267A3389E6C}"/>
            </c:ext>
          </c:extLst>
        </c:ser>
        <c:ser>
          <c:idx val="10"/>
          <c:order val="8"/>
          <c:tx>
            <c:strRef>
              <c:f>Summary!$B$657</c:f>
              <c:strCache>
                <c:ptCount val="1"/>
                <c:pt idx="0">
                  <c:v>100G 4WDM10_10 km_QSFP28</c:v>
                </c:pt>
              </c:strCache>
            </c:strRef>
          </c:tx>
          <c:cat>
            <c:numRef>
              <c:f>Summary!$C$648:$L$648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Summary!$C$657:$L$657</c:f>
              <c:numCache>
                <c:formatCode>_("$"* #,##0_);_("$"* \(#,##0\);_("$"* "-"??_);_(@_)</c:formatCode>
                <c:ptCount val="10"/>
                <c:pt idx="1">
                  <c:v>500</c:v>
                </c:pt>
                <c:pt idx="2">
                  <c:v>300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6DB7-6449-97D8-C194F1CD0C91}"/>
            </c:ext>
          </c:extLst>
        </c:ser>
        <c:ser>
          <c:idx val="6"/>
          <c:order val="9"/>
          <c:tx>
            <c:strRef>
              <c:f>Summary!$B$658</c:f>
              <c:strCache>
                <c:ptCount val="1"/>
                <c:pt idx="0">
                  <c:v>100G 4WDM20_20 km_QSFP28</c:v>
                </c:pt>
              </c:strCache>
            </c:strRef>
          </c:tx>
          <c:cat>
            <c:numRef>
              <c:f>Summary!$C$648:$L$648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Summary!$C$658:$L$658</c:f>
              <c:numCache>
                <c:formatCode>_("$"* #,##0_);_("$"* \(#,##0\);_("$"* "-"??_);_(@_)</c:formatCode>
                <c:ptCount val="10"/>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D455-2A45-B2C8-6267A3389E6C}"/>
            </c:ext>
          </c:extLst>
        </c:ser>
        <c:ser>
          <c:idx val="4"/>
          <c:order val="10"/>
          <c:tx>
            <c:strRef>
              <c:f>Summary!$B$659</c:f>
              <c:strCache>
                <c:ptCount val="1"/>
                <c:pt idx="0">
                  <c:v>100G ER4, ER4-Lite_40 km_QSFP28</c:v>
                </c:pt>
              </c:strCache>
            </c:strRef>
          </c:tx>
          <c:cat>
            <c:numRef>
              <c:f>Summary!$C$648:$L$648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Summary!$C$659:$L$659</c:f>
              <c:numCache>
                <c:formatCode>_("$"* #,##0_);_("$"* \(#,##0\);_("$"* "-"??_);_(@_)</c:formatCode>
                <c:ptCount val="10"/>
                <c:pt idx="0">
                  <c:v>8992.3605424008583</c:v>
                </c:pt>
                <c:pt idx="1">
                  <c:v>6042.927196558162</c:v>
                </c:pt>
                <c:pt idx="2">
                  <c:v>3963.8865151935943</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AF05-E843-84B8-791173DE1B5D}"/>
            </c:ext>
          </c:extLst>
        </c:ser>
        <c:dLbls>
          <c:showLegendKey val="0"/>
          <c:showVal val="0"/>
          <c:showCatName val="0"/>
          <c:showSerName val="0"/>
          <c:showPercent val="0"/>
          <c:showBubbleSize val="0"/>
        </c:dLbls>
        <c:marker val="1"/>
        <c:smooth val="0"/>
        <c:axId val="132768128"/>
        <c:axId val="132769664"/>
      </c:lineChart>
      <c:catAx>
        <c:axId val="132768128"/>
        <c:scaling>
          <c:orientation val="minMax"/>
        </c:scaling>
        <c:delete val="0"/>
        <c:axPos val="b"/>
        <c:numFmt formatCode="General" sourceLinked="1"/>
        <c:majorTickMark val="out"/>
        <c:minorTickMark val="none"/>
        <c:tickLblPos val="nextTo"/>
        <c:txPr>
          <a:bodyPr/>
          <a:lstStyle/>
          <a:p>
            <a:pPr>
              <a:defRPr sz="1100"/>
            </a:pPr>
            <a:endParaRPr lang="en-US"/>
          </a:p>
        </c:txPr>
        <c:crossAx val="132769664"/>
        <c:crosses val="autoZero"/>
        <c:auto val="1"/>
        <c:lblAlgn val="ctr"/>
        <c:lblOffset val="100"/>
        <c:noMultiLvlLbl val="0"/>
      </c:catAx>
      <c:valAx>
        <c:axId val="132769664"/>
        <c:scaling>
          <c:orientation val="minMax"/>
          <c:min val="0"/>
        </c:scaling>
        <c:delete val="0"/>
        <c:axPos val="l"/>
        <c:majorGridlines/>
        <c:title>
          <c:tx>
            <c:rich>
              <a:bodyPr rot="-5400000" vert="horz"/>
              <a:lstStyle/>
              <a:p>
                <a:pPr>
                  <a:defRPr sz="1400"/>
                </a:pPr>
                <a:r>
                  <a:rPr lang="en-US" sz="1400"/>
                  <a:t>A.S.P.s</a:t>
                </a:r>
              </a:p>
            </c:rich>
          </c:tx>
          <c:layout/>
          <c:overlay val="0"/>
        </c:title>
        <c:numFmt formatCode="&quot;$&quot;#,##0" sourceLinked="0"/>
        <c:majorTickMark val="out"/>
        <c:minorTickMark val="none"/>
        <c:tickLblPos val="nextTo"/>
        <c:txPr>
          <a:bodyPr/>
          <a:lstStyle/>
          <a:p>
            <a:pPr>
              <a:defRPr sz="1100"/>
            </a:pPr>
            <a:endParaRPr lang="en-US"/>
          </a:p>
        </c:txPr>
        <c:crossAx val="132768128"/>
        <c:crosses val="autoZero"/>
        <c:crossBetween val="between"/>
        <c:majorUnit val="1000"/>
      </c:valAx>
    </c:plotArea>
    <c:legend>
      <c:legendPos val="t"/>
      <c:layout>
        <c:manualLayout>
          <c:xMode val="edge"/>
          <c:yMode val="edge"/>
          <c:x val="0.46093466727330473"/>
          <c:y val="7.0469303553456417E-2"/>
          <c:w val="0.50092299911493232"/>
          <c:h val="0.50108547391287028"/>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0567056913174"/>
          <c:y val="3.778602565976448E-2"/>
          <c:w val="0.82462256352084295"/>
          <c:h val="0.88510706586246157"/>
        </c:manualLayout>
      </c:layout>
      <c:lineChart>
        <c:grouping val="standard"/>
        <c:varyColors val="0"/>
        <c:ser>
          <c:idx val="4"/>
          <c:order val="0"/>
          <c:tx>
            <c:strRef>
              <c:f>Summary!$B$787</c:f>
              <c:strCache>
                <c:ptCount val="1"/>
                <c:pt idx="0">
                  <c:v>2x200 (400G-SR8)</c:v>
                </c:pt>
              </c:strCache>
            </c:strRef>
          </c:tx>
          <c:cat>
            <c:numRef>
              <c:f>Summary!$E$786:$L$786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Summary!$E$787:$L$787</c:f>
              <c:numCache>
                <c:formatCode>_(* #,##0_);_(* \(#,##0\);_(* "-"??_);_(@_)</c:formatCode>
                <c:ptCount val="8"/>
                <c:pt idx="0">
                  <c:v>23000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9009-5347-B4AF-9FED4C00316F}"/>
            </c:ext>
          </c:extLst>
        </c:ser>
        <c:ser>
          <c:idx val="2"/>
          <c:order val="1"/>
          <c:tx>
            <c:strRef>
              <c:f>Summary!$B$788</c:f>
              <c:strCache>
                <c:ptCount val="1"/>
                <c:pt idx="0">
                  <c:v>400G SR4.2, SR4</c:v>
                </c:pt>
              </c:strCache>
            </c:strRef>
          </c:tx>
          <c:spPr>
            <a:ln>
              <a:solidFill>
                <a:schemeClr val="accent2"/>
              </a:solidFill>
            </a:ln>
          </c:spPr>
          <c:marker>
            <c:spPr>
              <a:solidFill>
                <a:schemeClr val="accent2"/>
              </a:solidFill>
              <a:ln>
                <a:solidFill>
                  <a:schemeClr val="accent2"/>
                </a:solidFill>
              </a:ln>
            </c:spPr>
          </c:marker>
          <c:cat>
            <c:numRef>
              <c:f>Summary!$E$786:$L$786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Summary!$E$788:$L$788</c:f>
              <c:numCache>
                <c:formatCode>_(* #,##0_);_(* \(#,##0\);_(* "-"??_);_(@_)</c:formatCode>
                <c:ptCount val="8"/>
                <c:pt idx="0">
                  <c:v>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DCD4-1B4A-BF00-DACF0025900F}"/>
            </c:ext>
          </c:extLst>
        </c:ser>
        <c:ser>
          <c:idx val="0"/>
          <c:order val="2"/>
          <c:tx>
            <c:strRef>
              <c:f>Summary!$B$789</c:f>
              <c:strCache>
                <c:ptCount val="1"/>
                <c:pt idx="0">
                  <c:v>400G DR4</c:v>
                </c:pt>
              </c:strCache>
            </c:strRef>
          </c:tx>
          <c:cat>
            <c:numRef>
              <c:f>Summary!$E$786:$L$786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Summary!$E$789:$L$789</c:f>
              <c:numCache>
                <c:formatCode>_(* #,##0_);_(* \(#,##0\);_(* "-"??_);_(@_)</c:formatCode>
                <c:ptCount val="8"/>
                <c:pt idx="0">
                  <c:v>2000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1-DCD4-1B4A-BF00-DACF0025900F}"/>
            </c:ext>
          </c:extLst>
        </c:ser>
        <c:ser>
          <c:idx val="5"/>
          <c:order val="3"/>
          <c:tx>
            <c:strRef>
              <c:f>Summary!$B$790</c:f>
              <c:strCache>
                <c:ptCount val="1"/>
                <c:pt idx="0">
                  <c:v>2x(200G FR4)</c:v>
                </c:pt>
              </c:strCache>
            </c:strRef>
          </c:tx>
          <c:cat>
            <c:numRef>
              <c:f>Summary!$E$786:$L$786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Summary!$E$790:$L$790</c:f>
              <c:numCache>
                <c:formatCode>_(* #,##0_);_(* \(#,##0\);_(* "-"??_);_(@_)</c:formatCode>
                <c:ptCount val="8"/>
                <c:pt idx="0">
                  <c:v>12000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1-9009-5347-B4AF-9FED4C00316F}"/>
            </c:ext>
          </c:extLst>
        </c:ser>
        <c:ser>
          <c:idx val="1"/>
          <c:order val="4"/>
          <c:tx>
            <c:strRef>
              <c:f>Summary!$B$791</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Summary!$E$786:$L$786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Summary!$E$791:$L$791</c:f>
              <c:numCache>
                <c:formatCode>_(* #,##0_);_(* \(#,##0\);_(* "-"??_);_(@_)</c:formatCode>
                <c:ptCount val="8"/>
                <c:pt idx="0">
                  <c:v>1000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2-DCD4-1B4A-BF00-DACF0025900F}"/>
            </c:ext>
          </c:extLst>
        </c:ser>
        <c:ser>
          <c:idx val="3"/>
          <c:order val="5"/>
          <c:tx>
            <c:strRef>
              <c:f>Summary!$B$792</c:f>
              <c:strCache>
                <c:ptCount val="1"/>
                <c:pt idx="0">
                  <c:v>400G LR4, LR8</c:v>
                </c:pt>
              </c:strCache>
            </c:strRef>
          </c:tx>
          <c:spPr>
            <a:ln>
              <a:solidFill>
                <a:schemeClr val="accent3"/>
              </a:solidFill>
            </a:ln>
          </c:spPr>
          <c:marker>
            <c:symbol val="x"/>
            <c:size val="5"/>
            <c:spPr>
              <a:solidFill>
                <a:schemeClr val="accent3"/>
              </a:solidFill>
              <a:ln>
                <a:solidFill>
                  <a:schemeClr val="accent3"/>
                </a:solidFill>
              </a:ln>
            </c:spPr>
          </c:marker>
          <c:cat>
            <c:numRef>
              <c:f>Summary!$E$786:$L$786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Summary!$E$792:$L$792</c:f>
              <c:numCache>
                <c:formatCode>_(* #,##0_);_(* \(#,##0\);_(* "-"??_);_(@_)</c:formatCode>
                <c:ptCount val="8"/>
                <c:pt idx="0">
                  <c:v>1000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3-DCD4-1B4A-BF00-DACF0025900F}"/>
            </c:ext>
          </c:extLst>
        </c:ser>
        <c:dLbls>
          <c:showLegendKey val="0"/>
          <c:showVal val="0"/>
          <c:showCatName val="0"/>
          <c:showSerName val="0"/>
          <c:showPercent val="0"/>
          <c:showBubbleSize val="0"/>
        </c:dLbls>
        <c:marker val="1"/>
        <c:smooth val="0"/>
        <c:axId val="132952064"/>
        <c:axId val="132953984"/>
      </c:lineChart>
      <c:catAx>
        <c:axId val="132952064"/>
        <c:scaling>
          <c:orientation val="minMax"/>
        </c:scaling>
        <c:delete val="0"/>
        <c:axPos val="b"/>
        <c:numFmt formatCode="General" sourceLinked="1"/>
        <c:majorTickMark val="out"/>
        <c:minorTickMark val="none"/>
        <c:tickLblPos val="nextTo"/>
        <c:txPr>
          <a:bodyPr/>
          <a:lstStyle/>
          <a:p>
            <a:pPr>
              <a:defRPr sz="1000"/>
            </a:pPr>
            <a:endParaRPr lang="en-US"/>
          </a:p>
        </c:txPr>
        <c:crossAx val="132953984"/>
        <c:crosses val="autoZero"/>
        <c:auto val="1"/>
        <c:lblAlgn val="ctr"/>
        <c:lblOffset val="100"/>
        <c:noMultiLvlLbl val="0"/>
      </c:catAx>
      <c:valAx>
        <c:axId val="132953984"/>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pPr>
            <a:endParaRPr lang="en-US"/>
          </a:p>
        </c:txPr>
        <c:crossAx val="132952064"/>
        <c:crosses val="autoZero"/>
        <c:crossBetween val="between"/>
        <c:majorUnit val="1000000"/>
      </c:valAx>
    </c:plotArea>
    <c:legend>
      <c:legendPos val="t"/>
      <c:layout>
        <c:manualLayout>
          <c:xMode val="edge"/>
          <c:yMode val="edge"/>
          <c:x val="0.20565082577760882"/>
          <c:y val="8.4609887847297921E-2"/>
          <c:w val="0.25886263461575026"/>
          <c:h val="0.51777205145169469"/>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23742867342317"/>
          <c:y val="4.4224566858206284E-2"/>
          <c:w val="0.80876257132657681"/>
          <c:h val="0.86312880721177543"/>
        </c:manualLayout>
      </c:layout>
      <c:lineChart>
        <c:grouping val="standard"/>
        <c:varyColors val="0"/>
        <c:ser>
          <c:idx val="2"/>
          <c:order val="0"/>
          <c:tx>
            <c:strRef>
              <c:f>Summary!$B$323</c:f>
              <c:strCache>
                <c:ptCount val="1"/>
                <c:pt idx="0">
                  <c:v>100 - 300 m</c:v>
                </c:pt>
              </c:strCache>
            </c:strRef>
          </c:tx>
          <c:spPr>
            <a:ln>
              <a:solidFill>
                <a:schemeClr val="accent2"/>
              </a:solidFill>
            </a:ln>
          </c:spPr>
          <c:marker>
            <c:spPr>
              <a:solidFill>
                <a:schemeClr val="accent2"/>
              </a:solidFill>
              <a:ln>
                <a:solidFill>
                  <a:schemeClr val="accent2"/>
                </a:solidFill>
              </a:ln>
            </c:spPr>
          </c:marker>
          <c:cat>
            <c:numRef>
              <c:f>Summary!$C$322:$L$322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Summary!$C$323:$L$323</c:f>
              <c:numCache>
                <c:formatCode>_(* #,##0_);_(* \(#,##0\);_(* "-"??_);_(@_)</c:formatCode>
                <c:ptCount val="10"/>
                <c:pt idx="0">
                  <c:v>7146</c:v>
                </c:pt>
                <c:pt idx="1">
                  <c:v>95865</c:v>
                </c:pt>
                <c:pt idx="2">
                  <c:v>318978</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9504-D143-A648-DC26B91E7A73}"/>
            </c:ext>
          </c:extLst>
        </c:ser>
        <c:ser>
          <c:idx val="0"/>
          <c:order val="1"/>
          <c:tx>
            <c:strRef>
              <c:f>Summary!$B$324</c:f>
              <c:strCache>
                <c:ptCount val="1"/>
                <c:pt idx="0">
                  <c:v>10 km</c:v>
                </c:pt>
              </c:strCache>
            </c:strRef>
          </c:tx>
          <c:cat>
            <c:numRef>
              <c:f>Summary!$C$322:$L$322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Summary!$C$324:$L$324</c:f>
              <c:numCache>
                <c:formatCode>_(* #,##0_);_(* \(#,##0\);_(* "-"??_);_(@_)</c:formatCode>
                <c:ptCount val="10"/>
                <c:pt idx="0">
                  <c:v>4548</c:v>
                </c:pt>
                <c:pt idx="1">
                  <c:v>17462</c:v>
                </c:pt>
                <c:pt idx="2">
                  <c:v>56709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9504-D143-A648-DC26B91E7A73}"/>
            </c:ext>
          </c:extLst>
        </c:ser>
        <c:ser>
          <c:idx val="1"/>
          <c:order val="2"/>
          <c:tx>
            <c:strRef>
              <c:f>Summary!$B$325</c:f>
              <c:strCache>
                <c:ptCount val="1"/>
                <c:pt idx="0">
                  <c:v>40 km</c:v>
                </c:pt>
              </c:strCache>
            </c:strRef>
          </c:tx>
          <c:spPr>
            <a:ln>
              <a:solidFill>
                <a:schemeClr val="accent3"/>
              </a:solidFill>
            </a:ln>
          </c:spPr>
          <c:marker>
            <c:symbol val="square"/>
            <c:size val="5"/>
            <c:spPr>
              <a:solidFill>
                <a:schemeClr val="accent3"/>
              </a:solidFill>
              <a:ln>
                <a:solidFill>
                  <a:schemeClr val="accent3"/>
                </a:solidFill>
              </a:ln>
            </c:spPr>
          </c:marker>
          <c:cat>
            <c:numRef>
              <c:f>Summary!$C$322:$L$322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Summary!$C$325:$L$325</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9504-D143-A648-DC26B91E7A73}"/>
            </c:ext>
          </c:extLst>
        </c:ser>
        <c:dLbls>
          <c:showLegendKey val="0"/>
          <c:showVal val="0"/>
          <c:showCatName val="0"/>
          <c:showSerName val="0"/>
          <c:showPercent val="0"/>
          <c:showBubbleSize val="0"/>
        </c:dLbls>
        <c:marker val="1"/>
        <c:smooth val="0"/>
        <c:axId val="134701440"/>
        <c:axId val="134703360"/>
      </c:lineChart>
      <c:catAx>
        <c:axId val="134701440"/>
        <c:scaling>
          <c:orientation val="minMax"/>
        </c:scaling>
        <c:delete val="0"/>
        <c:axPos val="b"/>
        <c:numFmt formatCode="General" sourceLinked="1"/>
        <c:majorTickMark val="out"/>
        <c:minorTickMark val="none"/>
        <c:tickLblPos val="nextTo"/>
        <c:txPr>
          <a:bodyPr/>
          <a:lstStyle/>
          <a:p>
            <a:pPr>
              <a:defRPr sz="1200"/>
            </a:pPr>
            <a:endParaRPr lang="en-US"/>
          </a:p>
        </c:txPr>
        <c:crossAx val="134703360"/>
        <c:crosses val="autoZero"/>
        <c:auto val="1"/>
        <c:lblAlgn val="ctr"/>
        <c:lblOffset val="100"/>
        <c:noMultiLvlLbl val="0"/>
      </c:catAx>
      <c:valAx>
        <c:axId val="134703360"/>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7630028284793809E-2"/>
              <c:y val="6.4222104164403854E-2"/>
            </c:manualLayout>
          </c:layout>
          <c:overlay val="0"/>
        </c:title>
        <c:numFmt formatCode="_(* #,##0_);_(* \(#,##0\);_(* &quot;-&quot;??_);_(@_)" sourceLinked="1"/>
        <c:majorTickMark val="out"/>
        <c:minorTickMark val="none"/>
        <c:tickLblPos val="nextTo"/>
        <c:txPr>
          <a:bodyPr/>
          <a:lstStyle/>
          <a:p>
            <a:pPr>
              <a:defRPr sz="1200"/>
            </a:pPr>
            <a:endParaRPr lang="en-US"/>
          </a:p>
        </c:txPr>
        <c:crossAx val="134701440"/>
        <c:crosses val="autoZero"/>
        <c:crossBetween val="between"/>
      </c:valAx>
    </c:plotArea>
    <c:legend>
      <c:legendPos val="t"/>
      <c:layout>
        <c:manualLayout>
          <c:xMode val="edge"/>
          <c:yMode val="edge"/>
          <c:x val="0.20236670625872261"/>
          <c:y val="7.8465331694341306E-2"/>
          <c:w val="0.21480827916164602"/>
          <c:h val="0.40817648469829576"/>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42321290293454"/>
          <c:y val="0.18404227725592476"/>
          <c:w val="0.7873671252066341"/>
          <c:h val="0.72109136680229713"/>
        </c:manualLayout>
      </c:layout>
      <c:lineChart>
        <c:grouping val="standard"/>
        <c:varyColors val="0"/>
        <c:ser>
          <c:idx val="0"/>
          <c:order val="0"/>
          <c:tx>
            <c:strRef>
              <c:f>Summary!$B$219</c:f>
              <c:strCache>
                <c:ptCount val="1"/>
                <c:pt idx="0">
                  <c:v>10G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Summary!$C$219:$L$219</c:f>
              <c:numCache>
                <c:formatCode>_(* #,##0_);_(* \(#,##0\);_(* "-"??_);_(@_)</c:formatCode>
                <c:ptCount val="10"/>
                <c:pt idx="0">
                  <c:v>7045433</c:v>
                </c:pt>
                <c:pt idx="1">
                  <c:v>7253278.0999999996</c:v>
                </c:pt>
                <c:pt idx="2">
                  <c:v>7932741.0999999996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7A7E-4C49-8F73-1D034969DEF4}"/>
            </c:ext>
          </c:extLst>
        </c:ser>
        <c:ser>
          <c:idx val="2"/>
          <c:order val="1"/>
          <c:tx>
            <c:strRef>
              <c:f>Summary!$B$220</c:f>
              <c:strCache>
                <c:ptCount val="1"/>
                <c:pt idx="0">
                  <c:v>25G SMF</c:v>
                </c:pt>
              </c:strCache>
            </c:strRef>
          </c:tx>
          <c:spPr>
            <a:ln>
              <a:solidFill>
                <a:schemeClr val="accent2"/>
              </a:solidFill>
            </a:ln>
          </c:spPr>
          <c:marker>
            <c:spPr>
              <a:solidFill>
                <a:schemeClr val="accent2"/>
              </a:solidFill>
              <a:ln>
                <a:solidFill>
                  <a:schemeClr val="accent2"/>
                </a:solidFill>
              </a:ln>
            </c:spPr>
          </c:marker>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Summary!$C$220:$L$220</c:f>
              <c:numCache>
                <c:formatCode>_(* #,##0_);_(* \(#,##0\);_(* "-"??_);_(@_)</c:formatCode>
                <c:ptCount val="10"/>
                <c:pt idx="0">
                  <c:v>4548</c:v>
                </c:pt>
                <c:pt idx="1">
                  <c:v>17462</c:v>
                </c:pt>
                <c:pt idx="2">
                  <c:v>56709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7A7E-4C49-8F73-1D034969DEF4}"/>
            </c:ext>
          </c:extLst>
        </c:ser>
        <c:ser>
          <c:idx val="3"/>
          <c:order val="2"/>
          <c:tx>
            <c:strRef>
              <c:f>Summary!$B$221</c:f>
              <c:strCache>
                <c:ptCount val="1"/>
                <c:pt idx="0">
                  <c:v>40G SMF</c:v>
                </c:pt>
              </c:strCache>
            </c:strRef>
          </c:tx>
          <c:spPr>
            <a:ln>
              <a:solidFill>
                <a:schemeClr val="accent3"/>
              </a:solidFill>
            </a:ln>
          </c:spPr>
          <c:marker>
            <c:spPr>
              <a:solidFill>
                <a:schemeClr val="accent3"/>
              </a:solidFill>
              <a:ln>
                <a:solidFill>
                  <a:schemeClr val="accent3"/>
                </a:solidFill>
              </a:ln>
            </c:spPr>
          </c:marker>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Summary!$C$221:$L$221</c:f>
              <c:numCache>
                <c:formatCode>_(* #,##0_);_(* \(#,##0\);_(* "-"??_);_(@_)</c:formatCode>
                <c:ptCount val="10"/>
                <c:pt idx="0">
                  <c:v>1623570</c:v>
                </c:pt>
                <c:pt idx="1">
                  <c:v>1853294</c:v>
                </c:pt>
                <c:pt idx="2">
                  <c:v>1052090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7A7E-4C49-8F73-1D034969DEF4}"/>
            </c:ext>
          </c:extLst>
        </c:ser>
        <c:ser>
          <c:idx val="5"/>
          <c:order val="3"/>
          <c:tx>
            <c:strRef>
              <c:f>Summary!$B$222</c:f>
              <c:strCache>
                <c:ptCount val="1"/>
                <c:pt idx="0">
                  <c:v>50G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Summary!$C$222:$L$222</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7A7E-4C49-8F73-1D034969DEF4}"/>
            </c:ext>
          </c:extLst>
        </c:ser>
        <c:ser>
          <c:idx val="1"/>
          <c:order val="4"/>
          <c:tx>
            <c:strRef>
              <c:f>Summary!$B$223</c:f>
              <c:strCache>
                <c:ptCount val="1"/>
                <c:pt idx="0">
                  <c:v>100G SMF</c:v>
                </c:pt>
              </c:strCache>
            </c:strRef>
          </c:tx>
          <c:spPr>
            <a:ln>
              <a:solidFill>
                <a:schemeClr val="accent4"/>
              </a:solidFill>
            </a:ln>
          </c:spPr>
          <c:marker>
            <c:symbol val="square"/>
            <c:size val="5"/>
            <c:spPr>
              <a:solidFill>
                <a:schemeClr val="accent4"/>
              </a:solidFill>
              <a:ln>
                <a:solidFill>
                  <a:schemeClr val="accent4"/>
                </a:solidFill>
              </a:ln>
            </c:spPr>
          </c:marker>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Summary!$C$223:$L$223</c:f>
              <c:numCache>
                <c:formatCode>_(* #,##0_);_(* \(#,##0\);_(* "-"??_);_(@_)</c:formatCode>
                <c:ptCount val="10"/>
                <c:pt idx="0">
                  <c:v>620129</c:v>
                </c:pt>
                <c:pt idx="1">
                  <c:v>2249516</c:v>
                </c:pt>
                <c:pt idx="2">
                  <c:v>4104113.7366946777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7A7E-4C49-8F73-1D034969DEF4}"/>
            </c:ext>
          </c:extLst>
        </c:ser>
        <c:ser>
          <c:idx val="6"/>
          <c:order val="5"/>
          <c:tx>
            <c:strRef>
              <c:f>Summary!$B$224</c:f>
              <c:strCache>
                <c:ptCount val="1"/>
                <c:pt idx="0">
                  <c:v>200G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Summary!$C$224:$L$224</c:f>
              <c:numCache>
                <c:formatCode>_(* #,##0_);_(* \(#,##0\);_(* "-"??_);_(@_)</c:formatCode>
                <c:ptCount val="10"/>
                <c:pt idx="1">
                  <c:v>0</c:v>
                </c:pt>
                <c:pt idx="2">
                  <c:v>500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7A7E-4C49-8F73-1D034969DEF4}"/>
            </c:ext>
          </c:extLst>
        </c:ser>
        <c:ser>
          <c:idx val="4"/>
          <c:order val="6"/>
          <c:tx>
            <c:strRef>
              <c:f>Summary!$B$225</c:f>
              <c:strCache>
                <c:ptCount val="1"/>
                <c:pt idx="0">
                  <c:v>400G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Summary!$C$225:$L$225</c:f>
              <c:numCache>
                <c:formatCode>_(* #,##0_);_(* \(#,##0\);_(* "-"??_);_(@_)</c:formatCode>
                <c:ptCount val="10"/>
                <c:pt idx="1">
                  <c:v>89</c:v>
                </c:pt>
                <c:pt idx="2">
                  <c:v>16000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7A7E-4C49-8F73-1D034969DEF4}"/>
            </c:ext>
          </c:extLst>
        </c:ser>
        <c:ser>
          <c:idx val="7"/>
          <c:order val="7"/>
          <c:tx>
            <c:strRef>
              <c:f>Summary!$B$226</c:f>
              <c:strCache>
                <c:ptCount val="1"/>
                <c:pt idx="0">
                  <c:v>800G SMF</c:v>
                </c:pt>
              </c:strCache>
            </c:strRef>
          </c:tx>
          <c:spPr>
            <a:ln>
              <a:solidFill>
                <a:srgbClr val="00B050"/>
              </a:solidFill>
            </a:ln>
          </c:spPr>
          <c:marker>
            <c:spPr>
              <a:ln>
                <a:solidFill>
                  <a:srgbClr val="00B050"/>
                </a:solidFill>
              </a:ln>
            </c:spPr>
          </c:marker>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Summary!$C$226:$L$226</c:f>
              <c:numCache>
                <c:formatCode>_(* #,##0_);_(* \(#,##0\);_(* "-"??_);_(@_)</c:formatCode>
                <c:ptCount val="10"/>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ED1D-1745-83C4-6B6B5D37EAFC}"/>
            </c:ext>
          </c:extLst>
        </c:ser>
        <c:dLbls>
          <c:showLegendKey val="0"/>
          <c:showVal val="0"/>
          <c:showCatName val="0"/>
          <c:showSerName val="0"/>
          <c:showPercent val="0"/>
          <c:showBubbleSize val="0"/>
        </c:dLbls>
        <c:marker val="1"/>
        <c:smooth val="0"/>
        <c:axId val="150747008"/>
        <c:axId val="150761472"/>
      </c:lineChart>
      <c:catAx>
        <c:axId val="150747008"/>
        <c:scaling>
          <c:orientation val="minMax"/>
        </c:scaling>
        <c:delete val="0"/>
        <c:axPos val="b"/>
        <c:numFmt formatCode="General" sourceLinked="1"/>
        <c:majorTickMark val="out"/>
        <c:minorTickMark val="none"/>
        <c:tickLblPos val="nextTo"/>
        <c:txPr>
          <a:bodyPr/>
          <a:lstStyle/>
          <a:p>
            <a:pPr>
              <a:defRPr sz="1000"/>
            </a:pPr>
            <a:endParaRPr lang="en-US"/>
          </a:p>
        </c:txPr>
        <c:crossAx val="150761472"/>
        <c:crosses val="autoZero"/>
        <c:auto val="1"/>
        <c:lblAlgn val="ctr"/>
        <c:lblOffset val="100"/>
        <c:noMultiLvlLbl val="0"/>
      </c:catAx>
      <c:valAx>
        <c:axId val="150761472"/>
        <c:scaling>
          <c:orientation val="minMax"/>
          <c:min val="0"/>
        </c:scaling>
        <c:delete val="0"/>
        <c:axPos val="l"/>
        <c:majorGridlines/>
        <c:title>
          <c:tx>
            <c:rich>
              <a:bodyPr/>
              <a:lstStyle/>
              <a:p>
                <a:pPr>
                  <a:defRPr sz="1200"/>
                </a:pPr>
                <a:r>
                  <a:rPr lang="en-US" sz="1200"/>
                  <a:t>Shipments (Units)</a:t>
                </a:r>
              </a:p>
            </c:rich>
          </c:tx>
          <c:layout>
            <c:manualLayout>
              <c:xMode val="edge"/>
              <c:yMode val="edge"/>
              <c:x val="2.3462327726077124E-2"/>
              <c:y val="0.28239084591574548"/>
            </c:manualLayout>
          </c:layout>
          <c:overlay val="0"/>
        </c:title>
        <c:numFmt formatCode="_(* #,##0_);_(* \(#,##0\);_(* &quot;-&quot;??_);_(@_)" sourceLinked="1"/>
        <c:majorTickMark val="out"/>
        <c:minorTickMark val="none"/>
        <c:tickLblPos val="nextTo"/>
        <c:txPr>
          <a:bodyPr/>
          <a:lstStyle/>
          <a:p>
            <a:pPr>
              <a:defRPr sz="1000"/>
            </a:pPr>
            <a:endParaRPr lang="en-US"/>
          </a:p>
        </c:txPr>
        <c:crossAx val="150747008"/>
        <c:crosses val="autoZero"/>
        <c:crossBetween val="between"/>
        <c:majorUnit val="2000000"/>
        <c:minorUnit val="40000"/>
      </c:valAx>
    </c:plotArea>
    <c:legend>
      <c:legendPos val="t"/>
      <c:layout>
        <c:manualLayout>
          <c:xMode val="edge"/>
          <c:yMode val="edge"/>
          <c:x val="0.19125859650870075"/>
          <c:y val="4.9251003679777888E-2"/>
          <c:w val="0.78137543015724964"/>
          <c:h val="0.1091796449206983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84503263395"/>
          <c:y val="4.1376091137701319E-2"/>
          <c:w val="0.847492240784677"/>
          <c:h val="0.85122126856446434"/>
        </c:manualLayout>
      </c:layout>
      <c:lineChart>
        <c:grouping val="standard"/>
        <c:varyColors val="0"/>
        <c:ser>
          <c:idx val="0"/>
          <c:order val="0"/>
          <c:tx>
            <c:strRef>
              <c:f>Summary!$B$287</c:f>
              <c:strCache>
                <c:ptCount val="1"/>
                <c:pt idx="0">
                  <c:v>&lt;10G</c:v>
                </c:pt>
              </c:strCache>
            </c:strRef>
          </c:tx>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Summary!$C$287:$L$287</c:f>
              <c:numCache>
                <c:formatCode>0%</c:formatCode>
                <c:ptCount val="10"/>
                <c:pt idx="0">
                  <c:v>0.37511818939959324</c:v>
                </c:pt>
                <c:pt idx="1">
                  <c:v>0.2960701521301668</c:v>
                </c:pt>
                <c:pt idx="2">
                  <c:v>0.3113323312487789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A81F-DA49-8B03-69DF76182AAB}"/>
            </c:ext>
          </c:extLst>
        </c:ser>
        <c:ser>
          <c:idx val="1"/>
          <c:order val="1"/>
          <c:tx>
            <c:strRef>
              <c:f>Summary!$B$288</c:f>
              <c:strCache>
                <c:ptCount val="1"/>
                <c:pt idx="0">
                  <c:v>10G</c:v>
                </c:pt>
              </c:strCache>
            </c:strRef>
          </c:tx>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Summary!$C$288:$L$288</c:f>
              <c:numCache>
                <c:formatCode>0%</c:formatCode>
                <c:ptCount val="10"/>
                <c:pt idx="0">
                  <c:v>0.59913931153889233</c:v>
                </c:pt>
                <c:pt idx="1">
                  <c:v>0.62527752748127097</c:v>
                </c:pt>
                <c:pt idx="2">
                  <c:v>0.54530752660795867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A81F-DA49-8B03-69DF76182AAB}"/>
            </c:ext>
          </c:extLst>
        </c:ser>
        <c:ser>
          <c:idx val="2"/>
          <c:order val="2"/>
          <c:tx>
            <c:strRef>
              <c:f>Summary!$B$289</c:f>
              <c:strCache>
                <c:ptCount val="1"/>
                <c:pt idx="0">
                  <c:v>25G</c:v>
                </c:pt>
              </c:strCache>
            </c:strRef>
          </c:tx>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Summary!$C$289:$L$289</c:f>
              <c:numCache>
                <c:formatCode>0.0%</c:formatCode>
                <c:ptCount val="10"/>
                <c:pt idx="0">
                  <c:v>2.5742499061514355E-2</c:v>
                </c:pt>
                <c:pt idx="1">
                  <c:v>7.8649983067619847E-2</c:v>
                </c:pt>
                <c:pt idx="2">
                  <c:v>0.13916966578490775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A81F-DA49-8B03-69DF76182AAB}"/>
            </c:ext>
          </c:extLst>
        </c:ser>
        <c:ser>
          <c:idx val="3"/>
          <c:order val="3"/>
          <c:tx>
            <c:strRef>
              <c:f>Summary!$B$290</c:f>
              <c:strCache>
                <c:ptCount val="1"/>
                <c:pt idx="0">
                  <c:v>50G</c:v>
                </c:pt>
              </c:strCache>
            </c:strRef>
          </c:tx>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Summary!$C$290:$L$290</c:f>
              <c:numCache>
                <c:formatCode>0.0%</c:formatCode>
                <c:ptCount val="10"/>
                <c:pt idx="2">
                  <c:v>4.0602024819290901E-3</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A81F-DA49-8B03-69DF76182AAB}"/>
            </c:ext>
          </c:extLst>
        </c:ser>
        <c:ser>
          <c:idx val="4"/>
          <c:order val="4"/>
          <c:tx>
            <c:strRef>
              <c:f>Summary!$B$291</c:f>
              <c:strCache>
                <c:ptCount val="1"/>
                <c:pt idx="0">
                  <c:v>100G</c:v>
                </c:pt>
              </c:strCache>
            </c:strRef>
          </c:tx>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Summary!$C$291:$L$291</c:f>
              <c:numCache>
                <c:formatCode>0.0%</c:formatCode>
                <c:ptCount val="10"/>
                <c:pt idx="2">
                  <c:v>1.302738764255323E-4</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38F2-DB4C-A0B8-52577B658713}"/>
            </c:ext>
          </c:extLst>
        </c:ser>
        <c:dLbls>
          <c:showLegendKey val="0"/>
          <c:showVal val="0"/>
          <c:showCatName val="0"/>
          <c:showSerName val="0"/>
          <c:showPercent val="0"/>
          <c:showBubbleSize val="0"/>
        </c:dLbls>
        <c:marker val="1"/>
        <c:smooth val="0"/>
        <c:axId val="150800256"/>
        <c:axId val="150801792"/>
      </c:lineChart>
      <c:catAx>
        <c:axId val="150800256"/>
        <c:scaling>
          <c:orientation val="minMax"/>
        </c:scaling>
        <c:delete val="0"/>
        <c:axPos val="b"/>
        <c:numFmt formatCode="General" sourceLinked="1"/>
        <c:majorTickMark val="out"/>
        <c:minorTickMark val="none"/>
        <c:tickLblPos val="nextTo"/>
        <c:txPr>
          <a:bodyPr/>
          <a:lstStyle/>
          <a:p>
            <a:pPr>
              <a:defRPr sz="1200"/>
            </a:pPr>
            <a:endParaRPr lang="en-US"/>
          </a:p>
        </c:txPr>
        <c:crossAx val="150801792"/>
        <c:crosses val="autoZero"/>
        <c:auto val="1"/>
        <c:lblAlgn val="ctr"/>
        <c:lblOffset val="100"/>
        <c:noMultiLvlLbl val="0"/>
      </c:catAx>
      <c:valAx>
        <c:axId val="150801792"/>
        <c:scaling>
          <c:orientation val="minMax"/>
          <c:max val="0.75"/>
          <c:min val="0"/>
        </c:scaling>
        <c:delete val="0"/>
        <c:axPos val="l"/>
        <c:majorGridlines/>
        <c:title>
          <c:tx>
            <c:rich>
              <a:bodyPr rot="-5400000" vert="horz"/>
              <a:lstStyle/>
              <a:p>
                <a:pPr>
                  <a:defRPr sz="1200" b="1"/>
                </a:pPr>
                <a:r>
                  <a:rPr lang="en-US" sz="1200" b="1"/>
                  <a:t>Percent of Total Modules Shipped</a:t>
                </a:r>
              </a:p>
            </c:rich>
          </c:tx>
          <c:layout>
            <c:manualLayout>
              <c:xMode val="edge"/>
              <c:yMode val="edge"/>
              <c:x val="2.4329020275974299E-2"/>
              <c:y val="0.18415878595864901"/>
            </c:manualLayout>
          </c:layout>
          <c:overlay val="0"/>
        </c:title>
        <c:numFmt formatCode="0%" sourceLinked="1"/>
        <c:majorTickMark val="out"/>
        <c:minorTickMark val="none"/>
        <c:tickLblPos val="nextTo"/>
        <c:crossAx val="150800256"/>
        <c:crosses val="autoZero"/>
        <c:crossBetween val="between"/>
      </c:valAx>
    </c:plotArea>
    <c:legend>
      <c:legendPos val="t"/>
      <c:layout>
        <c:manualLayout>
          <c:xMode val="edge"/>
          <c:yMode val="edge"/>
          <c:x val="0.82794557516532774"/>
          <c:y val="0.12211882752237646"/>
          <c:w val="0.12810631457573904"/>
          <c:h val="0.2605720857566610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'Mega-DCI' market segment</a:t>
            </a:r>
          </a:p>
          <a:p>
            <a:pPr>
              <a:defRPr/>
            </a:pPr>
            <a:r>
              <a:rPr lang="en-US"/>
              <a:t>is part of the overall DWDM market </a:t>
            </a:r>
          </a:p>
        </c:rich>
      </c:tx>
      <c:layout/>
      <c:overlay val="0"/>
    </c:title>
    <c:autoTitleDeleted val="0"/>
    <c:plotArea>
      <c:layout>
        <c:manualLayout>
          <c:layoutTarget val="inner"/>
          <c:xMode val="edge"/>
          <c:yMode val="edge"/>
          <c:x val="0.335553912794613"/>
          <c:y val="0.33331324079588798"/>
          <c:w val="0.34733540597424101"/>
          <c:h val="0.61576095894895"/>
        </c:manualLayout>
      </c:layout>
      <c:pieChart>
        <c:varyColors val="1"/>
        <c:ser>
          <c:idx val="0"/>
          <c:order val="0"/>
          <c:tx>
            <c:strRef>
              <c:f>Products!$O$25:$O$26</c:f>
              <c:strCache>
                <c:ptCount val="1"/>
                <c:pt idx="0">
                  <c:v>Rest of DWDM DCI DWDM</c:v>
                </c:pt>
              </c:strCache>
            </c:strRef>
          </c:tx>
          <c:dLbls>
            <c:dLbl>
              <c:idx val="0"/>
              <c:layout>
                <c:manualLayout>
                  <c:x val="1.7268504872627599E-2"/>
                  <c:y val="-8.3776699788748896E-2"/>
                </c:manualLayout>
              </c:layout>
              <c:spPr/>
              <c:txPr>
                <a:bodyPr/>
                <a:lstStyle/>
                <a:p>
                  <a:pPr>
                    <a:defRPr sz="1200" b="1"/>
                  </a:pPr>
                  <a:endParaRPr lang="en-US"/>
                </a:p>
              </c:txPr>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E70-CF40-8792-892946E88A5B}"/>
                </c:ext>
              </c:extLst>
            </c:dLbl>
            <c:dLbl>
              <c:idx val="1"/>
              <c:layout>
                <c:manualLayout>
                  <c:x val="-1.9794493758546701E-2"/>
                  <c:y val="-2.5758499941718301E-2"/>
                </c:manualLayout>
              </c:layout>
              <c:spPr/>
              <c:txPr>
                <a:bodyPr/>
                <a:lstStyle/>
                <a:p>
                  <a:pPr>
                    <a:defRPr sz="1200" b="1"/>
                  </a:pPr>
                  <a:endParaRPr lang="en-US"/>
                </a:p>
              </c:txPr>
              <c:showLegendKey val="0"/>
              <c:showVal val="0"/>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E70-CF40-8792-892946E88A5B}"/>
                </c:ext>
              </c:extLst>
            </c:dLbl>
            <c:spPr>
              <a:noFill/>
              <a:ln>
                <a:noFill/>
              </a:ln>
              <a:effectLst/>
            </c:spPr>
            <c:txPr>
              <a:bodyPr/>
              <a:lstStyle/>
              <a:p>
                <a:pPr>
                  <a:defRPr sz="1200"/>
                </a:pPr>
                <a:endParaRPr lang="en-US"/>
              </a:p>
            </c:txPr>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Products!$O$25:$O$26</c:f>
              <c:strCache>
                <c:ptCount val="2"/>
                <c:pt idx="0">
                  <c:v>Rest of DWDM</c:v>
                </c:pt>
                <c:pt idx="1">
                  <c:v>DCI DWDM</c:v>
                </c:pt>
              </c:strCache>
            </c:strRef>
          </c:cat>
          <c:val>
            <c:numRef>
              <c:f>'[10]WDM segments'!#REF!</c:f>
              <c:numCache>
                <c:formatCode>General</c:formatCode>
                <c:ptCount val="2"/>
                <c:pt idx="0">
                  <c:v>86448.937900865014</c:v>
                </c:pt>
                <c:pt idx="1">
                  <c:v>30625</c:v>
                </c:pt>
              </c:numCache>
            </c:numRef>
          </c:val>
          <c:extLst xmlns:c16r2="http://schemas.microsoft.com/office/drawing/2015/06/chart">
            <c:ext xmlns:c16="http://schemas.microsoft.com/office/drawing/2014/chart" uri="{C3380CC4-5D6E-409C-BE32-E72D297353CC}">
              <c16:uniqueId val="{00000002-8E70-CF40-8792-892946E88A5B}"/>
            </c:ext>
          </c:extLst>
        </c:ser>
        <c:dLbls>
          <c:showLegendKey val="0"/>
          <c:showVal val="1"/>
          <c:showCatName val="0"/>
          <c:showSerName val="0"/>
          <c:showPercent val="0"/>
          <c:showBubbleSize val="0"/>
          <c:showLeaderLines val="0"/>
        </c:dLbls>
        <c:firstSliceAng val="310"/>
      </c:pieChart>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6061791252883"/>
          <c:y val="4.8373313543863969E-2"/>
          <c:w val="0.82100719121111554"/>
          <c:h val="0.82641762366504312"/>
        </c:manualLayout>
      </c:layout>
      <c:lineChart>
        <c:grouping val="standard"/>
        <c:varyColors val="0"/>
        <c:ser>
          <c:idx val="2"/>
          <c:order val="0"/>
          <c:tx>
            <c:strRef>
              <c:f>Summary!$B$483</c:f>
              <c:strCache>
                <c:ptCount val="1"/>
                <c:pt idx="0">
                  <c:v>100 m</c:v>
                </c:pt>
              </c:strCache>
            </c:strRef>
          </c:tx>
          <c:spPr>
            <a:ln>
              <a:solidFill>
                <a:schemeClr val="accent2"/>
              </a:solidFill>
            </a:ln>
          </c:spPr>
          <c:marker>
            <c:spPr>
              <a:solidFill>
                <a:schemeClr val="accent2"/>
              </a:solidFill>
              <a:ln>
                <a:solidFill>
                  <a:schemeClr val="accent2"/>
                </a:solidFill>
              </a:ln>
            </c:spPr>
          </c:marker>
          <c:cat>
            <c:numRef>
              <c:f>Summary!$C$482:$L$482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Summary!$C$483:$L$483</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B58D-3D48-A2D2-FCA817363A77}"/>
            </c:ext>
          </c:extLst>
        </c:ser>
        <c:ser>
          <c:idx val="0"/>
          <c:order val="1"/>
          <c:tx>
            <c:strRef>
              <c:f>Summary!$B$484</c:f>
              <c:strCache>
                <c:ptCount val="1"/>
                <c:pt idx="0">
                  <c:v>2 km</c:v>
                </c:pt>
              </c:strCache>
            </c:strRef>
          </c:tx>
          <c:cat>
            <c:numRef>
              <c:f>Summary!$C$482:$L$482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Summary!$C$484:$L$484</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B58D-3D48-A2D2-FCA817363A77}"/>
            </c:ext>
          </c:extLst>
        </c:ser>
        <c:ser>
          <c:idx val="1"/>
          <c:order val="2"/>
          <c:tx>
            <c:strRef>
              <c:f>Summary!$B$485</c:f>
              <c:strCache>
                <c:ptCount val="1"/>
                <c:pt idx="0">
                  <c:v>10 km</c:v>
                </c:pt>
              </c:strCache>
            </c:strRef>
          </c:tx>
          <c:spPr>
            <a:ln>
              <a:solidFill>
                <a:schemeClr val="accent3"/>
              </a:solidFill>
            </a:ln>
          </c:spPr>
          <c:marker>
            <c:symbol val="square"/>
            <c:size val="5"/>
            <c:spPr>
              <a:solidFill>
                <a:schemeClr val="accent3"/>
              </a:solidFill>
              <a:ln>
                <a:solidFill>
                  <a:schemeClr val="accent3"/>
                </a:solidFill>
              </a:ln>
            </c:spPr>
          </c:marker>
          <c:cat>
            <c:numRef>
              <c:f>Summary!$C$482:$L$482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Summary!$C$485:$L$485</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B58D-3D48-A2D2-FCA817363A77}"/>
            </c:ext>
          </c:extLst>
        </c:ser>
        <c:ser>
          <c:idx val="3"/>
          <c:order val="3"/>
          <c:tx>
            <c:strRef>
              <c:f>Summary!$B$486</c:f>
              <c:strCache>
                <c:ptCount val="1"/>
                <c:pt idx="0">
                  <c:v>40 km</c:v>
                </c:pt>
              </c:strCache>
            </c:strRef>
          </c:tx>
          <c:cat>
            <c:numRef>
              <c:f>Summary!$C$482:$L$482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Summary!$C$486:$L$486</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5C0A-4141-ADCA-ABD77FE679BF}"/>
            </c:ext>
          </c:extLst>
        </c:ser>
        <c:ser>
          <c:idx val="4"/>
          <c:order val="4"/>
          <c:tx>
            <c:strRef>
              <c:f>Summary!$B$487</c:f>
              <c:strCache>
                <c:ptCount val="1"/>
                <c:pt idx="0">
                  <c:v>80 km</c:v>
                </c:pt>
              </c:strCache>
            </c:strRef>
          </c:tx>
          <c:cat>
            <c:numRef>
              <c:f>Summary!$C$482:$L$482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Summary!$C$487:$L$487</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5C0A-4141-ADCA-ABD77FE679BF}"/>
            </c:ext>
          </c:extLst>
        </c:ser>
        <c:dLbls>
          <c:showLegendKey val="0"/>
          <c:showVal val="0"/>
          <c:showCatName val="0"/>
          <c:showSerName val="0"/>
          <c:showPercent val="0"/>
          <c:showBubbleSize val="0"/>
        </c:dLbls>
        <c:marker val="1"/>
        <c:smooth val="0"/>
        <c:axId val="150881408"/>
        <c:axId val="150882944"/>
      </c:lineChart>
      <c:catAx>
        <c:axId val="150881408"/>
        <c:scaling>
          <c:orientation val="minMax"/>
        </c:scaling>
        <c:delete val="0"/>
        <c:axPos val="b"/>
        <c:numFmt formatCode="General" sourceLinked="1"/>
        <c:majorTickMark val="out"/>
        <c:minorTickMark val="none"/>
        <c:tickLblPos val="nextTo"/>
        <c:txPr>
          <a:bodyPr/>
          <a:lstStyle/>
          <a:p>
            <a:pPr>
              <a:defRPr sz="1200"/>
            </a:pPr>
            <a:endParaRPr lang="en-US"/>
          </a:p>
        </c:txPr>
        <c:crossAx val="150882944"/>
        <c:crosses val="autoZero"/>
        <c:auto val="1"/>
        <c:lblAlgn val="ctr"/>
        <c:lblOffset val="100"/>
        <c:noMultiLvlLbl val="0"/>
      </c:catAx>
      <c:valAx>
        <c:axId val="150882944"/>
        <c:scaling>
          <c:orientation val="minMax"/>
          <c:min val="0"/>
        </c:scaling>
        <c:delete val="0"/>
        <c:axPos val="l"/>
        <c:majorGridlines/>
        <c:title>
          <c:tx>
            <c:rich>
              <a:bodyPr/>
              <a:lstStyle/>
              <a:p>
                <a:pPr>
                  <a:defRPr sz="1200"/>
                </a:pPr>
                <a:r>
                  <a:rPr lang="en-US" sz="1200"/>
                  <a:t>Annual Shipments (Units)</a:t>
                </a:r>
              </a:p>
            </c:rich>
          </c:tx>
          <c:layout>
            <c:manualLayout>
              <c:xMode val="edge"/>
              <c:yMode val="edge"/>
              <c:x val="1.9848694251447089E-2"/>
              <c:y val="0.1064368075450569"/>
            </c:manualLayout>
          </c:layout>
          <c:overlay val="0"/>
        </c:title>
        <c:numFmt formatCode="_(* #,##0_);_(* \(#,##0\);_(* &quot;-&quot;??_);_(@_)" sourceLinked="1"/>
        <c:majorTickMark val="out"/>
        <c:minorTickMark val="none"/>
        <c:tickLblPos val="nextTo"/>
        <c:txPr>
          <a:bodyPr/>
          <a:lstStyle/>
          <a:p>
            <a:pPr>
              <a:defRPr sz="1100"/>
            </a:pPr>
            <a:endParaRPr lang="en-US"/>
          </a:p>
        </c:txPr>
        <c:crossAx val="150881408"/>
        <c:crosses val="autoZero"/>
        <c:crossBetween val="between"/>
      </c:valAx>
    </c:plotArea>
    <c:legend>
      <c:legendPos val="t"/>
      <c:layout>
        <c:manualLayout>
          <c:xMode val="edge"/>
          <c:yMode val="edge"/>
          <c:x val="0.17223735526622808"/>
          <c:y val="7.2361652046543962E-2"/>
          <c:w val="0.17431087194538772"/>
          <c:h val="0.72561965566774445"/>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19116978526157"/>
          <c:y val="4.2437647091752607E-2"/>
          <c:w val="0.84499471704530182"/>
          <c:h val="0.83264656323092701"/>
        </c:manualLayout>
      </c:layout>
      <c:lineChart>
        <c:grouping val="standard"/>
        <c:varyColors val="0"/>
        <c:ser>
          <c:idx val="2"/>
          <c:order val="0"/>
          <c:tx>
            <c:strRef>
              <c:f>Summary!$B$746</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Summary!$E$745:$L$745</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Summary!$E$746:$L$746</c:f>
              <c:numCache>
                <c:formatCode>_(* #,##0_);_(* \(#,##0\);_(* "-"??_);_(@_)</c:formatCode>
                <c:ptCount val="8"/>
                <c:pt idx="0">
                  <c:v>500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C1AA-FB41-BF06-38DEF12B2A04}"/>
            </c:ext>
          </c:extLst>
        </c:ser>
        <c:ser>
          <c:idx val="3"/>
          <c:order val="1"/>
          <c:tx>
            <c:strRef>
              <c:f>Summary!$B$747</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Summary!$E$745:$L$745</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Summary!$E$747:$L$747</c:f>
              <c:numCache>
                <c:formatCode>_(* #,##0_);_(* \(#,##0\);_(* "-"??_);_(@_)</c:formatCode>
                <c:ptCount val="8"/>
                <c:pt idx="0">
                  <c:v>500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3-C1AA-FB41-BF06-38DEF12B2A04}"/>
            </c:ext>
          </c:extLst>
        </c:ser>
        <c:dLbls>
          <c:showLegendKey val="0"/>
          <c:showVal val="0"/>
          <c:showCatName val="0"/>
          <c:showSerName val="0"/>
          <c:showPercent val="0"/>
          <c:showBubbleSize val="0"/>
        </c:dLbls>
        <c:marker val="1"/>
        <c:smooth val="0"/>
        <c:axId val="151044096"/>
        <c:axId val="151046016"/>
      </c:lineChart>
      <c:catAx>
        <c:axId val="151044096"/>
        <c:scaling>
          <c:orientation val="minMax"/>
        </c:scaling>
        <c:delete val="0"/>
        <c:axPos val="b"/>
        <c:numFmt formatCode="General" sourceLinked="1"/>
        <c:majorTickMark val="out"/>
        <c:minorTickMark val="none"/>
        <c:tickLblPos val="nextTo"/>
        <c:txPr>
          <a:bodyPr/>
          <a:lstStyle/>
          <a:p>
            <a:pPr>
              <a:defRPr sz="1000"/>
            </a:pPr>
            <a:endParaRPr lang="en-US"/>
          </a:p>
        </c:txPr>
        <c:crossAx val="151046016"/>
        <c:crosses val="autoZero"/>
        <c:auto val="1"/>
        <c:lblAlgn val="ctr"/>
        <c:lblOffset val="100"/>
        <c:noMultiLvlLbl val="0"/>
      </c:catAx>
      <c:valAx>
        <c:axId val="151046016"/>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_(* #,##0_);_(* \(#,##0\);_(* &quot;-&quot;??_);_(@_)" sourceLinked="1"/>
        <c:majorTickMark val="out"/>
        <c:minorTickMark val="none"/>
        <c:tickLblPos val="nextTo"/>
        <c:txPr>
          <a:bodyPr/>
          <a:lstStyle/>
          <a:p>
            <a:pPr>
              <a:defRPr sz="1000"/>
            </a:pPr>
            <a:endParaRPr lang="en-US"/>
          </a:p>
        </c:txPr>
        <c:crossAx val="151044096"/>
        <c:crosses val="autoZero"/>
        <c:crossBetween val="between"/>
        <c:majorUnit val="500000"/>
      </c:valAx>
    </c:plotArea>
    <c:legend>
      <c:legendPos val="t"/>
      <c:layout>
        <c:manualLayout>
          <c:xMode val="edge"/>
          <c:yMode val="edge"/>
          <c:x val="0.21665150585317014"/>
          <c:y val="0.10215844312590842"/>
          <c:w val="0.33482952626928653"/>
          <c:h val="0.2050348770477403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MMF vs SMF - All Modules</a:t>
            </a:r>
          </a:p>
        </c:rich>
      </c:tx>
      <c:overlay val="0"/>
    </c:title>
    <c:autoTitleDeleted val="0"/>
    <c:plotArea>
      <c:layout>
        <c:manualLayout>
          <c:layoutTarget val="inner"/>
          <c:xMode val="edge"/>
          <c:yMode val="edge"/>
          <c:x val="7.9823800076012461E-2"/>
          <c:y val="0.17144738361468323"/>
          <c:w val="0.90655526742312142"/>
          <c:h val="0.72018099405713021"/>
        </c:manualLayout>
      </c:layout>
      <c:barChart>
        <c:barDir val="col"/>
        <c:grouping val="percentStacked"/>
        <c:varyColors val="0"/>
        <c:ser>
          <c:idx val="1"/>
          <c:order val="0"/>
          <c:tx>
            <c:strRef>
              <c:f>Summary!$B$241</c:f>
              <c:strCache>
                <c:ptCount val="1"/>
                <c:pt idx="0">
                  <c:v>Percent  MMF</c:v>
                </c:pt>
              </c:strCache>
            </c:strRef>
          </c:tx>
          <c:spPr>
            <a:solidFill>
              <a:schemeClr val="accent1"/>
            </a:solidFill>
          </c:spPr>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Summary!$C$241:$L$241</c:f>
              <c:numCache>
                <c:formatCode>0%</c:formatCode>
                <c:ptCount val="10"/>
                <c:pt idx="0">
                  <c:v>0.49223811974149628</c:v>
                </c:pt>
                <c:pt idx="1">
                  <c:v>0.51759665005603139</c:v>
                </c:pt>
                <c:pt idx="2">
                  <c:v>0.51062979099713857</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C00-084B-B2B8-2C9898FD03FC}"/>
            </c:ext>
          </c:extLst>
        </c:ser>
        <c:ser>
          <c:idx val="0"/>
          <c:order val="1"/>
          <c:tx>
            <c:strRef>
              <c:f>Summary!$B$242</c:f>
              <c:strCache>
                <c:ptCount val="1"/>
                <c:pt idx="0">
                  <c:v>Percent  SMF</c:v>
                </c:pt>
              </c:strCache>
            </c:strRef>
          </c:tx>
          <c:spPr>
            <a:solidFill>
              <a:schemeClr val="accent2"/>
            </a:solidFill>
          </c:spPr>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Summary!$C$242:$L$242</c:f>
              <c:numCache>
                <c:formatCode>0%</c:formatCode>
                <c:ptCount val="10"/>
                <c:pt idx="0">
                  <c:v>0.50776188025850366</c:v>
                </c:pt>
                <c:pt idx="1">
                  <c:v>0.48240334994396855</c:v>
                </c:pt>
                <c:pt idx="2">
                  <c:v>0.48937020900286149</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0B7-6F4B-8ADD-64C8B9B91F16}"/>
            </c:ext>
          </c:extLst>
        </c:ser>
        <c:dLbls>
          <c:showLegendKey val="0"/>
          <c:showVal val="0"/>
          <c:showCatName val="0"/>
          <c:showSerName val="0"/>
          <c:showPercent val="0"/>
          <c:showBubbleSize val="0"/>
        </c:dLbls>
        <c:gapWidth val="150"/>
        <c:overlap val="100"/>
        <c:axId val="151330816"/>
        <c:axId val="151332352"/>
      </c:barChart>
      <c:catAx>
        <c:axId val="151330816"/>
        <c:scaling>
          <c:orientation val="minMax"/>
        </c:scaling>
        <c:delete val="0"/>
        <c:axPos val="b"/>
        <c:numFmt formatCode="General" sourceLinked="1"/>
        <c:majorTickMark val="out"/>
        <c:minorTickMark val="none"/>
        <c:tickLblPos val="nextTo"/>
        <c:crossAx val="151332352"/>
        <c:crosses val="autoZero"/>
        <c:auto val="1"/>
        <c:lblAlgn val="ctr"/>
        <c:lblOffset val="100"/>
        <c:noMultiLvlLbl val="0"/>
      </c:catAx>
      <c:valAx>
        <c:axId val="151332352"/>
        <c:scaling>
          <c:orientation val="minMax"/>
        </c:scaling>
        <c:delete val="0"/>
        <c:axPos val="l"/>
        <c:majorGridlines/>
        <c:numFmt formatCode="0%" sourceLinked="1"/>
        <c:majorTickMark val="out"/>
        <c:minorTickMark val="none"/>
        <c:tickLblPos val="nextTo"/>
        <c:crossAx val="151330816"/>
        <c:crosses val="autoZero"/>
        <c:crossBetween val="between"/>
      </c:valAx>
    </c:plotArea>
    <c:legend>
      <c:legendPos val="r"/>
      <c:layout>
        <c:manualLayout>
          <c:xMode val="edge"/>
          <c:yMode val="edge"/>
          <c:x val="0.48611750683073846"/>
          <c:y val="0.27924505422225793"/>
          <c:w val="0.15975129797235127"/>
          <c:h val="0.16551133042256366"/>
        </c:manualLayout>
      </c:layout>
      <c:overlay val="0"/>
      <c:spPr>
        <a:solidFill>
          <a:sysClr val="window" lastClr="FFFFFF"/>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81044258781"/>
          <c:y val="5.530659146732407E-2"/>
          <c:w val="0.74542245196449697"/>
          <c:h val="0.82930913938073236"/>
        </c:manualLayout>
      </c:layout>
      <c:barChart>
        <c:barDir val="col"/>
        <c:grouping val="percentStacked"/>
        <c:varyColors val="0"/>
        <c:ser>
          <c:idx val="0"/>
          <c:order val="0"/>
          <c:tx>
            <c:strRef>
              <c:f>Summary!$B$229</c:f>
              <c:strCache>
                <c:ptCount val="1"/>
                <c:pt idx="0">
                  <c:v>1G SMF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Summary!$C$229:$L$229</c:f>
              <c:numCache>
                <c:formatCode>0%</c:formatCode>
                <c:ptCount val="10"/>
                <c:pt idx="0">
                  <c:v>0.37511818939959324</c:v>
                </c:pt>
                <c:pt idx="1">
                  <c:v>0.2960701521301668</c:v>
                </c:pt>
                <c:pt idx="2">
                  <c:v>0.3113323312487789</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2D6-1E46-83C4-8721F7697AF7}"/>
            </c:ext>
          </c:extLst>
        </c:ser>
        <c:ser>
          <c:idx val="1"/>
          <c:order val="1"/>
          <c:tx>
            <c:strRef>
              <c:f>Summary!$B$230</c:f>
              <c:strCache>
                <c:ptCount val="1"/>
                <c:pt idx="0">
                  <c:v>10G SMF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Summary!$C$230:$L$230</c:f>
              <c:numCache>
                <c:formatCode>0%</c:formatCode>
                <c:ptCount val="10"/>
                <c:pt idx="0">
                  <c:v>0.51196179202262815</c:v>
                </c:pt>
                <c:pt idx="1">
                  <c:v>0.52379682980572895</c:v>
                </c:pt>
                <c:pt idx="2">
                  <c:v>0.4780401002762858</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2D6-1E46-83C4-8721F7697AF7}"/>
            </c:ext>
          </c:extLst>
        </c:ser>
        <c:ser>
          <c:idx val="2"/>
          <c:order val="2"/>
          <c:tx>
            <c:strRef>
              <c:f>Summary!$B$231</c:f>
              <c:strCache>
                <c:ptCount val="1"/>
                <c:pt idx="0">
                  <c:v>25G SMF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Summary!$C$231:$L$231</c:f>
              <c:numCache>
                <c:formatCode>0%</c:formatCode>
                <c:ptCount val="10"/>
                <c:pt idx="0">
                  <c:v>3.2332125828659351E-4</c:v>
                </c:pt>
                <c:pt idx="1">
                  <c:v>2.976197420778683E-3</c:v>
                </c:pt>
                <c:pt idx="2">
                  <c:v>8.1570336354464916E-3</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2D6-1E46-83C4-8721F7697AF7}"/>
            </c:ext>
          </c:extLst>
        </c:ser>
        <c:ser>
          <c:idx val="3"/>
          <c:order val="3"/>
          <c:tx>
            <c:strRef>
              <c:f>Summary!$B$232</c:f>
              <c:strCache>
                <c:ptCount val="1"/>
                <c:pt idx="0">
                  <c:v>40G SMF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Summary!$C$232:$L$232</c:f>
              <c:numCache>
                <c:formatCode>0%</c:formatCode>
                <c:ptCount val="10"/>
                <c:pt idx="0">
                  <c:v>8.7177519516264138E-2</c:v>
                </c:pt>
                <c:pt idx="1">
                  <c:v>0.10148069767554208</c:v>
                </c:pt>
                <c:pt idx="2">
                  <c:v>6.726742633167293E-2</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2D6-1E46-83C4-8721F7697AF7}"/>
            </c:ext>
          </c:extLst>
        </c:ser>
        <c:ser>
          <c:idx val="4"/>
          <c:order val="4"/>
          <c:tx>
            <c:strRef>
              <c:f>Summary!$B$233</c:f>
              <c:strCache>
                <c:ptCount val="1"/>
                <c:pt idx="0">
                  <c:v>50G SMF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Summary!$C$233:$L$233</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82D6-1E46-83C4-8721F7697AF7}"/>
            </c:ext>
          </c:extLst>
        </c:ser>
        <c:ser>
          <c:idx val="5"/>
          <c:order val="5"/>
          <c:tx>
            <c:strRef>
              <c:f>Summary!$B$234</c:f>
              <c:strCache>
                <c:ptCount val="1"/>
                <c:pt idx="0">
                  <c:v>100G SMF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Summary!$C$234:$L$234</c:f>
              <c:numCache>
                <c:formatCode>0%</c:formatCode>
                <c:ptCount val="10"/>
                <c:pt idx="0">
                  <c:v>2.5419177803227763E-2</c:v>
                </c:pt>
                <c:pt idx="1">
                  <c:v>7.5673785646841157E-2</c:v>
                </c:pt>
                <c:pt idx="2">
                  <c:v>0.13433461599831234</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82D6-1E46-83C4-8721F7697AF7}"/>
            </c:ext>
          </c:extLst>
        </c:ser>
        <c:ser>
          <c:idx val="6"/>
          <c:order val="6"/>
          <c:tx>
            <c:strRef>
              <c:f>Summary!$B$235</c:f>
              <c:strCache>
                <c:ptCount val="1"/>
                <c:pt idx="0">
                  <c:v>200G SMF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Summary!$C$235:$L$235</c:f>
              <c:numCache>
                <c:formatCode>0%</c:formatCode>
                <c:ptCount val="10"/>
                <c:pt idx="0">
                  <c:v>0</c:v>
                </c:pt>
                <c:pt idx="1">
                  <c:v>0</c:v>
                </c:pt>
                <c:pt idx="2">
                  <c:v>2.1712312737588716E-5</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6-82D6-1E46-83C4-8721F7697AF7}"/>
            </c:ext>
          </c:extLst>
        </c:ser>
        <c:ser>
          <c:idx val="7"/>
          <c:order val="7"/>
          <c:tx>
            <c:strRef>
              <c:f>Summary!$B$236</c:f>
              <c:strCache>
                <c:ptCount val="1"/>
                <c:pt idx="0">
                  <c:v>400G SMF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Summary!$C$236:$L$236</c:f>
              <c:numCache>
                <c:formatCode>0%</c:formatCode>
                <c:ptCount val="10"/>
                <c:pt idx="0">
                  <c:v>0</c:v>
                </c:pt>
                <c:pt idx="1">
                  <c:v>2.3373209424876932E-6</c:v>
                </c:pt>
                <c:pt idx="2">
                  <c:v>8.4678019676595996E-4</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7-82D6-1E46-83C4-8721F7697AF7}"/>
            </c:ext>
          </c:extLst>
        </c:ser>
        <c:ser>
          <c:idx val="8"/>
          <c:order val="8"/>
          <c:tx>
            <c:strRef>
              <c:f>Summary!$B$237</c:f>
              <c:strCache>
                <c:ptCount val="1"/>
                <c:pt idx="0">
                  <c:v>800G SMF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Summary!$C$237:$L$237</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0C2-D547-86B6-4B4FD9184421}"/>
            </c:ext>
          </c:extLst>
        </c:ser>
        <c:dLbls>
          <c:showLegendKey val="0"/>
          <c:showVal val="0"/>
          <c:showCatName val="0"/>
          <c:showSerName val="0"/>
          <c:showPercent val="0"/>
          <c:showBubbleSize val="0"/>
        </c:dLbls>
        <c:gapWidth val="150"/>
        <c:overlap val="100"/>
        <c:axId val="151473536"/>
        <c:axId val="151483520"/>
      </c:barChart>
      <c:catAx>
        <c:axId val="151473536"/>
        <c:scaling>
          <c:orientation val="minMax"/>
        </c:scaling>
        <c:delete val="0"/>
        <c:axPos val="b"/>
        <c:numFmt formatCode="0" sourceLinked="0"/>
        <c:majorTickMark val="out"/>
        <c:minorTickMark val="none"/>
        <c:tickLblPos val="nextTo"/>
        <c:crossAx val="151483520"/>
        <c:crosses val="autoZero"/>
        <c:auto val="1"/>
        <c:lblAlgn val="ctr"/>
        <c:lblOffset val="100"/>
        <c:noMultiLvlLbl val="0"/>
      </c:catAx>
      <c:valAx>
        <c:axId val="151483520"/>
        <c:scaling>
          <c:orientation val="minMax"/>
        </c:scaling>
        <c:delete val="0"/>
        <c:axPos val="l"/>
        <c:majorGridlines/>
        <c:title>
          <c:tx>
            <c:rich>
              <a:bodyPr rot="-5400000" vert="horz"/>
              <a:lstStyle/>
              <a:p>
                <a:pPr>
                  <a:defRPr/>
                </a:pPr>
                <a:r>
                  <a:rPr lang="en-US"/>
                  <a:t>Modules by speed, percent of total</a:t>
                </a:r>
              </a:p>
            </c:rich>
          </c:tx>
          <c:overlay val="0"/>
        </c:title>
        <c:numFmt formatCode="0%" sourceLinked="1"/>
        <c:majorTickMark val="out"/>
        <c:minorTickMark val="none"/>
        <c:tickLblPos val="nextTo"/>
        <c:crossAx val="151473536"/>
        <c:crosses val="autoZero"/>
        <c:crossBetween val="between"/>
      </c:valAx>
    </c:plotArea>
    <c:legend>
      <c:legendPos val="r"/>
      <c:overlay val="0"/>
      <c:spPr>
        <a:solidFill>
          <a:schemeClr val="bg1"/>
        </a:solidFill>
        <a:ln>
          <a:solidFill>
            <a:schemeClr val="tx1"/>
          </a:solidFill>
        </a:ln>
      </c:sp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MMF vs SMF - </a:t>
            </a:r>
            <a:r>
              <a:rPr lang="en-US" sz="1600"/>
              <a:t>25G to 400G speed</a:t>
            </a:r>
            <a:r>
              <a:rPr lang="en-US" sz="1600" baseline="0"/>
              <a:t> modules only</a:t>
            </a:r>
            <a:endParaRPr lang="en-US" sz="1600"/>
          </a:p>
        </c:rich>
      </c:tx>
      <c:layout/>
      <c:overlay val="0"/>
    </c:title>
    <c:autoTitleDeleted val="0"/>
    <c:plotArea>
      <c:layout>
        <c:manualLayout>
          <c:layoutTarget val="inner"/>
          <c:xMode val="edge"/>
          <c:yMode val="edge"/>
          <c:x val="8.5003368831769593E-2"/>
          <c:y val="0.13132858667616301"/>
          <c:w val="0.869650948803813"/>
          <c:h val="0.77758084531418303"/>
        </c:manualLayout>
      </c:layout>
      <c:barChart>
        <c:barDir val="col"/>
        <c:grouping val="percentStacked"/>
        <c:varyColors val="0"/>
        <c:ser>
          <c:idx val="0"/>
          <c:order val="0"/>
          <c:tx>
            <c:strRef>
              <c:f>Summary!$B$247</c:f>
              <c:strCache>
                <c:ptCount val="1"/>
                <c:pt idx="0">
                  <c:v>Percent  MMF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Summary!$C$247:$L$247</c:f>
              <c:numCache>
                <c:formatCode>0%</c:formatCode>
                <c:ptCount val="10"/>
                <c:pt idx="0">
                  <c:v>0.44951656802473572</c:v>
                </c:pt>
                <c:pt idx="1">
                  <c:v>0.39928249706301122</c:v>
                </c:pt>
                <c:pt idx="2">
                  <c:v>0.46093170236375725</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F85-3040-B1A6-83576B3BDD17}"/>
            </c:ext>
          </c:extLst>
        </c:ser>
        <c:ser>
          <c:idx val="1"/>
          <c:order val="1"/>
          <c:tx>
            <c:strRef>
              <c:f>Summary!$B$248</c:f>
              <c:strCache>
                <c:ptCount val="1"/>
                <c:pt idx="0">
                  <c:v>Percent  SMF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Summary!$C$248:$L$248</c:f>
              <c:numCache>
                <c:formatCode>0%</c:formatCode>
                <c:ptCount val="10"/>
                <c:pt idx="0">
                  <c:v>0.55048343197526428</c:v>
                </c:pt>
                <c:pt idx="1">
                  <c:v>0.60071750293698878</c:v>
                </c:pt>
                <c:pt idx="2">
                  <c:v>0.53906829763624275</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F85-3040-B1A6-83576B3BDD17}"/>
            </c:ext>
          </c:extLst>
        </c:ser>
        <c:dLbls>
          <c:showLegendKey val="0"/>
          <c:showVal val="0"/>
          <c:showCatName val="0"/>
          <c:showSerName val="0"/>
          <c:showPercent val="0"/>
          <c:showBubbleSize val="0"/>
        </c:dLbls>
        <c:gapWidth val="150"/>
        <c:overlap val="100"/>
        <c:axId val="151546880"/>
        <c:axId val="155525888"/>
      </c:barChart>
      <c:catAx>
        <c:axId val="151546880"/>
        <c:scaling>
          <c:orientation val="minMax"/>
        </c:scaling>
        <c:delete val="0"/>
        <c:axPos val="b"/>
        <c:numFmt formatCode="General" sourceLinked="1"/>
        <c:majorTickMark val="out"/>
        <c:minorTickMark val="none"/>
        <c:tickLblPos val="nextTo"/>
        <c:txPr>
          <a:bodyPr/>
          <a:lstStyle/>
          <a:p>
            <a:pPr>
              <a:defRPr sz="1050"/>
            </a:pPr>
            <a:endParaRPr lang="en-US"/>
          </a:p>
        </c:txPr>
        <c:crossAx val="155525888"/>
        <c:crosses val="autoZero"/>
        <c:auto val="1"/>
        <c:lblAlgn val="ctr"/>
        <c:lblOffset val="100"/>
        <c:noMultiLvlLbl val="0"/>
      </c:catAx>
      <c:valAx>
        <c:axId val="155525888"/>
        <c:scaling>
          <c:orientation val="minMax"/>
        </c:scaling>
        <c:delete val="0"/>
        <c:axPos val="l"/>
        <c:majorGridlines/>
        <c:numFmt formatCode="0%" sourceLinked="1"/>
        <c:majorTickMark val="out"/>
        <c:minorTickMark val="none"/>
        <c:tickLblPos val="nextTo"/>
        <c:crossAx val="151546880"/>
        <c:crosses val="autoZero"/>
        <c:crossBetween val="between"/>
      </c:valAx>
    </c:plotArea>
    <c:legend>
      <c:legendPos val="r"/>
      <c:layout>
        <c:manualLayout>
          <c:xMode val="edge"/>
          <c:yMode val="edge"/>
          <c:x val="0.40583842815139776"/>
          <c:y val="0.24199744566809017"/>
          <c:w val="0.20636986272358801"/>
          <c:h val="0.17449824091137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95132795036061E-2"/>
          <c:y val="4.2572879691112293E-2"/>
          <c:w val="0.75179531258835197"/>
          <c:h val="0.82513998304365133"/>
        </c:manualLayout>
      </c:layout>
      <c:lineChart>
        <c:grouping val="standard"/>
        <c:varyColors val="0"/>
        <c:ser>
          <c:idx val="0"/>
          <c:order val="0"/>
          <c:tx>
            <c:strRef>
              <c:f>Summary!$B$229</c:f>
              <c:strCache>
                <c:ptCount val="1"/>
                <c:pt idx="0">
                  <c:v>1G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Summary!$C$229:$L$229</c:f>
              <c:numCache>
                <c:formatCode>0%</c:formatCode>
                <c:ptCount val="10"/>
                <c:pt idx="0">
                  <c:v>0.37511818939959324</c:v>
                </c:pt>
                <c:pt idx="1">
                  <c:v>0.2960701521301668</c:v>
                </c:pt>
                <c:pt idx="2">
                  <c:v>0.3113323312487789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088D-964D-97E6-E2D2F0394620}"/>
            </c:ext>
          </c:extLst>
        </c:ser>
        <c:ser>
          <c:idx val="1"/>
          <c:order val="1"/>
          <c:tx>
            <c:strRef>
              <c:f>Summary!$B$230</c:f>
              <c:strCache>
                <c:ptCount val="1"/>
                <c:pt idx="0">
                  <c:v>10G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Summary!$C$230:$L$230</c:f>
              <c:numCache>
                <c:formatCode>0%</c:formatCode>
                <c:ptCount val="10"/>
                <c:pt idx="0">
                  <c:v>0.51196179202262815</c:v>
                </c:pt>
                <c:pt idx="1">
                  <c:v>0.52379682980572895</c:v>
                </c:pt>
                <c:pt idx="2">
                  <c:v>0.4780401002762858</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088D-964D-97E6-E2D2F0394620}"/>
            </c:ext>
          </c:extLst>
        </c:ser>
        <c:ser>
          <c:idx val="2"/>
          <c:order val="2"/>
          <c:tx>
            <c:strRef>
              <c:f>Summary!$B$231</c:f>
              <c:strCache>
                <c:ptCount val="1"/>
                <c:pt idx="0">
                  <c:v>25G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Summary!$C$231:$L$231</c:f>
              <c:numCache>
                <c:formatCode>0%</c:formatCode>
                <c:ptCount val="10"/>
                <c:pt idx="0">
                  <c:v>3.2332125828659351E-4</c:v>
                </c:pt>
                <c:pt idx="1">
                  <c:v>2.976197420778683E-3</c:v>
                </c:pt>
                <c:pt idx="2">
                  <c:v>8.1570336354464916E-3</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088D-964D-97E6-E2D2F0394620}"/>
            </c:ext>
          </c:extLst>
        </c:ser>
        <c:ser>
          <c:idx val="3"/>
          <c:order val="3"/>
          <c:tx>
            <c:strRef>
              <c:f>Summary!$B$232</c:f>
              <c:strCache>
                <c:ptCount val="1"/>
                <c:pt idx="0">
                  <c:v>40G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Summary!$C$232:$L$232</c:f>
              <c:numCache>
                <c:formatCode>0%</c:formatCode>
                <c:ptCount val="10"/>
                <c:pt idx="0">
                  <c:v>8.7177519516264138E-2</c:v>
                </c:pt>
                <c:pt idx="1">
                  <c:v>0.10148069767554208</c:v>
                </c:pt>
                <c:pt idx="2">
                  <c:v>6.726742633167293E-2</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088D-964D-97E6-E2D2F0394620}"/>
            </c:ext>
          </c:extLst>
        </c:ser>
        <c:ser>
          <c:idx val="4"/>
          <c:order val="4"/>
          <c:tx>
            <c:strRef>
              <c:f>Summary!$B$233</c:f>
              <c:strCache>
                <c:ptCount val="1"/>
                <c:pt idx="0">
                  <c:v>50G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Summary!$C$233:$L$233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088D-964D-97E6-E2D2F0394620}"/>
            </c:ext>
          </c:extLst>
        </c:ser>
        <c:ser>
          <c:idx val="5"/>
          <c:order val="5"/>
          <c:tx>
            <c:strRef>
              <c:f>Summary!$B$234</c:f>
              <c:strCache>
                <c:ptCount val="1"/>
                <c:pt idx="0">
                  <c:v>100G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Summary!$C$234:$L$234</c:f>
              <c:numCache>
                <c:formatCode>0%</c:formatCode>
                <c:ptCount val="10"/>
                <c:pt idx="0">
                  <c:v>2.5419177803227763E-2</c:v>
                </c:pt>
                <c:pt idx="1">
                  <c:v>7.5673785646841157E-2</c:v>
                </c:pt>
                <c:pt idx="2">
                  <c:v>0.13433461599831234</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088D-964D-97E6-E2D2F0394620}"/>
            </c:ext>
          </c:extLst>
        </c:ser>
        <c:ser>
          <c:idx val="6"/>
          <c:order val="6"/>
          <c:tx>
            <c:strRef>
              <c:f>Summary!$B$235</c:f>
              <c:strCache>
                <c:ptCount val="1"/>
                <c:pt idx="0">
                  <c:v>200G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Summary!$C$235:$L$235</c:f>
              <c:numCache>
                <c:formatCode>0%</c:formatCode>
                <c:ptCount val="10"/>
                <c:pt idx="0">
                  <c:v>0</c:v>
                </c:pt>
                <c:pt idx="1">
                  <c:v>0</c:v>
                </c:pt>
                <c:pt idx="2">
                  <c:v>2.1712312737588716E-5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088D-964D-97E6-E2D2F0394620}"/>
            </c:ext>
          </c:extLst>
        </c:ser>
        <c:ser>
          <c:idx val="7"/>
          <c:order val="7"/>
          <c:tx>
            <c:strRef>
              <c:f>Summary!$B$236</c:f>
              <c:strCache>
                <c:ptCount val="1"/>
                <c:pt idx="0">
                  <c:v>400G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Summary!$C$236:$L$236</c:f>
              <c:numCache>
                <c:formatCode>0%</c:formatCode>
                <c:ptCount val="10"/>
                <c:pt idx="0">
                  <c:v>0</c:v>
                </c:pt>
                <c:pt idx="1">
                  <c:v>2.3373209424876932E-6</c:v>
                </c:pt>
                <c:pt idx="2">
                  <c:v>8.4678019676595996E-4</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088D-964D-97E6-E2D2F0394620}"/>
            </c:ext>
          </c:extLst>
        </c:ser>
        <c:ser>
          <c:idx val="8"/>
          <c:order val="8"/>
          <c:tx>
            <c:strRef>
              <c:f>Summary!$B$237</c:f>
              <c:strCache>
                <c:ptCount val="1"/>
                <c:pt idx="0">
                  <c:v>800G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Summary!$C$237:$L$237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DFC4-0546-8C70-452B3502A0CF}"/>
            </c:ext>
          </c:extLst>
        </c:ser>
        <c:dLbls>
          <c:showLegendKey val="0"/>
          <c:showVal val="0"/>
          <c:showCatName val="0"/>
          <c:showSerName val="0"/>
          <c:showPercent val="0"/>
          <c:showBubbleSize val="0"/>
        </c:dLbls>
        <c:marker val="1"/>
        <c:smooth val="0"/>
        <c:axId val="155576576"/>
        <c:axId val="155779072"/>
      </c:lineChart>
      <c:catAx>
        <c:axId val="155576576"/>
        <c:scaling>
          <c:orientation val="minMax"/>
        </c:scaling>
        <c:delete val="0"/>
        <c:axPos val="b"/>
        <c:numFmt formatCode="0" sourceLinked="0"/>
        <c:majorTickMark val="out"/>
        <c:minorTickMark val="none"/>
        <c:tickLblPos val="nextTo"/>
        <c:crossAx val="155779072"/>
        <c:crosses val="autoZero"/>
        <c:auto val="1"/>
        <c:lblAlgn val="ctr"/>
        <c:lblOffset val="100"/>
        <c:noMultiLvlLbl val="0"/>
      </c:catAx>
      <c:valAx>
        <c:axId val="155779072"/>
        <c:scaling>
          <c:orientation val="minMax"/>
        </c:scaling>
        <c:delete val="0"/>
        <c:axPos val="l"/>
        <c:majorGridlines/>
        <c:title>
          <c:tx>
            <c:rich>
              <a:bodyPr rot="-5400000" vert="horz"/>
              <a:lstStyle/>
              <a:p>
                <a:pPr>
                  <a:defRPr/>
                </a:pPr>
                <a:r>
                  <a:rPr lang="en-US"/>
                  <a:t>Modules by speed, percent of total</a:t>
                </a:r>
              </a:p>
            </c:rich>
          </c:tx>
          <c:layout>
            <c:manualLayout>
              <c:xMode val="edge"/>
              <c:yMode val="edge"/>
              <c:x val="5.6250002768208794E-3"/>
              <c:y val="0.10458267284761513"/>
            </c:manualLayout>
          </c:layout>
          <c:overlay val="0"/>
        </c:title>
        <c:numFmt formatCode="0%" sourceLinked="1"/>
        <c:majorTickMark val="out"/>
        <c:minorTickMark val="none"/>
        <c:tickLblPos val="nextTo"/>
        <c:crossAx val="155576576"/>
        <c:crosses val="autoZero"/>
        <c:crossBetween val="between"/>
      </c:valAx>
    </c:plotArea>
    <c:legend>
      <c:legendPos val="r"/>
      <c:layout/>
      <c:overlay val="0"/>
      <c:spPr>
        <a:solidFill>
          <a:schemeClr val="bg1"/>
        </a:solidFill>
        <a:ln>
          <a:solidFill>
            <a:schemeClr val="tx1"/>
          </a:solidFill>
        </a:ln>
      </c:sp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MMF vs SMF - </a:t>
            </a:r>
            <a:r>
              <a:rPr lang="en-US" sz="1600"/>
              <a:t>25G to 800G speed</a:t>
            </a:r>
            <a:r>
              <a:rPr lang="en-US" sz="1600" baseline="0"/>
              <a:t> modules only</a:t>
            </a:r>
            <a:endParaRPr lang="en-US" sz="1600"/>
          </a:p>
        </c:rich>
      </c:tx>
      <c:layout/>
      <c:overlay val="0"/>
    </c:title>
    <c:autoTitleDeleted val="0"/>
    <c:plotArea>
      <c:layout>
        <c:manualLayout>
          <c:layoutTarget val="inner"/>
          <c:xMode val="edge"/>
          <c:yMode val="edge"/>
          <c:x val="9.5220541252568097E-2"/>
          <c:y val="0.179413560895374"/>
          <c:w val="0.87731379083232497"/>
          <c:h val="0.71309268864659803"/>
        </c:manualLayout>
      </c:layout>
      <c:barChart>
        <c:barDir val="col"/>
        <c:grouping val="stacked"/>
        <c:varyColors val="0"/>
        <c:ser>
          <c:idx val="0"/>
          <c:order val="0"/>
          <c:tx>
            <c:strRef>
              <c:f>Summary!$B$245</c:f>
              <c:strCache>
                <c:ptCount val="1"/>
                <c:pt idx="0">
                  <c:v>Number  MMF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Summary!$C$245:$L$245</c:f>
              <c:numCache>
                <c:formatCode>_(* #,##0_);_(* \(#,##0\);_(* "-"??_);_(@_)</c:formatCode>
                <c:ptCount val="10"/>
                <c:pt idx="0">
                  <c:v>1835885</c:v>
                </c:pt>
                <c:pt idx="1">
                  <c:v>2738705</c:v>
                </c:pt>
                <c:pt idx="2">
                  <c:v>4471422.5</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505-3D4E-B5F0-097A80B72E31}"/>
            </c:ext>
          </c:extLst>
        </c:ser>
        <c:ser>
          <c:idx val="1"/>
          <c:order val="1"/>
          <c:tx>
            <c:strRef>
              <c:f>Summary!$B$246</c:f>
              <c:strCache>
                <c:ptCount val="1"/>
                <c:pt idx="0">
                  <c:v>Number SMF</c:v>
                </c:pt>
              </c:strCache>
            </c:strRef>
          </c:tx>
          <c:invertIfNegative val="0"/>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Summary!$C$246:$L$246</c:f>
              <c:numCache>
                <c:formatCode>_(* #,##0_);_(* \(#,##0\);_(* "-"??_);_(@_)</c:formatCode>
                <c:ptCount val="10"/>
                <c:pt idx="0">
                  <c:v>2248247</c:v>
                </c:pt>
                <c:pt idx="1">
                  <c:v>4120361</c:v>
                </c:pt>
                <c:pt idx="2">
                  <c:v>5229412.7366946777</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505-3D4E-B5F0-097A80B72E31}"/>
            </c:ext>
          </c:extLst>
        </c:ser>
        <c:dLbls>
          <c:showLegendKey val="0"/>
          <c:showVal val="0"/>
          <c:showCatName val="0"/>
          <c:showSerName val="0"/>
          <c:showPercent val="0"/>
          <c:showBubbleSize val="0"/>
        </c:dLbls>
        <c:gapWidth val="150"/>
        <c:overlap val="100"/>
        <c:axId val="155817088"/>
        <c:axId val="155818624"/>
      </c:barChart>
      <c:catAx>
        <c:axId val="155817088"/>
        <c:scaling>
          <c:orientation val="minMax"/>
        </c:scaling>
        <c:delete val="0"/>
        <c:axPos val="b"/>
        <c:numFmt formatCode="General" sourceLinked="1"/>
        <c:majorTickMark val="out"/>
        <c:minorTickMark val="none"/>
        <c:tickLblPos val="nextTo"/>
        <c:txPr>
          <a:bodyPr/>
          <a:lstStyle/>
          <a:p>
            <a:pPr>
              <a:defRPr sz="1050"/>
            </a:pPr>
            <a:endParaRPr lang="en-US"/>
          </a:p>
        </c:txPr>
        <c:crossAx val="155818624"/>
        <c:crosses val="autoZero"/>
        <c:auto val="1"/>
        <c:lblAlgn val="ctr"/>
        <c:lblOffset val="100"/>
        <c:noMultiLvlLbl val="0"/>
      </c:catAx>
      <c:valAx>
        <c:axId val="155818624"/>
        <c:scaling>
          <c:orientation val="minMax"/>
        </c:scaling>
        <c:delete val="0"/>
        <c:axPos val="l"/>
        <c:majorGridlines/>
        <c:numFmt formatCode="_(* #,##0_);_(* \(#,##0\);_(* &quot;-&quot;??_);_(@_)" sourceLinked="1"/>
        <c:majorTickMark val="out"/>
        <c:minorTickMark val="none"/>
        <c:tickLblPos val="nextTo"/>
        <c:crossAx val="155817088"/>
        <c:crosses val="autoZero"/>
        <c:crossBetween val="between"/>
      </c:valAx>
    </c:plotArea>
    <c:legend>
      <c:legendPos val="t"/>
      <c:layout>
        <c:manualLayout>
          <c:xMode val="edge"/>
          <c:yMode val="edge"/>
          <c:x val="0.219175591556803"/>
          <c:y val="0.30925883732618498"/>
          <c:w val="0.26055349403163702"/>
          <c:h val="0.159589545987603"/>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latin typeface="Calibri"/>
                <a:cs typeface="Calibri"/>
              </a:rPr>
              <a:t>≥25G </a:t>
            </a:r>
            <a:r>
              <a:rPr lang="en-US" sz="1600"/>
              <a:t>SMF devices (0.5-10 km)</a:t>
            </a:r>
          </a:p>
        </c:rich>
      </c:tx>
      <c:layout/>
      <c:overlay val="0"/>
    </c:title>
    <c:autoTitleDeleted val="0"/>
    <c:plotArea>
      <c:layout>
        <c:manualLayout>
          <c:layoutTarget val="inner"/>
          <c:xMode val="edge"/>
          <c:yMode val="edge"/>
          <c:x val="0.148080818756716"/>
          <c:y val="0.24784614310860401"/>
          <c:w val="0.82731068012471598"/>
          <c:h val="0.66288901323011695"/>
        </c:manualLayout>
      </c:layout>
      <c:lineChart>
        <c:grouping val="standard"/>
        <c:varyColors val="0"/>
        <c:ser>
          <c:idx val="2"/>
          <c:order val="0"/>
          <c:tx>
            <c:strRef>
              <c:f>Summary!$B$220</c:f>
              <c:strCache>
                <c:ptCount val="1"/>
                <c:pt idx="0">
                  <c:v>25G SMF</c:v>
                </c:pt>
              </c:strCache>
            </c:strRef>
          </c:tx>
          <c:spPr>
            <a:ln>
              <a:solidFill>
                <a:schemeClr val="accent2"/>
              </a:solidFill>
            </a:ln>
          </c:spPr>
          <c:marker>
            <c:spPr>
              <a:solidFill>
                <a:schemeClr val="accent2"/>
              </a:solidFill>
              <a:ln>
                <a:solidFill>
                  <a:schemeClr val="accent2"/>
                </a:solidFill>
              </a:ln>
            </c:spPr>
          </c:marker>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Summary!$C$220:$L$220</c:f>
              <c:numCache>
                <c:formatCode>_(* #,##0_);_(* \(#,##0\);_(* "-"??_);_(@_)</c:formatCode>
                <c:ptCount val="10"/>
                <c:pt idx="0">
                  <c:v>4548</c:v>
                </c:pt>
                <c:pt idx="1">
                  <c:v>17462</c:v>
                </c:pt>
                <c:pt idx="2">
                  <c:v>56709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0B82-724A-AE02-29310F2735E3}"/>
            </c:ext>
          </c:extLst>
        </c:ser>
        <c:ser>
          <c:idx val="3"/>
          <c:order val="1"/>
          <c:tx>
            <c:strRef>
              <c:f>Summary!$B$221</c:f>
              <c:strCache>
                <c:ptCount val="1"/>
                <c:pt idx="0">
                  <c:v>40G SMF</c:v>
                </c:pt>
              </c:strCache>
            </c:strRef>
          </c:tx>
          <c:spPr>
            <a:ln>
              <a:solidFill>
                <a:schemeClr val="accent3"/>
              </a:solidFill>
            </a:ln>
          </c:spPr>
          <c:marker>
            <c:spPr>
              <a:solidFill>
                <a:schemeClr val="accent3"/>
              </a:solidFill>
              <a:ln>
                <a:solidFill>
                  <a:schemeClr val="accent3"/>
                </a:solidFill>
              </a:ln>
            </c:spPr>
          </c:marker>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Summary!$C$221:$L$221</c:f>
              <c:numCache>
                <c:formatCode>_(* #,##0_);_(* \(#,##0\);_(* "-"??_);_(@_)</c:formatCode>
                <c:ptCount val="10"/>
                <c:pt idx="0">
                  <c:v>1623570</c:v>
                </c:pt>
                <c:pt idx="1">
                  <c:v>1853294</c:v>
                </c:pt>
                <c:pt idx="2">
                  <c:v>1052090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0B82-724A-AE02-29310F2735E3}"/>
            </c:ext>
          </c:extLst>
        </c:ser>
        <c:ser>
          <c:idx val="5"/>
          <c:order val="2"/>
          <c:tx>
            <c:strRef>
              <c:f>Summary!$B$222</c:f>
              <c:strCache>
                <c:ptCount val="1"/>
                <c:pt idx="0">
                  <c:v>50G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Summary!$C$222:$L$222</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0B82-724A-AE02-29310F2735E3}"/>
            </c:ext>
          </c:extLst>
        </c:ser>
        <c:ser>
          <c:idx val="1"/>
          <c:order val="3"/>
          <c:tx>
            <c:strRef>
              <c:f>Summary!$B$223</c:f>
              <c:strCache>
                <c:ptCount val="1"/>
                <c:pt idx="0">
                  <c:v>100G SMF</c:v>
                </c:pt>
              </c:strCache>
            </c:strRef>
          </c:tx>
          <c:spPr>
            <a:ln>
              <a:solidFill>
                <a:schemeClr val="accent4"/>
              </a:solidFill>
            </a:ln>
          </c:spPr>
          <c:marker>
            <c:symbol val="square"/>
            <c:size val="5"/>
            <c:spPr>
              <a:solidFill>
                <a:schemeClr val="accent4"/>
              </a:solidFill>
              <a:ln>
                <a:solidFill>
                  <a:schemeClr val="accent4"/>
                </a:solidFill>
              </a:ln>
            </c:spPr>
          </c:marker>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Summary!$C$223:$L$223</c:f>
              <c:numCache>
                <c:formatCode>_(* #,##0_);_(* \(#,##0\);_(* "-"??_);_(@_)</c:formatCode>
                <c:ptCount val="10"/>
                <c:pt idx="0">
                  <c:v>620129</c:v>
                </c:pt>
                <c:pt idx="1">
                  <c:v>2249516</c:v>
                </c:pt>
                <c:pt idx="2">
                  <c:v>4104113.7366946777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0B82-724A-AE02-29310F2735E3}"/>
            </c:ext>
          </c:extLst>
        </c:ser>
        <c:ser>
          <c:idx val="6"/>
          <c:order val="4"/>
          <c:tx>
            <c:strRef>
              <c:f>Summary!$B$224</c:f>
              <c:strCache>
                <c:ptCount val="1"/>
                <c:pt idx="0">
                  <c:v>200G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Summary!$C$224:$L$224</c:f>
              <c:numCache>
                <c:formatCode>_(* #,##0_);_(* \(#,##0\);_(* "-"??_);_(@_)</c:formatCode>
                <c:ptCount val="10"/>
                <c:pt idx="1">
                  <c:v>0</c:v>
                </c:pt>
                <c:pt idx="2">
                  <c:v>500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0B82-724A-AE02-29310F2735E3}"/>
            </c:ext>
          </c:extLst>
        </c:ser>
        <c:ser>
          <c:idx val="4"/>
          <c:order val="5"/>
          <c:tx>
            <c:strRef>
              <c:f>Summary!$B$225</c:f>
              <c:strCache>
                <c:ptCount val="1"/>
                <c:pt idx="0">
                  <c:v>400G SMF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Summary!$C$225:$L$225</c:f>
              <c:numCache>
                <c:formatCode>_(* #,##0_);_(* \(#,##0\);_(* "-"??_);_(@_)</c:formatCode>
                <c:ptCount val="10"/>
                <c:pt idx="1">
                  <c:v>89</c:v>
                </c:pt>
                <c:pt idx="2">
                  <c:v>16000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0B82-724A-AE02-29310F2735E3}"/>
            </c:ext>
          </c:extLst>
        </c:ser>
        <c:dLbls>
          <c:showLegendKey val="0"/>
          <c:showVal val="0"/>
          <c:showCatName val="0"/>
          <c:showSerName val="0"/>
          <c:showPercent val="0"/>
          <c:showBubbleSize val="0"/>
        </c:dLbls>
        <c:marker val="1"/>
        <c:smooth val="0"/>
        <c:axId val="161043584"/>
        <c:axId val="161045120"/>
      </c:lineChart>
      <c:catAx>
        <c:axId val="161043584"/>
        <c:scaling>
          <c:orientation val="minMax"/>
        </c:scaling>
        <c:delete val="0"/>
        <c:axPos val="b"/>
        <c:numFmt formatCode="General" sourceLinked="1"/>
        <c:majorTickMark val="out"/>
        <c:minorTickMark val="none"/>
        <c:tickLblPos val="nextTo"/>
        <c:txPr>
          <a:bodyPr/>
          <a:lstStyle/>
          <a:p>
            <a:pPr>
              <a:defRPr sz="1200"/>
            </a:pPr>
            <a:endParaRPr lang="en-US"/>
          </a:p>
        </c:txPr>
        <c:crossAx val="161045120"/>
        <c:crosses val="autoZero"/>
        <c:auto val="1"/>
        <c:lblAlgn val="ctr"/>
        <c:lblOffset val="100"/>
        <c:noMultiLvlLbl val="0"/>
      </c:catAx>
      <c:valAx>
        <c:axId val="161045120"/>
        <c:scaling>
          <c:orientation val="minMax"/>
          <c:max val="10000000"/>
          <c:min val="0"/>
        </c:scaling>
        <c:delete val="0"/>
        <c:axPos val="l"/>
        <c:majorGridlines/>
        <c:numFmt formatCode="_(* #,##0_);_(* \(#,##0\);_(* &quot;-&quot;??_);_(@_)" sourceLinked="1"/>
        <c:majorTickMark val="out"/>
        <c:minorTickMark val="none"/>
        <c:tickLblPos val="nextTo"/>
        <c:txPr>
          <a:bodyPr/>
          <a:lstStyle/>
          <a:p>
            <a:pPr>
              <a:defRPr sz="1100"/>
            </a:pPr>
            <a:endParaRPr lang="en-US"/>
          </a:p>
        </c:txPr>
        <c:crossAx val="161043584"/>
        <c:crosses val="autoZero"/>
        <c:crossBetween val="between"/>
        <c:minorUnit val="40000"/>
      </c:valAx>
    </c:plotArea>
    <c:legend>
      <c:legendPos val="t"/>
      <c:layout>
        <c:manualLayout>
          <c:xMode val="edge"/>
          <c:yMode val="edge"/>
          <c:x val="2.7960346834581401E-2"/>
          <c:y val="0.100441950259303"/>
          <c:w val="0.93612590221633996"/>
          <c:h val="0.122526896294753"/>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69719582526474"/>
          <c:y val="6.920113871053149E-2"/>
          <c:w val="0.83187518923732107"/>
          <c:h val="0.81719705581124491"/>
        </c:manualLayout>
      </c:layout>
      <c:lineChart>
        <c:grouping val="standard"/>
        <c:varyColors val="0"/>
        <c:ser>
          <c:idx val="5"/>
          <c:order val="0"/>
          <c:tx>
            <c:strRef>
              <c:f>Summary!$B$452</c:f>
              <c:strCache>
                <c:ptCount val="1"/>
                <c:pt idx="0">
                  <c:v>500m 40G PSM4 QSFP+</c:v>
                </c:pt>
              </c:strCache>
            </c:strRef>
          </c:tx>
          <c:cat>
            <c:numRef>
              <c:f>Summary!$C$451:$L$451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Summary!$C$452:$L$452</c:f>
              <c:numCache>
                <c:formatCode>_("$"* #,##0_);_("$"* \(#,##0\);_("$"* "-"??_);_(@_)</c:formatCode>
                <c:ptCount val="10"/>
                <c:pt idx="0">
                  <c:v>206.04404776999999</c:v>
                </c:pt>
                <c:pt idx="1">
                  <c:v>161.25879399999999</c:v>
                </c:pt>
                <c:pt idx="2">
                  <c:v>126.55715000000001</c:v>
                </c:pt>
                <c:pt idx="3">
                  <c:v>0</c:v>
                </c:pt>
                <c:pt idx="4">
                  <c:v>0</c:v>
                </c:pt>
                <c:pt idx="5">
                  <c:v>0</c:v>
                </c:pt>
                <c:pt idx="6" formatCode="_(&quot;$&quot;* #,##0.0_);_(&quot;$&quot;* \(#,##0.0\);_(&quot;$&quot;* &quot;-&quot;??_);_(@_)">
                  <c:v>0</c:v>
                </c:pt>
                <c:pt idx="7" formatCode="_(&quot;$&quot;* #,##0.0_);_(&quot;$&quot;* \(#,##0.0\);_(&quot;$&quot;* &quot;-&quot;??_);_(@_)">
                  <c:v>0</c:v>
                </c:pt>
                <c:pt idx="8" formatCode="_(&quot;$&quot;* #,##0.0_);_(&quot;$&quot;* \(#,##0.0\);_(&quot;$&quot;* &quot;-&quot;??_);_(@_)">
                  <c:v>0</c:v>
                </c:pt>
                <c:pt idx="9"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0-9104-2042-8C5D-ACBF7D6D2B12}"/>
            </c:ext>
          </c:extLst>
        </c:ser>
        <c:ser>
          <c:idx val="0"/>
          <c:order val="1"/>
          <c:tx>
            <c:strRef>
              <c:f>Summary!$B$453</c:f>
              <c:strCache>
                <c:ptCount val="1"/>
                <c:pt idx="0">
                  <c:v>2 km  40G (FR) CFP</c:v>
                </c:pt>
              </c:strCache>
            </c:strRef>
          </c:tx>
          <c:cat>
            <c:numRef>
              <c:f>Summary!$C$451:$L$451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Summary!$C$453:$L$453</c:f>
              <c:numCache>
                <c:formatCode>_("$"* #,##0_);_("$"* \(#,##0\);_("$"* "-"??_);_(@_)</c:formatCode>
                <c:ptCount val="10"/>
                <c:pt idx="0">
                  <c:v>3.6147868986222087</c:v>
                </c:pt>
                <c:pt idx="1">
                  <c:v>2.1111758458730683</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9104-2042-8C5D-ACBF7D6D2B12}"/>
            </c:ext>
          </c:extLst>
        </c:ser>
        <c:ser>
          <c:idx val="1"/>
          <c:order val="2"/>
          <c:tx>
            <c:strRef>
              <c:f>Summary!$B$454</c:f>
              <c:strCache>
                <c:ptCount val="1"/>
                <c:pt idx="0">
                  <c:v>2 km 40G LR4 subspec QSFP+</c:v>
                </c:pt>
              </c:strCache>
            </c:strRef>
          </c:tx>
          <c:cat>
            <c:numRef>
              <c:f>Summary!$C$451:$L$451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Summary!$C$454:$L$454</c:f>
              <c:numCache>
                <c:formatCode>_("$"* #,##0_);_("$"* \(#,##0\);_("$"* "-"??_);_(@_)</c:formatCode>
                <c:ptCount val="10"/>
                <c:pt idx="0">
                  <c:v>177.55117799999999</c:v>
                </c:pt>
                <c:pt idx="1">
                  <c:v>277.09314268000003</c:v>
                </c:pt>
                <c:pt idx="2">
                  <c:v>82.548280259999999</c:v>
                </c:pt>
                <c:pt idx="3">
                  <c:v>0</c:v>
                </c:pt>
                <c:pt idx="4">
                  <c:v>0</c:v>
                </c:pt>
                <c:pt idx="5">
                  <c:v>0</c:v>
                </c:pt>
                <c:pt idx="6">
                  <c:v>0</c:v>
                </c:pt>
                <c:pt idx="7" formatCode="_(&quot;$&quot;* #,##0.0_);_(&quot;$&quot;* \(#,##0.0\);_(&quot;$&quot;* &quot;-&quot;??_);_(@_)">
                  <c:v>0</c:v>
                </c:pt>
                <c:pt idx="8">
                  <c:v>0</c:v>
                </c:pt>
                <c:pt idx="9">
                  <c:v>0</c:v>
                </c:pt>
              </c:numCache>
            </c:numRef>
          </c:val>
          <c:smooth val="0"/>
          <c:extLst xmlns:c16r2="http://schemas.microsoft.com/office/drawing/2015/06/chart">
            <c:ext xmlns:c16="http://schemas.microsoft.com/office/drawing/2014/chart" uri="{C3380CC4-5D6E-409C-BE32-E72D297353CC}">
              <c16:uniqueId val="{00000002-9104-2042-8C5D-ACBF7D6D2B12}"/>
            </c:ext>
          </c:extLst>
        </c:ser>
        <c:ser>
          <c:idx val="2"/>
          <c:order val="3"/>
          <c:tx>
            <c:strRef>
              <c:f>Summary!$B$455</c:f>
              <c:strCache>
                <c:ptCount val="1"/>
                <c:pt idx="0">
                  <c:v>10 km 40G CFP</c:v>
                </c:pt>
              </c:strCache>
            </c:strRef>
          </c:tx>
          <c:cat>
            <c:numRef>
              <c:f>Summary!$C$451:$L$451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Summary!$C$455:$L$455</c:f>
              <c:numCache>
                <c:formatCode>_("$"* #,##0.0_);_("$"* \(#,##0.0\);_("$"* "-"??_);_(@_)</c:formatCode>
                <c:ptCount val="10"/>
                <c:pt idx="0">
                  <c:v>7.8193956068084791</c:v>
                </c:pt>
                <c:pt idx="1">
                  <c:v>3.8446607087985556</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9104-2042-8C5D-ACBF7D6D2B12}"/>
            </c:ext>
          </c:extLst>
        </c:ser>
        <c:ser>
          <c:idx val="3"/>
          <c:order val="4"/>
          <c:tx>
            <c:strRef>
              <c:f>Summary!$B$456</c:f>
              <c:strCache>
                <c:ptCount val="1"/>
                <c:pt idx="0">
                  <c:v>10 km  40G QSFP+</c:v>
                </c:pt>
              </c:strCache>
            </c:strRef>
          </c:tx>
          <c:marker>
            <c:symbol val="square"/>
            <c:size val="5"/>
          </c:marker>
          <c:cat>
            <c:numRef>
              <c:f>Summary!$C$451:$L$451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Summary!$C$456:$L$456</c:f>
              <c:numCache>
                <c:formatCode>_("$"* #,##0_);_("$"* \(#,##0\);_("$"* "-"??_);_(@_)</c:formatCode>
                <c:ptCount val="10"/>
                <c:pt idx="0">
                  <c:v>139.9656742823521</c:v>
                </c:pt>
                <c:pt idx="1">
                  <c:v>170.32318072539266</c:v>
                </c:pt>
                <c:pt idx="2">
                  <c:v>97.438304479999957</c:v>
                </c:pt>
                <c:pt idx="3">
                  <c:v>0</c:v>
                </c:pt>
                <c:pt idx="4">
                  <c:v>0</c:v>
                </c:pt>
                <c:pt idx="5">
                  <c:v>0</c:v>
                </c:pt>
                <c:pt idx="6" formatCode="_(&quot;$&quot;* #,##0.0_);_(&quot;$&quot;* \(#,##0.0\);_(&quot;$&quot;* &quot;-&quot;??_);_(@_)">
                  <c:v>0</c:v>
                </c:pt>
                <c:pt idx="7" formatCode="_(&quot;$&quot;* #,##0.0_);_(&quot;$&quot;* \(#,##0.0\);_(&quot;$&quot;* &quot;-&quot;??_);_(@_)">
                  <c:v>0</c:v>
                </c:pt>
                <c:pt idx="8" formatCode="_(&quot;$&quot;* #,##0.0_);_(&quot;$&quot;* \(#,##0.0\);_(&quot;$&quot;* &quot;-&quot;??_);_(@_)">
                  <c:v>0</c:v>
                </c:pt>
                <c:pt idx="9"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4-9104-2042-8C5D-ACBF7D6D2B12}"/>
            </c:ext>
          </c:extLst>
        </c:ser>
        <c:ser>
          <c:idx val="4"/>
          <c:order val="5"/>
          <c:tx>
            <c:strRef>
              <c:f>Summary!$B$457</c:f>
              <c:strCache>
                <c:ptCount val="1"/>
                <c:pt idx="0">
                  <c:v>40 km 40G all</c:v>
                </c:pt>
              </c:strCache>
            </c:strRef>
          </c:tx>
          <c:cat>
            <c:numRef>
              <c:f>Summary!$C$451:$L$451</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Summary!$C$457:$L$457</c:f>
              <c:numCache>
                <c:formatCode>_("$"* #,##0.0_);_("$"* \(#,##0.0\);_("$"* "-"??_);_(@_)</c:formatCode>
                <c:ptCount val="10"/>
                <c:pt idx="0">
                  <c:v>8.1879420954829136</c:v>
                </c:pt>
                <c:pt idx="1">
                  <c:v>7.9265538087967364</c:v>
                </c:pt>
                <c:pt idx="2">
                  <c:v>10.321537999999995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9104-2042-8C5D-ACBF7D6D2B12}"/>
            </c:ext>
          </c:extLst>
        </c:ser>
        <c:dLbls>
          <c:showLegendKey val="0"/>
          <c:showVal val="0"/>
          <c:showCatName val="0"/>
          <c:showSerName val="0"/>
          <c:showPercent val="0"/>
          <c:showBubbleSize val="0"/>
        </c:dLbls>
        <c:marker val="1"/>
        <c:smooth val="0"/>
        <c:axId val="162292864"/>
        <c:axId val="162294400"/>
      </c:lineChart>
      <c:catAx>
        <c:axId val="162292864"/>
        <c:scaling>
          <c:orientation val="minMax"/>
        </c:scaling>
        <c:delete val="0"/>
        <c:axPos val="b"/>
        <c:numFmt formatCode="General" sourceLinked="1"/>
        <c:majorTickMark val="out"/>
        <c:minorTickMark val="none"/>
        <c:tickLblPos val="nextTo"/>
        <c:txPr>
          <a:bodyPr/>
          <a:lstStyle/>
          <a:p>
            <a:pPr>
              <a:defRPr sz="1000"/>
            </a:pPr>
            <a:endParaRPr lang="en-US"/>
          </a:p>
        </c:txPr>
        <c:crossAx val="162294400"/>
        <c:crosses val="autoZero"/>
        <c:auto val="1"/>
        <c:lblAlgn val="ctr"/>
        <c:lblOffset val="100"/>
        <c:noMultiLvlLbl val="0"/>
      </c:catAx>
      <c:valAx>
        <c:axId val="162294400"/>
        <c:scaling>
          <c:orientation val="minMax"/>
          <c:max val="300"/>
          <c:min val="0"/>
        </c:scaling>
        <c:delete val="0"/>
        <c:axPos val="l"/>
        <c:majorGridlines/>
        <c:title>
          <c:tx>
            <c:rich>
              <a:bodyPr rot="-5400000" vert="horz"/>
              <a:lstStyle/>
              <a:p>
                <a:pPr>
                  <a:defRPr sz="1400"/>
                </a:pPr>
                <a:r>
                  <a:rPr lang="en-US" sz="1400"/>
                  <a:t>Annual sales ($ mn)</a:t>
                </a:r>
              </a:p>
            </c:rich>
          </c:tx>
          <c:layout>
            <c:manualLayout>
              <c:xMode val="edge"/>
              <c:yMode val="edge"/>
              <c:x val="5.6883071135332723E-3"/>
              <c:y val="0.21878755012580425"/>
            </c:manualLayout>
          </c:layout>
          <c:overlay val="0"/>
        </c:title>
        <c:numFmt formatCode="&quot;$&quot;#,##0" sourceLinked="0"/>
        <c:majorTickMark val="out"/>
        <c:minorTickMark val="none"/>
        <c:tickLblPos val="nextTo"/>
        <c:txPr>
          <a:bodyPr/>
          <a:lstStyle/>
          <a:p>
            <a:pPr>
              <a:defRPr sz="1200"/>
            </a:pPr>
            <a:endParaRPr lang="en-US"/>
          </a:p>
        </c:txPr>
        <c:crossAx val="162292864"/>
        <c:crosses val="autoZero"/>
        <c:crossBetween val="between"/>
      </c:valAx>
    </c:plotArea>
    <c:legend>
      <c:legendPos val="t"/>
      <c:layout>
        <c:manualLayout>
          <c:xMode val="edge"/>
          <c:yMode val="edge"/>
          <c:x val="0.61949813609045967"/>
          <c:y val="2.1331319268709521E-2"/>
          <c:w val="0.37047906300621042"/>
          <c:h val="0.59516852315236557"/>
        </c:manualLayout>
      </c:layout>
      <c:overlay val="0"/>
      <c:spPr>
        <a:solidFill>
          <a:schemeClr val="bg1"/>
        </a:solidFill>
        <a:ln>
          <a:solidFill>
            <a:schemeClr val="tx1"/>
          </a:solidFill>
        </a:ln>
      </c:spPr>
      <c:txPr>
        <a:bodyPr/>
        <a:lstStyle/>
        <a:p>
          <a:pPr>
            <a:defRPr lang="en-US"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6865616873221"/>
          <c:y val="5.3904170599872923E-2"/>
          <c:w val="0.79841987224125766"/>
          <c:h val="0.84795634682028431"/>
        </c:manualLayout>
      </c:layout>
      <c:lineChart>
        <c:grouping val="standard"/>
        <c:varyColors val="0"/>
        <c:ser>
          <c:idx val="5"/>
          <c:order val="0"/>
          <c:tx>
            <c:strRef>
              <c:f>Summary!$B$443</c:f>
              <c:strCache>
                <c:ptCount val="1"/>
                <c:pt idx="0">
                  <c:v>500m 40G PSM4 QSFP+</c:v>
                </c:pt>
              </c:strCache>
            </c:strRef>
          </c:tx>
          <c:cat>
            <c:numRef>
              <c:f>Summary!$C$442:$L$442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Summary!$C$443:$L$443</c:f>
              <c:numCache>
                <c:formatCode>_("$"* #,##0_);_("$"* \(#,##0\);_("$"* "-"??_);_(@_)</c:formatCode>
                <c:ptCount val="10"/>
                <c:pt idx="0">
                  <c:v>253.19068527507093</c:v>
                </c:pt>
                <c:pt idx="1">
                  <c:v>262.79055146339874</c:v>
                </c:pt>
                <c:pt idx="2">
                  <c:v>251.75081757202989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140F-C646-9EA3-1BC22BD6CA71}"/>
            </c:ext>
          </c:extLst>
        </c:ser>
        <c:ser>
          <c:idx val="1"/>
          <c:order val="1"/>
          <c:tx>
            <c:strRef>
              <c:f>Summary!$B$445</c:f>
              <c:strCache>
                <c:ptCount val="1"/>
                <c:pt idx="0">
                  <c:v>2 km 40G LR4 subspec QSFP+</c:v>
                </c:pt>
              </c:strCache>
            </c:strRef>
          </c:tx>
          <c:cat>
            <c:numRef>
              <c:f>Summary!$C$442:$L$442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Summary!$C$445:$L$445</c:f>
              <c:numCache>
                <c:formatCode>_("$"* #,##0_);_("$"* \(#,##0\);_("$"* "-"??_);_(@_)</c:formatCode>
                <c:ptCount val="10"/>
                <c:pt idx="0">
                  <c:v>377.60055209491952</c:v>
                </c:pt>
                <c:pt idx="1">
                  <c:v>343.5254726908467</c:v>
                </c:pt>
                <c:pt idx="2">
                  <c:v>303.68617678545809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140F-C646-9EA3-1BC22BD6CA71}"/>
            </c:ext>
          </c:extLst>
        </c:ser>
        <c:ser>
          <c:idx val="3"/>
          <c:order val="2"/>
          <c:tx>
            <c:strRef>
              <c:f>Summary!$B$447</c:f>
              <c:strCache>
                <c:ptCount val="1"/>
                <c:pt idx="0">
                  <c:v>10 km  40G QSFP+</c:v>
                </c:pt>
              </c:strCache>
            </c:strRef>
          </c:tx>
          <c:marker>
            <c:symbol val="square"/>
            <c:size val="5"/>
          </c:marker>
          <c:cat>
            <c:numRef>
              <c:f>Summary!$C$442:$L$442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Summary!$C$447:$L$447</c:f>
              <c:numCache>
                <c:formatCode>_("$"* #,##0_);_("$"* \(#,##0\);_("$"* "-"??_);_(@_)</c:formatCode>
                <c:ptCount val="10"/>
                <c:pt idx="0">
                  <c:v>427.72742888770347</c:v>
                </c:pt>
                <c:pt idx="1">
                  <c:v>401.36672508917627</c:v>
                </c:pt>
                <c:pt idx="2">
                  <c:v>361.77095787062291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140F-C646-9EA3-1BC22BD6CA71}"/>
            </c:ext>
          </c:extLst>
        </c:ser>
        <c:ser>
          <c:idx val="4"/>
          <c:order val="3"/>
          <c:tx>
            <c:strRef>
              <c:f>Summary!$B$448</c:f>
              <c:strCache>
                <c:ptCount val="1"/>
                <c:pt idx="0">
                  <c:v>40 km 40G all</c:v>
                </c:pt>
              </c:strCache>
            </c:strRef>
          </c:tx>
          <c:cat>
            <c:numRef>
              <c:f>Summary!$C$442:$L$442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Summary!$C$448:$L$448</c:f>
              <c:numCache>
                <c:formatCode>_("$"* #,##0_);_("$"* \(#,##0\);_("$"* "-"??_);_(@_)</c:formatCode>
                <c:ptCount val="10"/>
                <c:pt idx="0">
                  <c:v>1673.0572324239708</c:v>
                </c:pt>
                <c:pt idx="1">
                  <c:v>1459.2330281290015</c:v>
                </c:pt>
                <c:pt idx="2">
                  <c:v>1255.0508268482483</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94F2-7D4F-B40B-4FFD83BA682A}"/>
            </c:ext>
          </c:extLst>
        </c:ser>
        <c:dLbls>
          <c:showLegendKey val="0"/>
          <c:showVal val="0"/>
          <c:showCatName val="0"/>
          <c:showSerName val="0"/>
          <c:showPercent val="0"/>
          <c:showBubbleSize val="0"/>
        </c:dLbls>
        <c:marker val="1"/>
        <c:smooth val="0"/>
        <c:axId val="162331264"/>
        <c:axId val="162406784"/>
      </c:lineChart>
      <c:catAx>
        <c:axId val="162331264"/>
        <c:scaling>
          <c:orientation val="minMax"/>
        </c:scaling>
        <c:delete val="0"/>
        <c:axPos val="b"/>
        <c:numFmt formatCode="General" sourceLinked="1"/>
        <c:majorTickMark val="out"/>
        <c:minorTickMark val="none"/>
        <c:tickLblPos val="nextTo"/>
        <c:txPr>
          <a:bodyPr/>
          <a:lstStyle/>
          <a:p>
            <a:pPr>
              <a:defRPr sz="1000"/>
            </a:pPr>
            <a:endParaRPr lang="en-US"/>
          </a:p>
        </c:txPr>
        <c:crossAx val="162406784"/>
        <c:crosses val="autoZero"/>
        <c:auto val="1"/>
        <c:lblAlgn val="ctr"/>
        <c:lblOffset val="100"/>
        <c:noMultiLvlLbl val="0"/>
      </c:catAx>
      <c:valAx>
        <c:axId val="162406784"/>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4.122041908712356E-5"/>
              <c:y val="0.38174302469497584"/>
            </c:manualLayout>
          </c:layout>
          <c:overlay val="0"/>
        </c:title>
        <c:numFmt formatCode="&quot;$&quot;#,##0" sourceLinked="0"/>
        <c:majorTickMark val="out"/>
        <c:minorTickMark val="none"/>
        <c:tickLblPos val="nextTo"/>
        <c:txPr>
          <a:bodyPr/>
          <a:lstStyle/>
          <a:p>
            <a:pPr>
              <a:defRPr sz="1200"/>
            </a:pPr>
            <a:endParaRPr lang="en-US"/>
          </a:p>
        </c:txPr>
        <c:crossAx val="162331264"/>
        <c:crosses val="autoZero"/>
        <c:crossBetween val="between"/>
      </c:valAx>
    </c:plotArea>
    <c:legend>
      <c:legendPos val="t"/>
      <c:layout>
        <c:manualLayout>
          <c:xMode val="edge"/>
          <c:yMode val="edge"/>
          <c:x val="0.59240512901289555"/>
          <c:y val="8.8893298109569363E-2"/>
          <c:w val="0.40759487098710451"/>
          <c:h val="0.35615167948589765"/>
        </c:manualLayout>
      </c:layout>
      <c:overlay val="0"/>
      <c:spPr>
        <a:solidFill>
          <a:schemeClr val="bg1"/>
        </a:solidFill>
        <a:ln>
          <a:solidFill>
            <a:schemeClr val="tx1"/>
          </a:solidFill>
        </a:ln>
      </c:spPr>
      <c:txPr>
        <a:bodyPr/>
        <a:lstStyle/>
        <a:p>
          <a:pPr>
            <a:defRPr lang="en-US"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2557123126461"/>
          <c:y val="4.9886318107985946E-2"/>
          <c:w val="0.87758099037323589"/>
          <c:h val="0.86620914310300245"/>
        </c:manualLayout>
      </c:layout>
      <c:lineChart>
        <c:grouping val="standard"/>
        <c:varyColors val="0"/>
        <c:ser>
          <c:idx val="0"/>
          <c:order val="0"/>
          <c:tx>
            <c:strRef>
              <c:f>Summary!$B$136</c:f>
              <c:strCache>
                <c:ptCount val="1"/>
                <c:pt idx="0">
                  <c:v>1G</c:v>
                </c:pt>
              </c:strCache>
            </c:strRef>
          </c:tx>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Summary!$C$136:$L$136</c:f>
              <c:numCache>
                <c:formatCode>_("$"* #,##0_);_("$"* \(#,##0\);_("$"* "-"??_);_(@_)</c:formatCode>
                <c:ptCount val="10"/>
                <c:pt idx="0">
                  <c:v>154.16513112975395</c:v>
                </c:pt>
                <c:pt idx="1">
                  <c:v>110.62740763127242</c:v>
                </c:pt>
                <c:pt idx="2">
                  <c:v>131.91376511999999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547B-AE46-A98C-233E0A537257}"/>
            </c:ext>
          </c:extLst>
        </c:ser>
        <c:ser>
          <c:idx val="1"/>
          <c:order val="1"/>
          <c:tx>
            <c:strRef>
              <c:f>Summary!$B$137</c:f>
              <c:strCache>
                <c:ptCount val="1"/>
                <c:pt idx="0">
                  <c:v>10G</c:v>
                </c:pt>
              </c:strCache>
            </c:strRef>
          </c:tx>
          <c:marker>
            <c:symbol val="square"/>
            <c:size val="5"/>
          </c:marker>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Summary!$C$137:$L$137</c:f>
              <c:numCache>
                <c:formatCode>_("$"* #,##0_);_("$"* \(#,##0\);_("$"* "-"??_);_(@_)</c:formatCode>
                <c:ptCount val="10"/>
                <c:pt idx="0">
                  <c:v>588.89972784362988</c:v>
                </c:pt>
                <c:pt idx="1">
                  <c:v>486.60483553423245</c:v>
                </c:pt>
                <c:pt idx="2">
                  <c:v>471.41983653865219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547B-AE46-A98C-233E0A537257}"/>
            </c:ext>
          </c:extLst>
        </c:ser>
        <c:ser>
          <c:idx val="4"/>
          <c:order val="2"/>
          <c:tx>
            <c:strRef>
              <c:f>Summary!$B$138</c:f>
              <c:strCache>
                <c:ptCount val="1"/>
                <c:pt idx="0">
                  <c:v>25G</c:v>
                </c:pt>
              </c:strCache>
            </c:strRef>
          </c:tx>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Summary!$C$138:$L$138</c:f>
              <c:numCache>
                <c:formatCode>_("$"* #,##0_);_("$"* \(#,##0\);_("$"* "-"??_);_(@_)</c:formatCode>
                <c:ptCount val="10"/>
                <c:pt idx="0" formatCode="_(&quot;$&quot;* #,##0.0_);_(&quot;$&quot;* \(#,##0.0\);_(&quot;$&quot;* &quot;-&quot;??_);_(@_)">
                  <c:v>3.4123060000000001</c:v>
                </c:pt>
                <c:pt idx="1">
                  <c:v>19.187075306914231</c:v>
                </c:pt>
                <c:pt idx="2">
                  <c:v>38.882710120000013</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547B-AE46-A98C-233E0A537257}"/>
            </c:ext>
          </c:extLst>
        </c:ser>
        <c:ser>
          <c:idx val="2"/>
          <c:order val="3"/>
          <c:tx>
            <c:strRef>
              <c:f>Summary!$B$139</c:f>
              <c:strCache>
                <c:ptCount val="1"/>
                <c:pt idx="0">
                  <c:v>40G</c:v>
                </c:pt>
              </c:strCache>
            </c:strRef>
          </c:tx>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Summary!$C$139:$L$139</c:f>
              <c:numCache>
                <c:formatCode>_("$"* #,##0_);_("$"* \(#,##0\);_("$"* "-"??_);_(@_)</c:formatCode>
                <c:ptCount val="10"/>
                <c:pt idx="0">
                  <c:v>787.93297017215446</c:v>
                </c:pt>
                <c:pt idx="1">
                  <c:v>904.27751564220159</c:v>
                </c:pt>
                <c:pt idx="2">
                  <c:v>539.48394892970373</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547B-AE46-A98C-233E0A537257}"/>
            </c:ext>
          </c:extLst>
        </c:ser>
        <c:ser>
          <c:idx val="7"/>
          <c:order val="4"/>
          <c:tx>
            <c:strRef>
              <c:f>Summary!$B$140</c:f>
              <c:strCache>
                <c:ptCount val="1"/>
                <c:pt idx="0">
                  <c:v>50G</c:v>
                </c:pt>
              </c:strCache>
            </c:strRef>
          </c:tx>
          <c:marker>
            <c:symbol val="plus"/>
            <c:size val="7"/>
          </c:marker>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Summary!$C$140:$L$140</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547B-AE46-A98C-233E0A537257}"/>
            </c:ext>
          </c:extLst>
        </c:ser>
        <c:ser>
          <c:idx val="3"/>
          <c:order val="5"/>
          <c:tx>
            <c:strRef>
              <c:f>Summary!$B$141</c:f>
              <c:strCache>
                <c:ptCount val="1"/>
                <c:pt idx="0">
                  <c:v>100G</c:v>
                </c:pt>
              </c:strCache>
            </c:strRef>
          </c:tx>
          <c:marker>
            <c:symbol val="circle"/>
            <c:size val="5"/>
          </c:marker>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Summary!$C$141:$L$141</c:f>
              <c:numCache>
                <c:formatCode>_("$"* #,##0_);_("$"* \(#,##0\);_("$"* "-"??_);_(@_)</c:formatCode>
                <c:ptCount val="10"/>
                <c:pt idx="0">
                  <c:v>1143.1589641396481</c:v>
                </c:pt>
                <c:pt idx="1">
                  <c:v>1653.8532387335786</c:v>
                </c:pt>
                <c:pt idx="2">
                  <c:v>2156.8222260170164</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547B-AE46-A98C-233E0A537257}"/>
            </c:ext>
          </c:extLst>
        </c:ser>
        <c:ser>
          <c:idx val="6"/>
          <c:order val="6"/>
          <c:tx>
            <c:strRef>
              <c:f>Summary!$B$142</c:f>
              <c:strCache>
                <c:ptCount val="1"/>
                <c:pt idx="0">
                  <c:v>200G</c:v>
                </c:pt>
              </c:strCache>
            </c:strRef>
          </c:tx>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Summary!$C$142:$L$142</c:f>
              <c:numCache>
                <c:formatCode>_("$"* #,##0.0_);_("$"* \(#,##0.0\);_("$"* "-"??_);_(@_)</c:formatCode>
                <c:ptCount val="10"/>
                <c:pt idx="2" formatCode="_(&quot;$&quot;* #,##0_);_(&quot;$&quot;* \(#,##0\);_(&quot;$&quot;* &quot;-&quot;??_);_(@_)">
                  <c:v>1.1000000000000001</c:v>
                </c:pt>
                <c:pt idx="3" formatCode="_(&quot;$&quot;* #,##0_);_(&quot;$&quot;* \(#,##0\);_(&quot;$&quot;* &quot;-&quot;??_);_(@_)">
                  <c:v>0</c:v>
                </c:pt>
                <c:pt idx="4" formatCode="_(&quot;$&quot;* #,##0_);_(&quot;$&quot;* \(#,##0\);_(&quot;$&quot;* &quot;-&quot;??_);_(@_)">
                  <c:v>0</c:v>
                </c:pt>
                <c:pt idx="5" formatCode="_(&quot;$&quot;* #,##0_);_(&quot;$&quot;* \(#,##0\);_(&quot;$&quot;* &quot;-&quot;??_);_(@_)">
                  <c:v>0</c:v>
                </c:pt>
                <c:pt idx="6" formatCode="_(&quot;$&quot;* #,##0_);_(&quot;$&quot;* \(#,##0\);_(&quot;$&quot;* &quot;-&quot;??_);_(@_)">
                  <c:v>0</c:v>
                </c:pt>
                <c:pt idx="7" formatCode="_(&quot;$&quot;* #,##0_);_(&quot;$&quot;* \(#,##0\);_(&quot;$&quot;* &quot;-&quot;??_);_(@_)">
                  <c:v>0</c:v>
                </c:pt>
                <c:pt idx="8" formatCode="_(&quot;$&quot;* #,##0_);_(&quot;$&quot;* \(#,##0\);_(&quot;$&quot;* &quot;-&quot;??_);_(@_)">
                  <c:v>0</c:v>
                </c:pt>
                <c:pt idx="9" formatCode="_(&quot;$&quot;* #,##0_);_(&quot;$&quot;* \(#,##0\);_(&quot;$&quot;* &quot;-&quot;??_);_(@_)">
                  <c:v>0</c:v>
                </c:pt>
              </c:numCache>
            </c:numRef>
          </c:val>
          <c:smooth val="0"/>
          <c:extLst xmlns:c16r2="http://schemas.microsoft.com/office/drawing/2015/06/chart">
            <c:ext xmlns:c16="http://schemas.microsoft.com/office/drawing/2014/chart" uri="{C3380CC4-5D6E-409C-BE32-E72D297353CC}">
              <c16:uniqueId val="{00000006-547B-AE46-A98C-233E0A537257}"/>
            </c:ext>
          </c:extLst>
        </c:ser>
        <c:ser>
          <c:idx val="5"/>
          <c:order val="7"/>
          <c:tx>
            <c:strRef>
              <c:f>Summary!$B$143</c:f>
              <c:strCache>
                <c:ptCount val="1"/>
                <c:pt idx="0">
                  <c:v>400G</c:v>
                </c:pt>
              </c:strCache>
            </c:strRef>
          </c:tx>
          <c:marker>
            <c:symbol val="circle"/>
            <c:size val="5"/>
          </c:marker>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Summary!$C$143:$L$143</c:f>
              <c:numCache>
                <c:formatCode>_("$"* #,##0_);_("$"* \(#,##0\);_("$"* "-"??_);_(@_)</c:formatCode>
                <c:ptCount val="10"/>
                <c:pt idx="1">
                  <c:v>1.3482999999999998</c:v>
                </c:pt>
                <c:pt idx="2">
                  <c:v>49.211999999999996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547B-AE46-A98C-233E0A537257}"/>
            </c:ext>
          </c:extLst>
        </c:ser>
        <c:ser>
          <c:idx val="8"/>
          <c:order val="8"/>
          <c:tx>
            <c:strRef>
              <c:f>Summary!$B$144</c:f>
              <c:strCache>
                <c:ptCount val="1"/>
                <c:pt idx="0">
                  <c:v>800G</c:v>
                </c:pt>
              </c:strCache>
            </c:strRef>
          </c:tx>
          <c:spPr>
            <a:ln>
              <a:solidFill>
                <a:srgbClr val="00B050"/>
              </a:solidFill>
            </a:ln>
          </c:spPr>
          <c:marker>
            <c:spPr>
              <a:ln>
                <a:solidFill>
                  <a:srgbClr val="00B050"/>
                </a:solidFill>
              </a:ln>
            </c:spPr>
          </c:marker>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Summary!$C$144:$L$144</c:f>
              <c:numCache>
                <c:formatCode>_("$"* #,##0_);_("$"* \(#,##0\);_("$"* "-"??_);_(@_)</c:formatCode>
                <c:ptCount val="10"/>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39BF-9C49-9DC9-C031F2F3D5A6}"/>
            </c:ext>
          </c:extLst>
        </c:ser>
        <c:dLbls>
          <c:showLegendKey val="0"/>
          <c:showVal val="0"/>
          <c:showCatName val="0"/>
          <c:showSerName val="0"/>
          <c:showPercent val="0"/>
          <c:showBubbleSize val="0"/>
        </c:dLbls>
        <c:marker val="1"/>
        <c:smooth val="0"/>
        <c:axId val="122957184"/>
        <c:axId val="122959360"/>
      </c:lineChart>
      <c:catAx>
        <c:axId val="122957184"/>
        <c:scaling>
          <c:orientation val="minMax"/>
        </c:scaling>
        <c:delete val="0"/>
        <c:axPos val="b"/>
        <c:numFmt formatCode="General" sourceLinked="1"/>
        <c:majorTickMark val="out"/>
        <c:minorTickMark val="none"/>
        <c:tickLblPos val="nextTo"/>
        <c:txPr>
          <a:bodyPr/>
          <a:lstStyle/>
          <a:p>
            <a:pPr>
              <a:defRPr sz="1000"/>
            </a:pPr>
            <a:endParaRPr lang="en-US"/>
          </a:p>
        </c:txPr>
        <c:crossAx val="122959360"/>
        <c:crosses val="autoZero"/>
        <c:auto val="1"/>
        <c:lblAlgn val="ctr"/>
        <c:lblOffset val="100"/>
        <c:noMultiLvlLbl val="0"/>
      </c:catAx>
      <c:valAx>
        <c:axId val="122959360"/>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2989953841976652E-2"/>
              <c:y val="0.29664731908511432"/>
            </c:manualLayout>
          </c:layout>
          <c:overlay val="0"/>
        </c:title>
        <c:numFmt formatCode="&quot;$&quot;#,##0" sourceLinked="0"/>
        <c:majorTickMark val="out"/>
        <c:minorTickMark val="none"/>
        <c:tickLblPos val="nextTo"/>
        <c:txPr>
          <a:bodyPr/>
          <a:lstStyle/>
          <a:p>
            <a:pPr>
              <a:defRPr sz="1000"/>
            </a:pPr>
            <a:endParaRPr lang="en-US"/>
          </a:p>
        </c:txPr>
        <c:crossAx val="122957184"/>
        <c:crosses val="autoZero"/>
        <c:crossBetween val="between"/>
      </c:valAx>
    </c:plotArea>
    <c:legend>
      <c:legendPos val="t"/>
      <c:layout>
        <c:manualLayout>
          <c:xMode val="edge"/>
          <c:yMode val="edge"/>
          <c:x val="0.14274339528478736"/>
          <c:y val="2.8516512568415336E-2"/>
          <c:w val="0.82911242374422611"/>
          <c:h val="0.10153136030409991"/>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2092972767905"/>
          <c:y val="5.5229706246193985E-2"/>
          <c:w val="0.84000969962279437"/>
          <c:h val="0.85007295922032933"/>
        </c:manualLayout>
      </c:layout>
      <c:lineChart>
        <c:grouping val="standard"/>
        <c:varyColors val="0"/>
        <c:ser>
          <c:idx val="1"/>
          <c:order val="0"/>
          <c:tx>
            <c:strRef>
              <c:f>Summary!$B$576</c:f>
              <c:strCache>
                <c:ptCount val="1"/>
                <c:pt idx="0">
                  <c:v>100G Short Reach</c:v>
                </c:pt>
              </c:strCache>
            </c:strRef>
          </c:tx>
          <c:marker>
            <c:symbol val="none"/>
          </c:marker>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Summary!$C$576:$L$576</c:f>
              <c:numCache>
                <c:formatCode>_("$"* #,##0_);_("$"* \(#,##0\);_("$"* "-"??_);_(@_)</c:formatCode>
                <c:ptCount val="10"/>
                <c:pt idx="0">
                  <c:v>98.621345999999988</c:v>
                </c:pt>
                <c:pt idx="1">
                  <c:v>124.64446038072001</c:v>
                </c:pt>
                <c:pt idx="2">
                  <c:v>251.93335254689399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EB05-294D-BBA7-9DD36A8D680F}"/>
            </c:ext>
          </c:extLst>
        </c:ser>
        <c:ser>
          <c:idx val="0"/>
          <c:order val="1"/>
          <c:tx>
            <c:strRef>
              <c:f>Summary!$B$674</c:f>
              <c:strCache>
                <c:ptCount val="1"/>
                <c:pt idx="0">
                  <c:v>100G Long Reach</c:v>
                </c:pt>
              </c:strCache>
            </c:strRef>
          </c:tx>
          <c:marker>
            <c:symbol val="none"/>
          </c:marker>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Summary!$C$674:$L$674</c:f>
              <c:numCache>
                <c:formatCode>_("$"* #,##0_);_("$"* \(#,##0\);_("$"* "-"??_);_(@_)</c:formatCode>
                <c:ptCount val="10"/>
                <c:pt idx="0">
                  <c:v>1044.5376181396482</c:v>
                </c:pt>
                <c:pt idx="1">
                  <c:v>1529.2087783528584</c:v>
                </c:pt>
                <c:pt idx="2">
                  <c:v>1904.888873470122</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EB05-294D-BBA7-9DD36A8D680F}"/>
            </c:ext>
          </c:extLst>
        </c:ser>
        <c:dLbls>
          <c:showLegendKey val="0"/>
          <c:showVal val="0"/>
          <c:showCatName val="0"/>
          <c:showSerName val="0"/>
          <c:showPercent val="0"/>
          <c:showBubbleSize val="0"/>
        </c:dLbls>
        <c:marker val="1"/>
        <c:smooth val="0"/>
        <c:axId val="162428800"/>
        <c:axId val="162430336"/>
      </c:lineChart>
      <c:catAx>
        <c:axId val="162428800"/>
        <c:scaling>
          <c:orientation val="minMax"/>
        </c:scaling>
        <c:delete val="0"/>
        <c:axPos val="b"/>
        <c:numFmt formatCode="General" sourceLinked="1"/>
        <c:majorTickMark val="out"/>
        <c:minorTickMark val="none"/>
        <c:tickLblPos val="nextTo"/>
        <c:txPr>
          <a:bodyPr/>
          <a:lstStyle/>
          <a:p>
            <a:pPr>
              <a:defRPr sz="1200"/>
            </a:pPr>
            <a:endParaRPr lang="en-US"/>
          </a:p>
        </c:txPr>
        <c:crossAx val="162430336"/>
        <c:crosses val="autoZero"/>
        <c:auto val="1"/>
        <c:lblAlgn val="ctr"/>
        <c:lblOffset val="100"/>
        <c:noMultiLvlLbl val="0"/>
      </c:catAx>
      <c:valAx>
        <c:axId val="162430336"/>
        <c:scaling>
          <c:orientation val="minMax"/>
        </c:scaling>
        <c:delete val="0"/>
        <c:axPos val="l"/>
        <c:majorGridlines/>
        <c:title>
          <c:tx>
            <c:rich>
              <a:bodyPr rot="-5400000" vert="horz"/>
              <a:lstStyle/>
              <a:p>
                <a:pPr>
                  <a:defRPr sz="1400"/>
                </a:pPr>
                <a:r>
                  <a:rPr lang="en-US" sz="1400"/>
                  <a:t>Annual sales ($ mn)</a:t>
                </a:r>
              </a:p>
            </c:rich>
          </c:tx>
          <c:layout/>
          <c:overlay val="0"/>
        </c:title>
        <c:numFmt formatCode="_(&quot;$&quot;* #,##0_);_(&quot;$&quot;* \(#,##0\);_(&quot;$&quot;* &quot;-&quot;??_);_(@_)" sourceLinked="1"/>
        <c:majorTickMark val="out"/>
        <c:minorTickMark val="none"/>
        <c:tickLblPos val="nextTo"/>
        <c:txPr>
          <a:bodyPr/>
          <a:lstStyle/>
          <a:p>
            <a:pPr>
              <a:defRPr sz="1200"/>
            </a:pPr>
            <a:endParaRPr lang="en-US"/>
          </a:p>
        </c:txPr>
        <c:crossAx val="162428800"/>
        <c:crosses val="autoZero"/>
        <c:crossBetween val="between"/>
      </c:valAx>
    </c:plotArea>
    <c:legend>
      <c:legendPos val="t"/>
      <c:layout>
        <c:manualLayout>
          <c:xMode val="edge"/>
          <c:yMode val="edge"/>
          <c:x val="0.63075937643764923"/>
          <c:y val="8.2444703311197173E-2"/>
          <c:w val="0.33721497625102503"/>
          <c:h val="0.18831863617866273"/>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5112669101194"/>
          <c:y val="4.8926798303271499E-2"/>
          <c:w val="0.84329278936412511"/>
          <c:h val="0.83523387724274645"/>
        </c:manualLayout>
      </c:layout>
      <c:lineChart>
        <c:grouping val="standard"/>
        <c:varyColors val="0"/>
        <c:ser>
          <c:idx val="0"/>
          <c:order val="0"/>
          <c:tx>
            <c:strRef>
              <c:f>Summary!$B$458</c:f>
              <c:strCache>
                <c:ptCount val="1"/>
                <c:pt idx="0">
                  <c:v>40G Long Reach</c:v>
                </c:pt>
              </c:strCache>
            </c:strRef>
          </c:tx>
          <c:marker>
            <c:symbol val="none"/>
          </c:marker>
          <c:cat>
            <c:multiLvlStrRef>
              <c:f>Summary!$C$647:$L$648</c:f>
              <c:multiLvlStrCache>
                <c:ptCount val="10"/>
                <c:lvl>
                  <c:pt idx="0">
                    <c:v>2016</c:v>
                  </c:pt>
                  <c:pt idx="1">
                    <c:v>2017</c:v>
                  </c:pt>
                  <c:pt idx="2">
                    <c:v>2018</c:v>
                  </c:pt>
                  <c:pt idx="3">
                    <c:v>2019</c:v>
                  </c:pt>
                  <c:pt idx="4">
                    <c:v>2020</c:v>
                  </c:pt>
                  <c:pt idx="5">
                    <c:v>2021</c:v>
                  </c:pt>
                  <c:pt idx="6">
                    <c:v>2022</c:v>
                  </c:pt>
                  <c:pt idx="7">
                    <c:v>2023</c:v>
                  </c:pt>
                  <c:pt idx="8">
                    <c:v>2024</c:v>
                  </c:pt>
                  <c:pt idx="9">
                    <c:v>2025</c:v>
                  </c:pt>
                </c:lvl>
                <c:lvl>
                  <c:pt idx="0">
                    <c:v> -   </c:v>
                  </c:pt>
                  <c:pt idx="1">
                    <c:v> -   </c:v>
                  </c:pt>
                  <c:pt idx="2">
                    <c:v> -   </c:v>
                  </c:pt>
                  <c:pt idx="3">
                    <c:v> -   </c:v>
                  </c:pt>
                  <c:pt idx="4">
                    <c:v> -   </c:v>
                  </c:pt>
                  <c:pt idx="5">
                    <c:v> -   </c:v>
                  </c:pt>
                  <c:pt idx="6">
                    <c:v> -   </c:v>
                  </c:pt>
                  <c:pt idx="7">
                    <c:v> -   </c:v>
                  </c:pt>
                  <c:pt idx="8">
                    <c:v> -   </c:v>
                  </c:pt>
                  <c:pt idx="9">
                    <c:v> -   </c:v>
                  </c:pt>
                </c:lvl>
              </c:multiLvlStrCache>
            </c:multiLvlStrRef>
          </c:cat>
          <c:val>
            <c:numRef>
              <c:f>Summary!$C$458:$L$458</c:f>
              <c:numCache>
                <c:formatCode>_("$"* #,##0_);_("$"* \(#,##0\);_("$"* "-"??_);_(@_)</c:formatCode>
                <c:ptCount val="10"/>
                <c:pt idx="0">
                  <c:v>543.18302465326565</c:v>
                </c:pt>
                <c:pt idx="1">
                  <c:v>622.557507768861</c:v>
                </c:pt>
                <c:pt idx="2">
                  <c:v>316.86527273999991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9CA1-244F-B3B8-DA25374BEE5C}"/>
            </c:ext>
          </c:extLst>
        </c:ser>
        <c:ser>
          <c:idx val="1"/>
          <c:order val="1"/>
          <c:tx>
            <c:strRef>
              <c:f>Summary!$B$409</c:f>
              <c:strCache>
                <c:ptCount val="1"/>
                <c:pt idx="0">
                  <c:v>40G Short Reach</c:v>
                </c:pt>
              </c:strCache>
            </c:strRef>
          </c:tx>
          <c:marker>
            <c:symbol val="none"/>
          </c:marker>
          <c:cat>
            <c:multiLvlStrRef>
              <c:f>Summary!$C$647:$L$648</c:f>
              <c:multiLvlStrCache>
                <c:ptCount val="10"/>
                <c:lvl>
                  <c:pt idx="0">
                    <c:v>2016</c:v>
                  </c:pt>
                  <c:pt idx="1">
                    <c:v>2017</c:v>
                  </c:pt>
                  <c:pt idx="2">
                    <c:v>2018</c:v>
                  </c:pt>
                  <c:pt idx="3">
                    <c:v>2019</c:v>
                  </c:pt>
                  <c:pt idx="4">
                    <c:v>2020</c:v>
                  </c:pt>
                  <c:pt idx="5">
                    <c:v>2021</c:v>
                  </c:pt>
                  <c:pt idx="6">
                    <c:v>2022</c:v>
                  </c:pt>
                  <c:pt idx="7">
                    <c:v>2023</c:v>
                  </c:pt>
                  <c:pt idx="8">
                    <c:v>2024</c:v>
                  </c:pt>
                  <c:pt idx="9">
                    <c:v>2025</c:v>
                  </c:pt>
                </c:lvl>
                <c:lvl>
                  <c:pt idx="0">
                    <c:v> -   </c:v>
                  </c:pt>
                  <c:pt idx="1">
                    <c:v> -   </c:v>
                  </c:pt>
                  <c:pt idx="2">
                    <c:v> -   </c:v>
                  </c:pt>
                  <c:pt idx="3">
                    <c:v> -   </c:v>
                  </c:pt>
                  <c:pt idx="4">
                    <c:v> -   </c:v>
                  </c:pt>
                  <c:pt idx="5">
                    <c:v> -   </c:v>
                  </c:pt>
                  <c:pt idx="6">
                    <c:v> -   </c:v>
                  </c:pt>
                  <c:pt idx="7">
                    <c:v> -   </c:v>
                  </c:pt>
                  <c:pt idx="8">
                    <c:v> -   </c:v>
                  </c:pt>
                  <c:pt idx="9">
                    <c:v> -   </c:v>
                  </c:pt>
                </c:lvl>
              </c:multiLvlStrCache>
            </c:multiLvlStrRef>
          </c:cat>
          <c:val>
            <c:numRef>
              <c:f>Summary!$C$409:$L$409</c:f>
              <c:numCache>
                <c:formatCode>_("$"* #,##0_);_("$"* \(#,##0\);_("$"* "-"??_);_(@_)</c:formatCode>
                <c:ptCount val="10"/>
                <c:pt idx="0">
                  <c:v>244.74994551888886</c:v>
                </c:pt>
                <c:pt idx="1">
                  <c:v>281.72000787334071</c:v>
                </c:pt>
                <c:pt idx="2">
                  <c:v>222.61867618970373</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9CA1-244F-B3B8-DA25374BEE5C}"/>
            </c:ext>
          </c:extLst>
        </c:ser>
        <c:dLbls>
          <c:showLegendKey val="0"/>
          <c:showVal val="0"/>
          <c:showCatName val="0"/>
          <c:showSerName val="0"/>
          <c:showPercent val="0"/>
          <c:showBubbleSize val="0"/>
        </c:dLbls>
        <c:marker val="1"/>
        <c:smooth val="0"/>
        <c:axId val="162485376"/>
        <c:axId val="162486912"/>
      </c:lineChart>
      <c:catAx>
        <c:axId val="162485376"/>
        <c:scaling>
          <c:orientation val="minMax"/>
        </c:scaling>
        <c:delete val="0"/>
        <c:axPos val="b"/>
        <c:numFmt formatCode="General" sourceLinked="1"/>
        <c:majorTickMark val="out"/>
        <c:minorTickMark val="none"/>
        <c:tickLblPos val="nextTo"/>
        <c:txPr>
          <a:bodyPr/>
          <a:lstStyle/>
          <a:p>
            <a:pPr>
              <a:defRPr sz="1200"/>
            </a:pPr>
            <a:endParaRPr lang="en-US"/>
          </a:p>
        </c:txPr>
        <c:crossAx val="162486912"/>
        <c:crosses val="autoZero"/>
        <c:auto val="1"/>
        <c:lblAlgn val="ctr"/>
        <c:lblOffset val="100"/>
        <c:noMultiLvlLbl val="0"/>
      </c:catAx>
      <c:valAx>
        <c:axId val="162486912"/>
        <c:scaling>
          <c:orientation val="minMax"/>
        </c:scaling>
        <c:delete val="0"/>
        <c:axPos val="l"/>
        <c:majorGridlines/>
        <c:title>
          <c:tx>
            <c:rich>
              <a:bodyPr rot="-5400000" vert="horz"/>
              <a:lstStyle/>
              <a:p>
                <a:pPr>
                  <a:defRPr sz="1400"/>
                </a:pPr>
                <a:r>
                  <a:rPr lang="en-US" sz="1400"/>
                  <a:t>Annual sales ($ mn)</a:t>
                </a:r>
              </a:p>
            </c:rich>
          </c:tx>
          <c:layout/>
          <c:overlay val="0"/>
        </c:title>
        <c:numFmt formatCode="_(&quot;$&quot;* #,##0_);_(&quot;$&quot;* \(#,##0\);_(&quot;$&quot;* &quot;-&quot;??_);_(@_)" sourceLinked="1"/>
        <c:majorTickMark val="out"/>
        <c:minorTickMark val="none"/>
        <c:tickLblPos val="nextTo"/>
        <c:txPr>
          <a:bodyPr/>
          <a:lstStyle/>
          <a:p>
            <a:pPr>
              <a:defRPr sz="1200"/>
            </a:pPr>
            <a:endParaRPr lang="en-US"/>
          </a:p>
        </c:txPr>
        <c:crossAx val="162485376"/>
        <c:crosses val="autoZero"/>
        <c:crossBetween val="between"/>
      </c:valAx>
    </c:plotArea>
    <c:legend>
      <c:legendPos val="t"/>
      <c:layout>
        <c:manualLayout>
          <c:xMode val="edge"/>
          <c:yMode val="edge"/>
          <c:x val="0.73765449114890003"/>
          <c:y val="7.9436647585129722E-2"/>
          <c:w val="0.23424604621235548"/>
          <c:h val="0.1678959640868860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MMF vs SMF - 40</a:t>
            </a:r>
            <a:r>
              <a:rPr lang="en-US" sz="1600"/>
              <a:t>G to 800G speed</a:t>
            </a:r>
            <a:r>
              <a:rPr lang="en-US" sz="1600" baseline="0"/>
              <a:t> modules only</a:t>
            </a:r>
            <a:endParaRPr lang="en-US" sz="1600"/>
          </a:p>
        </c:rich>
      </c:tx>
      <c:layout/>
      <c:overlay val="0"/>
    </c:title>
    <c:autoTitleDeleted val="0"/>
    <c:plotArea>
      <c:layout>
        <c:manualLayout>
          <c:layoutTarget val="inner"/>
          <c:xMode val="edge"/>
          <c:yMode val="edge"/>
          <c:x val="8.5003368831769607E-2"/>
          <c:y val="0.10955764033572178"/>
          <c:w val="0.86965094880381333"/>
          <c:h val="0.79901158614741052"/>
        </c:manualLayout>
      </c:layout>
      <c:barChart>
        <c:barDir val="col"/>
        <c:grouping val="percentStacked"/>
        <c:varyColors val="0"/>
        <c:ser>
          <c:idx val="0"/>
          <c:order val="0"/>
          <c:tx>
            <c:strRef>
              <c:f>Summary!$S$247</c:f>
              <c:strCache>
                <c:ptCount val="1"/>
                <c:pt idx="0">
                  <c:v>Percent  MMF</c:v>
                </c:pt>
              </c:strCache>
            </c:strRef>
          </c:tx>
          <c:invertIfNegative val="0"/>
          <c:cat>
            <c:numRef>
              <c:f>Summary!$T$244:$AC$244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Summary!$T$247:$AC$247</c:f>
              <c:numCache>
                <c:formatCode>0%</c:formatCode>
                <c:ptCount val="10"/>
                <c:pt idx="0">
                  <c:v>0.44905263137216578</c:v>
                </c:pt>
                <c:pt idx="1">
                  <c:v>0.39177916607802349</c:v>
                </c:pt>
                <c:pt idx="2">
                  <c:v>0.44529528052541112</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10B-E343-9BF1-A32A64C84C7D}"/>
            </c:ext>
          </c:extLst>
        </c:ser>
        <c:ser>
          <c:idx val="1"/>
          <c:order val="1"/>
          <c:tx>
            <c:strRef>
              <c:f>Summary!$S$248</c:f>
              <c:strCache>
                <c:ptCount val="1"/>
                <c:pt idx="0">
                  <c:v>Percent  SMF</c:v>
                </c:pt>
              </c:strCache>
            </c:strRef>
          </c:tx>
          <c:invertIfNegative val="0"/>
          <c:cat>
            <c:numRef>
              <c:f>Summary!$T$244:$AC$244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Summary!$T$248:$AC$248</c:f>
              <c:numCache>
                <c:formatCode>0%</c:formatCode>
                <c:ptCount val="10"/>
                <c:pt idx="0">
                  <c:v>0.55094736862783422</c:v>
                </c:pt>
                <c:pt idx="1">
                  <c:v>0.60822083392197657</c:v>
                </c:pt>
                <c:pt idx="2">
                  <c:v>0.55470471947458877</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10B-E343-9BF1-A32A64C84C7D}"/>
            </c:ext>
          </c:extLst>
        </c:ser>
        <c:dLbls>
          <c:showLegendKey val="0"/>
          <c:showVal val="0"/>
          <c:showCatName val="0"/>
          <c:showSerName val="0"/>
          <c:showPercent val="0"/>
          <c:showBubbleSize val="0"/>
        </c:dLbls>
        <c:gapWidth val="150"/>
        <c:overlap val="100"/>
        <c:axId val="162513280"/>
        <c:axId val="162514816"/>
      </c:barChart>
      <c:catAx>
        <c:axId val="162513280"/>
        <c:scaling>
          <c:orientation val="minMax"/>
        </c:scaling>
        <c:delete val="0"/>
        <c:axPos val="b"/>
        <c:numFmt formatCode="General" sourceLinked="1"/>
        <c:majorTickMark val="out"/>
        <c:minorTickMark val="none"/>
        <c:tickLblPos val="nextTo"/>
        <c:txPr>
          <a:bodyPr/>
          <a:lstStyle/>
          <a:p>
            <a:pPr>
              <a:defRPr sz="1050"/>
            </a:pPr>
            <a:endParaRPr lang="en-US"/>
          </a:p>
        </c:txPr>
        <c:crossAx val="162514816"/>
        <c:crosses val="autoZero"/>
        <c:auto val="1"/>
        <c:lblAlgn val="ctr"/>
        <c:lblOffset val="100"/>
        <c:noMultiLvlLbl val="0"/>
      </c:catAx>
      <c:valAx>
        <c:axId val="162514816"/>
        <c:scaling>
          <c:orientation val="minMax"/>
        </c:scaling>
        <c:delete val="0"/>
        <c:axPos val="l"/>
        <c:majorGridlines/>
        <c:numFmt formatCode="0%" sourceLinked="1"/>
        <c:majorTickMark val="out"/>
        <c:minorTickMark val="none"/>
        <c:tickLblPos val="nextTo"/>
        <c:crossAx val="162513280"/>
        <c:crosses val="autoZero"/>
        <c:crossBetween val="between"/>
      </c:valAx>
    </c:plotArea>
    <c:legend>
      <c:legendPos val="r"/>
      <c:layout>
        <c:manualLayout>
          <c:xMode val="edge"/>
          <c:yMode val="edge"/>
          <c:x val="0.72984429886244229"/>
          <c:y val="0.18135208970908973"/>
          <c:w val="0.17321208737228039"/>
          <c:h val="0.14813548513169603"/>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67291080546836"/>
          <c:y val="6.0979003054420146E-2"/>
          <c:w val="0.82741332345511853"/>
          <c:h val="0.83064707120677872"/>
        </c:manualLayout>
      </c:layout>
      <c:lineChart>
        <c:grouping val="standard"/>
        <c:varyColors val="0"/>
        <c:ser>
          <c:idx val="0"/>
          <c:order val="0"/>
          <c:tx>
            <c:strRef>
              <c:f>Summary!$B$119</c:f>
              <c:strCache>
                <c:ptCount val="1"/>
                <c:pt idx="0">
                  <c:v>1G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Summary!$C$119:$L$119</c:f>
              <c:numCache>
                <c:formatCode>_(* #,##0_);_(* \(#,##0\);_(* "-"??_);_(@_)</c:formatCode>
                <c:ptCount val="10"/>
                <c:pt idx="0">
                  <c:v>13567410.105</c:v>
                </c:pt>
                <c:pt idx="1">
                  <c:v>11273695.050000001</c:v>
                </c:pt>
                <c:pt idx="2">
                  <c:v>14338976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563D-9542-A559-C232ED949B76}"/>
            </c:ext>
          </c:extLst>
        </c:ser>
        <c:ser>
          <c:idx val="1"/>
          <c:order val="1"/>
          <c:tx>
            <c:strRef>
              <c:f>Summary!$B$120</c:f>
              <c:strCache>
                <c:ptCount val="1"/>
                <c:pt idx="0">
                  <c:v>10G</c:v>
                </c:pt>
              </c:strCache>
            </c:strRef>
          </c:tx>
          <c:marker>
            <c:symbol val="square"/>
            <c:size val="5"/>
          </c:marker>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Summary!$C$120:$L$120</c:f>
              <c:numCache>
                <c:formatCode>_(* #,##0_);_(* \(#,##0\);_(* "-"??_);_(@_)</c:formatCode>
                <c:ptCount val="10"/>
                <c:pt idx="0">
                  <c:v>18516818.93</c:v>
                </c:pt>
                <c:pt idx="1">
                  <c:v>19945022.100000001</c:v>
                </c:pt>
                <c:pt idx="2">
                  <c:v>22017005.100000001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563D-9542-A559-C232ED949B76}"/>
            </c:ext>
          </c:extLst>
        </c:ser>
        <c:ser>
          <c:idx val="4"/>
          <c:order val="2"/>
          <c:tx>
            <c:strRef>
              <c:f>Summary!$B$121</c:f>
              <c:strCache>
                <c:ptCount val="1"/>
                <c:pt idx="0">
                  <c:v>25G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Summary!$C$121:$L$121</c:f>
              <c:numCache>
                <c:formatCode>_(* #,##0_);_(* \(#,##0\);_(* "-"??_);_(@_)</c:formatCode>
                <c:ptCount val="10"/>
                <c:pt idx="0">
                  <c:v>11694</c:v>
                </c:pt>
                <c:pt idx="1">
                  <c:v>113327</c:v>
                </c:pt>
                <c:pt idx="2">
                  <c:v>375687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563D-9542-A559-C232ED949B76}"/>
            </c:ext>
          </c:extLst>
        </c:ser>
        <c:ser>
          <c:idx val="2"/>
          <c:order val="3"/>
          <c:tx>
            <c:strRef>
              <c:f>Summary!$B$122</c:f>
              <c:strCache>
                <c:ptCount val="1"/>
                <c:pt idx="0">
                  <c:v>40G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Summary!$C$122:$L$122</c:f>
              <c:numCache>
                <c:formatCode>_(* #,##0_);_(* \(#,##0\);_(* "-"??_);_(@_)</c:formatCode>
                <c:ptCount val="10"/>
                <c:pt idx="0">
                  <c:v>3153068</c:v>
                </c:pt>
                <c:pt idx="1">
                  <c:v>3864160</c:v>
                </c:pt>
                <c:pt idx="2">
                  <c:v>3098123.5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563D-9542-A559-C232ED949B76}"/>
            </c:ext>
          </c:extLst>
        </c:ser>
        <c:ser>
          <c:idx val="6"/>
          <c:order val="4"/>
          <c:tx>
            <c:strRef>
              <c:f>Summary!$B$123</c:f>
              <c:strCache>
                <c:ptCount val="1"/>
                <c:pt idx="0">
                  <c:v>50G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Summary!$C$123:$L$123</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563D-9542-A559-C232ED949B76}"/>
            </c:ext>
          </c:extLst>
        </c:ser>
        <c:ser>
          <c:idx val="3"/>
          <c:order val="5"/>
          <c:tx>
            <c:strRef>
              <c:f>Summary!$B$124</c:f>
              <c:strCache>
                <c:ptCount val="1"/>
                <c:pt idx="0">
                  <c:v>100G</c:v>
                </c:pt>
              </c:strCache>
            </c:strRef>
          </c:tx>
          <c:marker>
            <c:symbol val="circle"/>
            <c:size val="5"/>
          </c:marker>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Summary!$C$124:$L$124</c:f>
              <c:numCache>
                <c:formatCode>_(* #,##0_);_(* \(#,##0\);_(* "-"??_);_(@_)</c:formatCode>
                <c:ptCount val="10"/>
                <c:pt idx="0">
                  <c:v>919370</c:v>
                </c:pt>
                <c:pt idx="1">
                  <c:v>2881490</c:v>
                </c:pt>
                <c:pt idx="2">
                  <c:v>6187024.7366946787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563D-9542-A559-C232ED949B76}"/>
            </c:ext>
          </c:extLst>
        </c:ser>
        <c:ser>
          <c:idx val="7"/>
          <c:order val="6"/>
          <c:tx>
            <c:strRef>
              <c:f>Summary!$B$125</c:f>
              <c:strCache>
                <c:ptCount val="1"/>
                <c:pt idx="0">
                  <c:v>200G</c:v>
                </c:pt>
              </c:strCache>
            </c:strRef>
          </c:tx>
          <c:marker>
            <c:symbol val="plus"/>
            <c:size val="7"/>
          </c:marker>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Summary!$C$125:$L$125</c:f>
              <c:numCache>
                <c:formatCode>_(* #,##0_);_(* \(#,##0\);_(* "-"??_);_(@_)</c:formatCode>
                <c:ptCount val="10"/>
                <c:pt idx="2">
                  <c:v>1000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563D-9542-A559-C232ED949B76}"/>
            </c:ext>
          </c:extLst>
        </c:ser>
        <c:ser>
          <c:idx val="5"/>
          <c:order val="7"/>
          <c:tx>
            <c:strRef>
              <c:f>Summary!$B$126</c:f>
              <c:strCache>
                <c:ptCount val="1"/>
                <c:pt idx="0">
                  <c:v>400G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Summary!$C$126:$L$126</c:f>
              <c:numCache>
                <c:formatCode>_(* #,##0_);_(* \(#,##0\);_(* "-"??_);_(@_)</c:formatCode>
                <c:ptCount val="10"/>
                <c:pt idx="1">
                  <c:v>89</c:v>
                </c:pt>
                <c:pt idx="2">
                  <c:v>39000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563D-9542-A559-C232ED949B76}"/>
            </c:ext>
          </c:extLst>
        </c:ser>
        <c:ser>
          <c:idx val="8"/>
          <c:order val="8"/>
          <c:tx>
            <c:strRef>
              <c:f>Summary!$B$127</c:f>
              <c:strCache>
                <c:ptCount val="1"/>
                <c:pt idx="0">
                  <c:v>800G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Summary!$C$127:$L$127</c:f>
              <c:numCache>
                <c:formatCode>_(* #,##0_);_(* \(#,##0\);_(* "-"??_);_(@_)</c:formatCode>
                <c:ptCount val="10"/>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D6E9-C844-9D3A-CB9DAF54EC16}"/>
            </c:ext>
          </c:extLst>
        </c:ser>
        <c:ser>
          <c:idx val="9"/>
          <c:order val="9"/>
          <c:tx>
            <c:strRef>
              <c:f>Summary!$B$128</c:f>
              <c:strCache>
                <c:ptCount val="1"/>
                <c:pt idx="0">
                  <c:v>Legacy/discontinued</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Summary!$C$128:$L$128</c:f>
              <c:numCache>
                <c:formatCode>_(* #,##0_);_(* \(#,##0\);_(* "-"??_);_(@_)</c:formatCode>
                <c:ptCount val="10"/>
                <c:pt idx="0">
                  <c:v>265053</c:v>
                </c:pt>
                <c:pt idx="1">
                  <c:v>24329</c:v>
                </c:pt>
                <c:pt idx="2">
                  <c:v>3500</c:v>
                </c:pt>
                <c:pt idx="3">
                  <c:v>0</c:v>
                </c:pt>
              </c:numCache>
            </c:numRef>
          </c:val>
          <c:smooth val="0"/>
          <c:extLst xmlns:c16r2="http://schemas.microsoft.com/office/drawing/2015/06/chart">
            <c:ext xmlns:c16="http://schemas.microsoft.com/office/drawing/2014/chart" uri="{C3380CC4-5D6E-409C-BE32-E72D297353CC}">
              <c16:uniqueId val="{00000000-21AD-6846-A175-68A9D68BFFA2}"/>
            </c:ext>
          </c:extLst>
        </c:ser>
        <c:dLbls>
          <c:showLegendKey val="0"/>
          <c:showVal val="0"/>
          <c:showCatName val="0"/>
          <c:showSerName val="0"/>
          <c:showPercent val="0"/>
          <c:showBubbleSize val="0"/>
        </c:dLbls>
        <c:marker val="1"/>
        <c:smooth val="0"/>
        <c:axId val="162682368"/>
        <c:axId val="162683904"/>
      </c:lineChart>
      <c:catAx>
        <c:axId val="162682368"/>
        <c:scaling>
          <c:orientation val="minMax"/>
        </c:scaling>
        <c:delete val="0"/>
        <c:axPos val="b"/>
        <c:numFmt formatCode="General" sourceLinked="1"/>
        <c:majorTickMark val="out"/>
        <c:minorTickMark val="none"/>
        <c:tickLblPos val="nextTo"/>
        <c:txPr>
          <a:bodyPr/>
          <a:lstStyle/>
          <a:p>
            <a:pPr>
              <a:defRPr sz="1000"/>
            </a:pPr>
            <a:endParaRPr lang="en-US"/>
          </a:p>
        </c:txPr>
        <c:crossAx val="162683904"/>
        <c:crosses val="autoZero"/>
        <c:auto val="1"/>
        <c:lblAlgn val="ctr"/>
        <c:lblOffset val="100"/>
        <c:noMultiLvlLbl val="0"/>
      </c:catAx>
      <c:valAx>
        <c:axId val="162683904"/>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5106068934745209E-2"/>
              <c:y val="0.262001642180476"/>
            </c:manualLayout>
          </c:layout>
          <c:overlay val="0"/>
        </c:title>
        <c:numFmt formatCode="_(* #,##0_);_(* \(#,##0\);_(* &quot;-&quot;_);_(@_)" sourceLinked="0"/>
        <c:majorTickMark val="out"/>
        <c:minorTickMark val="none"/>
        <c:tickLblPos val="nextTo"/>
        <c:txPr>
          <a:bodyPr/>
          <a:lstStyle/>
          <a:p>
            <a:pPr>
              <a:defRPr sz="1000"/>
            </a:pPr>
            <a:endParaRPr lang="en-US"/>
          </a:p>
        </c:txPr>
        <c:crossAx val="162682368"/>
        <c:crosses val="autoZero"/>
        <c:crossBetween val="between"/>
      </c:valAx>
    </c:plotArea>
    <c:legend>
      <c:legendPos val="t"/>
      <c:legendEntry>
        <c:idx val="9"/>
        <c:delete val="1"/>
      </c:legendEntry>
      <c:layout>
        <c:manualLayout>
          <c:xMode val="edge"/>
          <c:yMode val="edge"/>
          <c:x val="0.16178868071544675"/>
          <c:y val="1.2215236631493849E-2"/>
          <c:w val="0.78715355163995648"/>
          <c:h val="0.1257374930204357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22725585934734"/>
          <c:y val="4.6898682645905125E-2"/>
          <c:w val="0.8122107487950615"/>
          <c:h val="0.85993743319851479"/>
        </c:manualLayout>
      </c:layout>
      <c:lineChart>
        <c:grouping val="standard"/>
        <c:varyColors val="0"/>
        <c:ser>
          <c:idx val="4"/>
          <c:order val="0"/>
          <c:tx>
            <c:strRef>
              <c:f>Summary!$B$121</c:f>
              <c:strCache>
                <c:ptCount val="1"/>
                <c:pt idx="0">
                  <c:v>25G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Summary!$C$121:$L$121</c:f>
              <c:numCache>
                <c:formatCode>_(* #,##0_);_(* \(#,##0\);_(* "-"??_);_(@_)</c:formatCode>
                <c:ptCount val="10"/>
                <c:pt idx="0">
                  <c:v>11694</c:v>
                </c:pt>
                <c:pt idx="1">
                  <c:v>113327</c:v>
                </c:pt>
                <c:pt idx="2">
                  <c:v>375687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94BA-0B4D-98E0-07C373C646A1}"/>
            </c:ext>
          </c:extLst>
        </c:ser>
        <c:ser>
          <c:idx val="2"/>
          <c:order val="1"/>
          <c:tx>
            <c:strRef>
              <c:f>Summary!$B$122</c:f>
              <c:strCache>
                <c:ptCount val="1"/>
                <c:pt idx="0">
                  <c:v>40G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Summary!$C$122:$L$122</c:f>
              <c:numCache>
                <c:formatCode>_(* #,##0_);_(* \(#,##0\);_(* "-"??_);_(@_)</c:formatCode>
                <c:ptCount val="10"/>
                <c:pt idx="0">
                  <c:v>3153068</c:v>
                </c:pt>
                <c:pt idx="1">
                  <c:v>3864160</c:v>
                </c:pt>
                <c:pt idx="2">
                  <c:v>3098123.5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94BA-0B4D-98E0-07C373C646A1}"/>
            </c:ext>
          </c:extLst>
        </c:ser>
        <c:ser>
          <c:idx val="6"/>
          <c:order val="2"/>
          <c:tx>
            <c:strRef>
              <c:f>Summary!$B$123</c:f>
              <c:strCache>
                <c:ptCount val="1"/>
                <c:pt idx="0">
                  <c:v>50G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Summary!$C$123:$L$123</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94BA-0B4D-98E0-07C373C646A1}"/>
            </c:ext>
          </c:extLst>
        </c:ser>
        <c:ser>
          <c:idx val="7"/>
          <c:order val="3"/>
          <c:tx>
            <c:strRef>
              <c:f>Summary!$B$125</c:f>
              <c:strCache>
                <c:ptCount val="1"/>
                <c:pt idx="0">
                  <c:v>200G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Summary!$C$125:$L$125</c:f>
              <c:numCache>
                <c:formatCode>_(* #,##0_);_(* \(#,##0\);_(* "-"??_);_(@_)</c:formatCode>
                <c:ptCount val="10"/>
                <c:pt idx="2">
                  <c:v>1000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94BA-0B4D-98E0-07C373C646A1}"/>
            </c:ext>
          </c:extLst>
        </c:ser>
        <c:ser>
          <c:idx val="5"/>
          <c:order val="4"/>
          <c:tx>
            <c:strRef>
              <c:f>Summary!$B$126</c:f>
              <c:strCache>
                <c:ptCount val="1"/>
                <c:pt idx="0">
                  <c:v>400G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Summary!$C$126:$L$126</c:f>
              <c:numCache>
                <c:formatCode>_(* #,##0_);_(* \(#,##0\);_(* "-"??_);_(@_)</c:formatCode>
                <c:ptCount val="10"/>
                <c:pt idx="1">
                  <c:v>89</c:v>
                </c:pt>
                <c:pt idx="2">
                  <c:v>39000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94BA-0B4D-98E0-07C373C646A1}"/>
            </c:ext>
          </c:extLst>
        </c:ser>
        <c:ser>
          <c:idx val="0"/>
          <c:order val="5"/>
          <c:tx>
            <c:strRef>
              <c:f>Summary!$B$127</c:f>
              <c:strCache>
                <c:ptCount val="1"/>
                <c:pt idx="0">
                  <c:v>800G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Summary!$C$127:$L$127</c:f>
              <c:numCache>
                <c:formatCode>_(* #,##0_);_(* \(#,##0\);_(* "-"??_);_(@_)</c:formatCode>
                <c:ptCount val="10"/>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94C5-9B41-B692-EA8FCC71FCA5}"/>
            </c:ext>
          </c:extLst>
        </c:ser>
        <c:dLbls>
          <c:showLegendKey val="0"/>
          <c:showVal val="0"/>
          <c:showCatName val="0"/>
          <c:showSerName val="0"/>
          <c:showPercent val="0"/>
          <c:showBubbleSize val="0"/>
        </c:dLbls>
        <c:marker val="1"/>
        <c:smooth val="0"/>
        <c:axId val="162719616"/>
        <c:axId val="162721152"/>
      </c:lineChart>
      <c:catAx>
        <c:axId val="162719616"/>
        <c:scaling>
          <c:orientation val="minMax"/>
        </c:scaling>
        <c:delete val="0"/>
        <c:axPos val="b"/>
        <c:numFmt formatCode="General" sourceLinked="1"/>
        <c:majorTickMark val="out"/>
        <c:minorTickMark val="none"/>
        <c:tickLblPos val="nextTo"/>
        <c:txPr>
          <a:bodyPr/>
          <a:lstStyle/>
          <a:p>
            <a:pPr>
              <a:defRPr sz="1200"/>
            </a:pPr>
            <a:endParaRPr lang="en-US"/>
          </a:p>
        </c:txPr>
        <c:crossAx val="162721152"/>
        <c:crosses val="autoZero"/>
        <c:auto val="1"/>
        <c:lblAlgn val="ctr"/>
        <c:lblOffset val="100"/>
        <c:noMultiLvlLbl val="0"/>
      </c:catAx>
      <c:valAx>
        <c:axId val="162721152"/>
        <c:scaling>
          <c:orientation val="minMax"/>
          <c:min val="0"/>
        </c:scaling>
        <c:delete val="0"/>
        <c:axPos val="l"/>
        <c:majorGridlines/>
        <c:title>
          <c:tx>
            <c:rich>
              <a:bodyPr rot="-5400000" vert="horz"/>
              <a:lstStyle/>
              <a:p>
                <a:pPr>
                  <a:defRPr sz="1400"/>
                </a:pPr>
                <a:r>
                  <a:rPr lang="en-US" sz="1400"/>
                  <a:t>Annual shipments</a:t>
                </a:r>
              </a:p>
            </c:rich>
          </c:tx>
          <c:layout/>
          <c:overlay val="0"/>
        </c:title>
        <c:numFmt formatCode="_(* #,##0_);_(* \(#,##0\);_(* &quot;-&quot;_);_(@_)" sourceLinked="0"/>
        <c:majorTickMark val="out"/>
        <c:minorTickMark val="none"/>
        <c:tickLblPos val="nextTo"/>
        <c:txPr>
          <a:bodyPr/>
          <a:lstStyle/>
          <a:p>
            <a:pPr>
              <a:defRPr sz="1200"/>
            </a:pPr>
            <a:endParaRPr lang="en-US"/>
          </a:p>
        </c:txPr>
        <c:crossAx val="162719616"/>
        <c:crosses val="autoZero"/>
        <c:crossBetween val="between"/>
      </c:valAx>
    </c:plotArea>
    <c:legend>
      <c:legendPos val="t"/>
      <c:layout>
        <c:manualLayout>
          <c:xMode val="edge"/>
          <c:yMode val="edge"/>
          <c:x val="0.18093049114912371"/>
          <c:y val="5.8652668416447944E-2"/>
          <c:w val="0.16732589911676235"/>
          <c:h val="0.38964373571751576"/>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3787438248289"/>
          <c:y val="0.15946952504906389"/>
          <c:w val="0.80023483916626958"/>
          <c:h val="0.75998633644295233"/>
        </c:manualLayout>
      </c:layout>
      <c:lineChart>
        <c:grouping val="standard"/>
        <c:varyColors val="0"/>
        <c:ser>
          <c:idx val="0"/>
          <c:order val="0"/>
          <c:tx>
            <c:strRef>
              <c:f>Summary!$B$209</c:f>
              <c:strCache>
                <c:ptCount val="1"/>
                <c:pt idx="0">
                  <c:v>10G MMF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Summary!$C$209:$L$209</c:f>
              <c:numCache>
                <c:formatCode>_(* #,##0_);_(* \(#,##0\);_(* "-"??_);_(@_)</c:formatCode>
                <c:ptCount val="10"/>
                <c:pt idx="0">
                  <c:v>11471385.93</c:v>
                </c:pt>
                <c:pt idx="1">
                  <c:v>12691744</c:v>
                </c:pt>
                <c:pt idx="2">
                  <c:v>14084264</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7D9B-5948-91AF-487D2AB9C4CB}"/>
            </c:ext>
          </c:extLst>
        </c:ser>
        <c:ser>
          <c:idx val="2"/>
          <c:order val="1"/>
          <c:tx>
            <c:strRef>
              <c:f>Summary!$B$210</c:f>
              <c:strCache>
                <c:ptCount val="1"/>
                <c:pt idx="0">
                  <c:v>25G MMF</c:v>
                </c:pt>
              </c:strCache>
            </c:strRef>
          </c:tx>
          <c:spPr>
            <a:ln>
              <a:solidFill>
                <a:schemeClr val="accent2"/>
              </a:solidFill>
            </a:ln>
          </c:spPr>
          <c:marker>
            <c:spPr>
              <a:solidFill>
                <a:schemeClr val="accent2"/>
              </a:solidFill>
              <a:ln>
                <a:solidFill>
                  <a:schemeClr val="accent2"/>
                </a:solidFill>
              </a:ln>
            </c:spPr>
          </c:marker>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Summary!$C$210:$L$210</c:f>
              <c:numCache>
                <c:formatCode>_(* #,##0_);_(* \(#,##0\);_(* "-"??_);_(@_)</c:formatCode>
                <c:ptCount val="10"/>
                <c:pt idx="0">
                  <c:v>7146</c:v>
                </c:pt>
                <c:pt idx="1">
                  <c:v>95865</c:v>
                </c:pt>
                <c:pt idx="2">
                  <c:v>318978</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7D9B-5948-91AF-487D2AB9C4CB}"/>
            </c:ext>
          </c:extLst>
        </c:ser>
        <c:ser>
          <c:idx val="3"/>
          <c:order val="2"/>
          <c:tx>
            <c:strRef>
              <c:f>Summary!$B$211</c:f>
              <c:strCache>
                <c:ptCount val="1"/>
                <c:pt idx="0">
                  <c:v>40G MMF</c:v>
                </c:pt>
              </c:strCache>
            </c:strRef>
          </c:tx>
          <c:spPr>
            <a:ln>
              <a:solidFill>
                <a:schemeClr val="accent3"/>
              </a:solidFill>
            </a:ln>
          </c:spPr>
          <c:marker>
            <c:spPr>
              <a:solidFill>
                <a:schemeClr val="accent3"/>
              </a:solidFill>
              <a:ln>
                <a:solidFill>
                  <a:schemeClr val="accent3"/>
                </a:solidFill>
              </a:ln>
            </c:spPr>
          </c:marker>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Summary!$C$211:$L$211</c:f>
              <c:numCache>
                <c:formatCode>_(* #,##0_);_(* \(#,##0\);_(* "-"??_);_(@_)</c:formatCode>
                <c:ptCount val="10"/>
                <c:pt idx="0">
                  <c:v>1529498</c:v>
                </c:pt>
                <c:pt idx="1">
                  <c:v>2010866</c:v>
                </c:pt>
                <c:pt idx="2">
                  <c:v>2046033.5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7D9B-5948-91AF-487D2AB9C4CB}"/>
            </c:ext>
          </c:extLst>
        </c:ser>
        <c:ser>
          <c:idx val="5"/>
          <c:order val="3"/>
          <c:tx>
            <c:strRef>
              <c:f>Summary!$B$212</c:f>
              <c:strCache>
                <c:ptCount val="1"/>
                <c:pt idx="0">
                  <c:v>50G MMF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Summary!$C$212:$L$212</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7D9B-5948-91AF-487D2AB9C4CB}"/>
            </c:ext>
          </c:extLst>
        </c:ser>
        <c:ser>
          <c:idx val="1"/>
          <c:order val="4"/>
          <c:tx>
            <c:strRef>
              <c:f>Summary!$B$213</c:f>
              <c:strCache>
                <c:ptCount val="1"/>
                <c:pt idx="0">
                  <c:v>100G MMF</c:v>
                </c:pt>
              </c:strCache>
            </c:strRef>
          </c:tx>
          <c:spPr>
            <a:ln>
              <a:solidFill>
                <a:schemeClr val="accent4"/>
              </a:solidFill>
            </a:ln>
          </c:spPr>
          <c:marker>
            <c:symbol val="square"/>
            <c:size val="5"/>
            <c:spPr>
              <a:solidFill>
                <a:schemeClr val="accent4"/>
              </a:solidFill>
              <a:ln>
                <a:solidFill>
                  <a:schemeClr val="accent4"/>
                </a:solidFill>
              </a:ln>
            </c:spPr>
          </c:marker>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Summary!$C$213:$L$213</c:f>
              <c:numCache>
                <c:formatCode>_(* #,##0_);_(* \(#,##0\);_(* "-"??_);_(@_)</c:formatCode>
                <c:ptCount val="10"/>
                <c:pt idx="0">
                  <c:v>299241</c:v>
                </c:pt>
                <c:pt idx="1">
                  <c:v>631974</c:v>
                </c:pt>
                <c:pt idx="2">
                  <c:v>2082911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7D9B-5948-91AF-487D2AB9C4CB}"/>
            </c:ext>
          </c:extLst>
        </c:ser>
        <c:ser>
          <c:idx val="6"/>
          <c:order val="5"/>
          <c:tx>
            <c:strRef>
              <c:f>Summary!$B$214</c:f>
              <c:strCache>
                <c:ptCount val="1"/>
                <c:pt idx="0">
                  <c:v>200G MMF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Summary!$C$214:$L$214</c:f>
              <c:numCache>
                <c:formatCode>_(* #,##0_);_(* \(#,##0\);_(* "-"??_);_(@_)</c:formatCode>
                <c:ptCount val="10"/>
                <c:pt idx="1">
                  <c:v>0</c:v>
                </c:pt>
                <c:pt idx="2">
                  <c:v>500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7D9B-5948-91AF-487D2AB9C4CB}"/>
            </c:ext>
          </c:extLst>
        </c:ser>
        <c:ser>
          <c:idx val="4"/>
          <c:order val="6"/>
          <c:tx>
            <c:strRef>
              <c:f>Summary!$B$215</c:f>
              <c:strCache>
                <c:ptCount val="1"/>
                <c:pt idx="0">
                  <c:v>400G MMF</c:v>
                </c:pt>
              </c:strCache>
            </c:strRef>
          </c:tx>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Summary!$C$215:$L$215</c:f>
              <c:numCache>
                <c:formatCode>_(* #,##0_);_(* \(#,##0\);_(* "-"??_);_(@_)</c:formatCode>
                <c:ptCount val="10"/>
                <c:pt idx="1">
                  <c:v>0</c:v>
                </c:pt>
                <c:pt idx="2">
                  <c:v>23000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7D9B-5948-91AF-487D2AB9C4CB}"/>
            </c:ext>
          </c:extLst>
        </c:ser>
        <c:ser>
          <c:idx val="7"/>
          <c:order val="7"/>
          <c:tx>
            <c:strRef>
              <c:f>Summary!$B$216</c:f>
              <c:strCache>
                <c:ptCount val="1"/>
                <c:pt idx="0">
                  <c:v>800G MMF</c:v>
                </c:pt>
              </c:strCache>
            </c:strRef>
          </c:tx>
          <c:spPr>
            <a:ln>
              <a:solidFill>
                <a:srgbClr val="00B050"/>
              </a:solidFill>
            </a:ln>
          </c:spPr>
          <c:marker>
            <c:spPr>
              <a:ln>
                <a:solidFill>
                  <a:srgbClr val="00B050"/>
                </a:solidFill>
              </a:ln>
            </c:spPr>
          </c:marker>
          <c:cat>
            <c:numRef>
              <c:f>Summary!$C$206:$L$206</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Summary!$C$216:$L$216</c:f>
              <c:numCache>
                <c:formatCode>_(* #,##0_);_(* \(#,##0\);_(* "-"??_);_(@_)</c:formatCode>
                <c:ptCount val="10"/>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F2BC-CA4D-8284-FD54473393F3}"/>
            </c:ext>
          </c:extLst>
        </c:ser>
        <c:dLbls>
          <c:showLegendKey val="0"/>
          <c:showVal val="0"/>
          <c:showCatName val="0"/>
          <c:showSerName val="0"/>
          <c:showPercent val="0"/>
          <c:showBubbleSize val="0"/>
        </c:dLbls>
        <c:marker val="1"/>
        <c:smooth val="0"/>
        <c:axId val="167379328"/>
        <c:axId val="167381248"/>
      </c:lineChart>
      <c:catAx>
        <c:axId val="167379328"/>
        <c:scaling>
          <c:orientation val="minMax"/>
        </c:scaling>
        <c:delete val="0"/>
        <c:axPos val="b"/>
        <c:numFmt formatCode="General" sourceLinked="1"/>
        <c:majorTickMark val="out"/>
        <c:minorTickMark val="none"/>
        <c:tickLblPos val="nextTo"/>
        <c:txPr>
          <a:bodyPr/>
          <a:lstStyle/>
          <a:p>
            <a:pPr>
              <a:defRPr sz="1000"/>
            </a:pPr>
            <a:endParaRPr lang="en-US"/>
          </a:p>
        </c:txPr>
        <c:crossAx val="167381248"/>
        <c:crosses val="autoZero"/>
        <c:auto val="1"/>
        <c:lblAlgn val="ctr"/>
        <c:lblOffset val="100"/>
        <c:noMultiLvlLbl val="0"/>
      </c:catAx>
      <c:valAx>
        <c:axId val="167381248"/>
        <c:scaling>
          <c:orientation val="minMax"/>
          <c:max val="14100000"/>
          <c:min val="0"/>
        </c:scaling>
        <c:delete val="0"/>
        <c:axPos val="l"/>
        <c:majorGridlines/>
        <c:title>
          <c:tx>
            <c:rich>
              <a:bodyPr/>
              <a:lstStyle/>
              <a:p>
                <a:pPr>
                  <a:defRPr sz="1200"/>
                </a:pPr>
                <a:r>
                  <a:rPr lang="en-US" sz="1200"/>
                  <a:t>Shipments  (Units)</a:t>
                </a:r>
              </a:p>
            </c:rich>
          </c:tx>
          <c:layout>
            <c:manualLayout>
              <c:xMode val="edge"/>
              <c:yMode val="edge"/>
              <c:x val="2.3858004730599205E-2"/>
              <c:y val="0.3638878080567054"/>
            </c:manualLayout>
          </c:layout>
          <c:overlay val="0"/>
        </c:title>
        <c:numFmt formatCode="_(* #,##0_);_(* \(#,##0\);_(* &quot;-&quot;??_);_(@_)" sourceLinked="1"/>
        <c:majorTickMark val="out"/>
        <c:minorTickMark val="none"/>
        <c:tickLblPos val="nextTo"/>
        <c:txPr>
          <a:bodyPr/>
          <a:lstStyle/>
          <a:p>
            <a:pPr>
              <a:defRPr sz="1000"/>
            </a:pPr>
            <a:endParaRPr lang="en-US"/>
          </a:p>
        </c:txPr>
        <c:crossAx val="167379328"/>
        <c:crosses val="autoZero"/>
        <c:crossBetween val="between"/>
        <c:majorUnit val="2000000"/>
        <c:minorUnit val="400000"/>
      </c:valAx>
    </c:plotArea>
    <c:legend>
      <c:legendPos val="t"/>
      <c:layout>
        <c:manualLayout>
          <c:xMode val="edge"/>
          <c:yMode val="edge"/>
          <c:x val="6.9899071693879392E-2"/>
          <c:y val="2.0774375891035448E-2"/>
          <c:w val="0.930100991056104"/>
          <c:h val="0.1145081989249437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9531843387173"/>
          <c:y val="7.7846691134860702E-2"/>
          <c:w val="0.78363960724145587"/>
          <c:h val="0.83596598166502289"/>
        </c:manualLayout>
      </c:layout>
      <c:lineChart>
        <c:grouping val="standard"/>
        <c:varyColors val="0"/>
        <c:ser>
          <c:idx val="0"/>
          <c:order val="0"/>
          <c:tx>
            <c:strRef>
              <c:f>Summary!$B$396</c:f>
              <c:strCache>
                <c:ptCount val="1"/>
                <c:pt idx="0">
                  <c:v>100 m  40G QSFP+</c:v>
                </c:pt>
              </c:strCache>
            </c:strRef>
          </c:tx>
          <c:cat>
            <c:numRef>
              <c:f>Summary!$C$395:$L$395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Summary!$C$396:$L$396</c:f>
              <c:numCache>
                <c:formatCode>_(* #,##0_);_(* \(#,##0\);_(* "-"??_);_(@_)</c:formatCode>
                <c:ptCount val="10"/>
                <c:pt idx="0">
                  <c:v>639935</c:v>
                </c:pt>
                <c:pt idx="1">
                  <c:v>793812</c:v>
                </c:pt>
                <c:pt idx="2">
                  <c:v>960639.5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9E06-204F-86DE-535927CCF1D0}"/>
            </c:ext>
          </c:extLst>
        </c:ser>
        <c:ser>
          <c:idx val="2"/>
          <c:order val="1"/>
          <c:tx>
            <c:strRef>
              <c:f>Summary!$B$397</c:f>
              <c:strCache>
                <c:ptCount val="1"/>
                <c:pt idx="0">
                  <c:v>100 m  40G MM duplex</c:v>
                </c:pt>
              </c:strCache>
            </c:strRef>
          </c:tx>
          <c:cat>
            <c:numRef>
              <c:f>Summary!$C$395:$L$395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Summary!$C$397:$L$397</c:f>
              <c:numCache>
                <c:formatCode>_(* #,##0_);_(* \(#,##0\);_(* "-"??_);_(@_)</c:formatCode>
                <c:ptCount val="10"/>
                <c:pt idx="0">
                  <c:v>614294</c:v>
                </c:pt>
                <c:pt idx="1">
                  <c:v>750519</c:v>
                </c:pt>
                <c:pt idx="2">
                  <c:v>594327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9E06-204F-86DE-535927CCF1D0}"/>
            </c:ext>
          </c:extLst>
        </c:ser>
        <c:ser>
          <c:idx val="1"/>
          <c:order val="2"/>
          <c:tx>
            <c:strRef>
              <c:f>Summary!$B$398</c:f>
              <c:strCache>
                <c:ptCount val="1"/>
                <c:pt idx="0">
                  <c:v>300 m  40 G eSR QSFP+</c:v>
                </c:pt>
              </c:strCache>
            </c:strRef>
          </c:tx>
          <c:cat>
            <c:numRef>
              <c:f>Summary!$C$395:$L$395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Summary!$C$398:$L$398</c:f>
              <c:numCache>
                <c:formatCode>_(* #,##0_);_(* \(#,##0\);_(* "-"??_);_(@_)</c:formatCode>
                <c:ptCount val="10"/>
                <c:pt idx="0">
                  <c:v>275269</c:v>
                </c:pt>
                <c:pt idx="1">
                  <c:v>466535</c:v>
                </c:pt>
                <c:pt idx="2">
                  <c:v>491067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9E06-204F-86DE-535927CCF1D0}"/>
            </c:ext>
          </c:extLst>
        </c:ser>
        <c:dLbls>
          <c:showLegendKey val="0"/>
          <c:showVal val="0"/>
          <c:showCatName val="0"/>
          <c:showSerName val="0"/>
          <c:showPercent val="0"/>
          <c:showBubbleSize val="0"/>
        </c:dLbls>
        <c:marker val="1"/>
        <c:smooth val="0"/>
        <c:axId val="167421056"/>
        <c:axId val="167422592"/>
      </c:lineChart>
      <c:catAx>
        <c:axId val="167421056"/>
        <c:scaling>
          <c:orientation val="minMax"/>
        </c:scaling>
        <c:delete val="0"/>
        <c:axPos val="b"/>
        <c:numFmt formatCode="General" sourceLinked="1"/>
        <c:majorTickMark val="out"/>
        <c:minorTickMark val="none"/>
        <c:tickLblPos val="nextTo"/>
        <c:txPr>
          <a:bodyPr/>
          <a:lstStyle/>
          <a:p>
            <a:pPr>
              <a:defRPr sz="1050"/>
            </a:pPr>
            <a:endParaRPr lang="en-US"/>
          </a:p>
        </c:txPr>
        <c:crossAx val="167422592"/>
        <c:crosses val="autoZero"/>
        <c:auto val="1"/>
        <c:lblAlgn val="ctr"/>
        <c:lblOffset val="100"/>
        <c:noMultiLvlLbl val="0"/>
      </c:catAx>
      <c:valAx>
        <c:axId val="167422592"/>
        <c:scaling>
          <c:orientation val="minMax"/>
          <c:max val="1000000"/>
          <c:min val="0"/>
        </c:scaling>
        <c:delete val="0"/>
        <c:axPos val="l"/>
        <c:majorGridlines/>
        <c:title>
          <c:tx>
            <c:rich>
              <a:bodyPr rot="-5400000" vert="horz"/>
              <a:lstStyle/>
              <a:p>
                <a:pPr>
                  <a:defRPr sz="1400"/>
                </a:pPr>
                <a:r>
                  <a:rPr lang="en-US" sz="1400"/>
                  <a:t>Annual shipments</a:t>
                </a:r>
              </a:p>
            </c:rich>
          </c:tx>
          <c:overlay val="0"/>
        </c:title>
        <c:numFmt formatCode="#,##0" sourceLinked="0"/>
        <c:majorTickMark val="out"/>
        <c:minorTickMark val="none"/>
        <c:tickLblPos val="nextTo"/>
        <c:txPr>
          <a:bodyPr/>
          <a:lstStyle/>
          <a:p>
            <a:pPr>
              <a:defRPr sz="1200"/>
            </a:pPr>
            <a:endParaRPr lang="en-US"/>
          </a:p>
        </c:txPr>
        <c:crossAx val="167421056"/>
        <c:crosses val="autoZero"/>
        <c:crossBetween val="between"/>
        <c:majorUnit val="200000"/>
        <c:minorUnit val="40000"/>
      </c:valAx>
    </c:plotArea>
    <c:legend>
      <c:legendPos val="t"/>
      <c:layout>
        <c:manualLayout>
          <c:xMode val="edge"/>
          <c:yMode val="edge"/>
          <c:x val="0.68327809805522721"/>
          <c:y val="8.5192969975262337E-2"/>
          <c:w val="0.28291640990237549"/>
          <c:h val="0.19249656421284098"/>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65185017536857"/>
          <c:y val="4.437445319335083E-2"/>
          <c:w val="0.85792760567452775"/>
          <c:h val="0.86403869827235957"/>
        </c:manualLayout>
      </c:layout>
      <c:barChart>
        <c:barDir val="col"/>
        <c:grouping val="stacked"/>
        <c:varyColors val="0"/>
        <c:ser>
          <c:idx val="0"/>
          <c:order val="0"/>
          <c:tx>
            <c:strRef>
              <c:f>Summary!$B$156</c:f>
              <c:strCache>
                <c:ptCount val="1"/>
                <c:pt idx="0">
                  <c:v>100G &amp; below</c:v>
                </c:pt>
              </c:strCache>
            </c:strRef>
          </c:tx>
          <c:invertIfNegative val="0"/>
          <c:cat>
            <c:numRef>
              <c:f>Summary!$C$155:$L$155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Summary!$C$156:$L$156</c:f>
              <c:numCache>
                <c:formatCode>_("$"* #,##0_);_("$"* \(#,##0\);_("$"* "-"??_);_(@_)</c:formatCode>
                <c:ptCount val="10"/>
                <c:pt idx="0">
                  <c:v>2677.5690992851864</c:v>
                </c:pt>
                <c:pt idx="1">
                  <c:v>3174.5500728481993</c:v>
                </c:pt>
                <c:pt idx="2">
                  <c:v>3338.5224867253723</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D65-1F4A-9073-3D899F10AD6F}"/>
            </c:ext>
          </c:extLst>
        </c:ser>
        <c:ser>
          <c:idx val="1"/>
          <c:order val="1"/>
          <c:tx>
            <c:strRef>
              <c:f>Summary!$B$157</c:f>
              <c:strCache>
                <c:ptCount val="1"/>
                <c:pt idx="0">
                  <c:v>200G &amp; above</c:v>
                </c:pt>
              </c:strCache>
            </c:strRef>
          </c:tx>
          <c:invertIfNegative val="0"/>
          <c:cat>
            <c:numRef>
              <c:f>Summary!$C$155:$L$155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Summary!$C$157:$L$157</c:f>
              <c:numCache>
                <c:formatCode>_("$"* #,##0_);_("$"* \(#,##0\);_("$"* "-"??_);_(@_)</c:formatCode>
                <c:ptCount val="10"/>
                <c:pt idx="0">
                  <c:v>0</c:v>
                </c:pt>
                <c:pt idx="1">
                  <c:v>1.3482999999999998</c:v>
                </c:pt>
                <c:pt idx="2">
                  <c:v>50.311999999999998</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D65-1F4A-9073-3D899F10AD6F}"/>
            </c:ext>
          </c:extLst>
        </c:ser>
        <c:dLbls>
          <c:showLegendKey val="0"/>
          <c:showVal val="0"/>
          <c:showCatName val="0"/>
          <c:showSerName val="0"/>
          <c:showPercent val="0"/>
          <c:showBubbleSize val="0"/>
        </c:dLbls>
        <c:gapWidth val="150"/>
        <c:overlap val="100"/>
        <c:axId val="167530880"/>
        <c:axId val="167532416"/>
      </c:barChart>
      <c:catAx>
        <c:axId val="167530880"/>
        <c:scaling>
          <c:orientation val="minMax"/>
        </c:scaling>
        <c:delete val="0"/>
        <c:axPos val="b"/>
        <c:numFmt formatCode="General" sourceLinked="1"/>
        <c:majorTickMark val="out"/>
        <c:minorTickMark val="none"/>
        <c:tickLblPos val="nextTo"/>
        <c:txPr>
          <a:bodyPr/>
          <a:lstStyle/>
          <a:p>
            <a:pPr>
              <a:defRPr sz="1200"/>
            </a:pPr>
            <a:endParaRPr lang="en-US"/>
          </a:p>
        </c:txPr>
        <c:crossAx val="167532416"/>
        <c:crosses val="autoZero"/>
        <c:auto val="1"/>
        <c:lblAlgn val="ctr"/>
        <c:lblOffset val="100"/>
        <c:noMultiLvlLbl val="0"/>
      </c:catAx>
      <c:valAx>
        <c:axId val="167532416"/>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5.5310462085552698E-3"/>
              <c:y val="0.27541095281984951"/>
            </c:manualLayout>
          </c:layout>
          <c:overlay val="0"/>
        </c:title>
        <c:numFmt formatCode="&quot;$&quot;#,##0" sourceLinked="0"/>
        <c:majorTickMark val="out"/>
        <c:minorTickMark val="none"/>
        <c:tickLblPos val="nextTo"/>
        <c:txPr>
          <a:bodyPr/>
          <a:lstStyle/>
          <a:p>
            <a:pPr>
              <a:defRPr sz="1200"/>
            </a:pPr>
            <a:endParaRPr lang="en-US"/>
          </a:p>
        </c:txPr>
        <c:crossAx val="167530880"/>
        <c:crosses val="autoZero"/>
        <c:crossBetween val="between"/>
      </c:valAx>
    </c:plotArea>
    <c:legend>
      <c:legendPos val="t"/>
      <c:layout>
        <c:manualLayout>
          <c:xMode val="edge"/>
          <c:yMode val="edge"/>
          <c:x val="0.19283549769638877"/>
          <c:y val="0.10056285528542498"/>
          <c:w val="0.26891121022419684"/>
          <c:h val="0.27324055387042218"/>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50615423506351"/>
          <c:y val="6.190251394785997E-2"/>
          <c:w val="0.81325480929315752"/>
          <c:h val="0.80162524905012333"/>
        </c:manualLayout>
      </c:layout>
      <c:lineChart>
        <c:grouping val="standard"/>
        <c:varyColors val="0"/>
        <c:ser>
          <c:idx val="4"/>
          <c:order val="0"/>
          <c:tx>
            <c:strRef>
              <c:f>Summary!$B$797</c:f>
              <c:strCache>
                <c:ptCount val="1"/>
                <c:pt idx="0">
                  <c:v>2x200 (400G-SR8)</c:v>
                </c:pt>
              </c:strCache>
            </c:strRef>
          </c:tx>
          <c:cat>
            <c:numRef>
              <c:f>Summary!$E$796:$L$796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Summary!$E$797:$L$797</c:f>
              <c:numCache>
                <c:formatCode>_("$"* #,##0_);_("$"* \(#,##0\);_("$"* "-"??_);_(@_)</c:formatCode>
                <c:ptCount val="8"/>
                <c:pt idx="0">
                  <c:v>644</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9FA8-EB42-B351-4C0ACF768605}"/>
            </c:ext>
          </c:extLst>
        </c:ser>
        <c:ser>
          <c:idx val="2"/>
          <c:order val="1"/>
          <c:tx>
            <c:strRef>
              <c:f>Summary!$B$798</c:f>
              <c:strCache>
                <c:ptCount val="1"/>
                <c:pt idx="0">
                  <c:v>400G SR4.2, SR4</c:v>
                </c:pt>
              </c:strCache>
            </c:strRef>
          </c:tx>
          <c:spPr>
            <a:ln>
              <a:solidFill>
                <a:schemeClr val="accent2"/>
              </a:solidFill>
            </a:ln>
          </c:spPr>
          <c:marker>
            <c:spPr>
              <a:solidFill>
                <a:schemeClr val="accent2"/>
              </a:solidFill>
              <a:ln>
                <a:solidFill>
                  <a:schemeClr val="accent2"/>
                </a:solidFill>
              </a:ln>
            </c:spPr>
          </c:marker>
          <c:cat>
            <c:numRef>
              <c:f>Summary!$E$796:$L$796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Summary!$E$798:$L$798</c:f>
              <c:numCache>
                <c:formatCode>_("$"* #,##0_);_("$"* \(#,##0\);_("$"* "-"??_);_(@_)</c:formatCode>
                <c:ptCount val="8"/>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28FB-3C42-9AE7-8CFF292F800D}"/>
            </c:ext>
          </c:extLst>
        </c:ser>
        <c:ser>
          <c:idx val="0"/>
          <c:order val="2"/>
          <c:tx>
            <c:strRef>
              <c:f>Summary!$B$799</c:f>
              <c:strCache>
                <c:ptCount val="1"/>
                <c:pt idx="0">
                  <c:v>400G DR4</c:v>
                </c:pt>
              </c:strCache>
            </c:strRef>
          </c:tx>
          <c:cat>
            <c:numRef>
              <c:f>Summary!$E$796:$L$796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Summary!$E$799:$L$799</c:f>
              <c:numCache>
                <c:formatCode>_("$"* #,##0_);_("$"* \(#,##0\);_("$"* "-"??_);_(@_)</c:formatCode>
                <c:ptCount val="8"/>
                <c:pt idx="0">
                  <c:v>1100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1-28FB-3C42-9AE7-8CFF292F800D}"/>
            </c:ext>
          </c:extLst>
        </c:ser>
        <c:ser>
          <c:idx val="5"/>
          <c:order val="3"/>
          <c:tx>
            <c:strRef>
              <c:f>Summary!$B$800</c:f>
              <c:strCache>
                <c:ptCount val="1"/>
                <c:pt idx="0">
                  <c:v>2x(200G FR4)</c:v>
                </c:pt>
              </c:strCache>
            </c:strRef>
          </c:tx>
          <c:cat>
            <c:numRef>
              <c:f>Summary!$E$796:$L$796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Summary!$E$800:$L$800</c:f>
              <c:numCache>
                <c:formatCode>_("$"* #,##0_);_("$"* \(#,##0\);_("$"* "-"??_);_(@_)</c:formatCode>
                <c:ptCount val="8"/>
                <c:pt idx="0">
                  <c:v>1850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1-9FA8-EB42-B351-4C0ACF768605}"/>
            </c:ext>
          </c:extLst>
        </c:ser>
        <c:ser>
          <c:idx val="1"/>
          <c:order val="4"/>
          <c:tx>
            <c:strRef>
              <c:f>Summary!$B$801</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Summary!$E$796:$L$796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Summary!$E$801:$L$801</c:f>
              <c:numCache>
                <c:formatCode>_("$"* #,##0_);_("$"* \(#,##0\);_("$"* "-"??_);_(@_)</c:formatCode>
                <c:ptCount val="8"/>
                <c:pt idx="0">
                  <c:v>2000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2-28FB-3C42-9AE7-8CFF292F800D}"/>
            </c:ext>
          </c:extLst>
        </c:ser>
        <c:ser>
          <c:idx val="3"/>
          <c:order val="5"/>
          <c:tx>
            <c:strRef>
              <c:f>Summary!$B$802</c:f>
              <c:strCache>
                <c:ptCount val="1"/>
                <c:pt idx="0">
                  <c:v>400G LR4, LR8</c:v>
                </c:pt>
              </c:strCache>
            </c:strRef>
          </c:tx>
          <c:spPr>
            <a:ln>
              <a:solidFill>
                <a:schemeClr val="accent3"/>
              </a:solidFill>
            </a:ln>
          </c:spPr>
          <c:marker>
            <c:symbol val="x"/>
            <c:size val="5"/>
            <c:spPr>
              <a:solidFill>
                <a:schemeClr val="accent3"/>
              </a:solidFill>
              <a:ln>
                <a:solidFill>
                  <a:schemeClr val="accent3"/>
                </a:solidFill>
              </a:ln>
            </c:spPr>
          </c:marker>
          <c:cat>
            <c:numRef>
              <c:f>Summary!$E$796:$L$796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Summary!$E$802:$L$802</c:f>
              <c:numCache>
                <c:formatCode>_("$"* #,##0_);_("$"* \(#,##0\);_("$"* "-"??_);_(@_)</c:formatCode>
                <c:ptCount val="8"/>
                <c:pt idx="0">
                  <c:v>8000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3-28FB-3C42-9AE7-8CFF292F800D}"/>
            </c:ext>
          </c:extLst>
        </c:ser>
        <c:dLbls>
          <c:showLegendKey val="0"/>
          <c:showVal val="0"/>
          <c:showCatName val="0"/>
          <c:showSerName val="0"/>
          <c:showPercent val="0"/>
          <c:showBubbleSize val="0"/>
        </c:dLbls>
        <c:marker val="1"/>
        <c:smooth val="0"/>
        <c:axId val="168505344"/>
        <c:axId val="168507264"/>
      </c:lineChart>
      <c:catAx>
        <c:axId val="168505344"/>
        <c:scaling>
          <c:orientation val="minMax"/>
        </c:scaling>
        <c:delete val="0"/>
        <c:axPos val="b"/>
        <c:numFmt formatCode="General" sourceLinked="1"/>
        <c:majorTickMark val="out"/>
        <c:minorTickMark val="none"/>
        <c:tickLblPos val="nextTo"/>
        <c:txPr>
          <a:bodyPr/>
          <a:lstStyle/>
          <a:p>
            <a:pPr>
              <a:defRPr sz="1000"/>
            </a:pPr>
            <a:endParaRPr lang="en-US"/>
          </a:p>
        </c:txPr>
        <c:crossAx val="168507264"/>
        <c:crosses val="autoZero"/>
        <c:auto val="1"/>
        <c:lblAlgn val="ctr"/>
        <c:lblOffset val="100"/>
        <c:noMultiLvlLbl val="0"/>
      </c:catAx>
      <c:valAx>
        <c:axId val="168507264"/>
        <c:scaling>
          <c:orientation val="minMax"/>
          <c:max val="8000"/>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68505344"/>
        <c:crosses val="autoZero"/>
        <c:crossBetween val="between"/>
        <c:majorUnit val="1000"/>
      </c:valAx>
    </c:plotArea>
    <c:legend>
      <c:legendPos val="t"/>
      <c:layout>
        <c:manualLayout>
          <c:xMode val="edge"/>
          <c:yMode val="edge"/>
          <c:x val="0.67592147069466701"/>
          <c:y val="5.7086161098234174E-2"/>
          <c:w val="0.27979222610853038"/>
          <c:h val="0.482680053821502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4"/>
          <c:order val="0"/>
          <c:tx>
            <c:strRef>
              <c:f>Summary!$B$807</c:f>
              <c:strCache>
                <c:ptCount val="1"/>
                <c:pt idx="0">
                  <c:v>2x200 (400G-SR8)</c:v>
                </c:pt>
              </c:strCache>
            </c:strRef>
          </c:tx>
          <c:cat>
            <c:numRef>
              <c:f>Summary!$E$806:$L$806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Summary!$E$807:$L$807</c:f>
              <c:numCache>
                <c:formatCode>_("$"* #,##0_);_("$"* \(#,##0\);_("$"* "-"??_);_(@_)</c:formatCode>
                <c:ptCount val="8"/>
                <c:pt idx="0">
                  <c:v>14.811999999999999</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E28E-6349-9E2D-3ACD9D65BFDB}"/>
            </c:ext>
          </c:extLst>
        </c:ser>
        <c:ser>
          <c:idx val="2"/>
          <c:order val="1"/>
          <c:tx>
            <c:strRef>
              <c:f>Summary!$B$808</c:f>
              <c:strCache>
                <c:ptCount val="1"/>
                <c:pt idx="0">
                  <c:v>400G SR4.2, SR4</c:v>
                </c:pt>
              </c:strCache>
            </c:strRef>
          </c:tx>
          <c:spPr>
            <a:ln>
              <a:solidFill>
                <a:schemeClr val="accent2"/>
              </a:solidFill>
            </a:ln>
          </c:spPr>
          <c:marker>
            <c:spPr>
              <a:solidFill>
                <a:schemeClr val="accent2"/>
              </a:solidFill>
              <a:ln>
                <a:solidFill>
                  <a:schemeClr val="accent2"/>
                </a:solidFill>
              </a:ln>
            </c:spPr>
          </c:marker>
          <c:cat>
            <c:numRef>
              <c:f>Summary!$E$806:$L$806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Summary!$E$808:$L$808</c:f>
              <c:numCache>
                <c:formatCode>_("$"* #,##0_);_("$"* \(#,##0\);_("$"* "-"??_);_(@_)</c:formatCode>
                <c:ptCount val="8"/>
                <c:pt idx="0">
                  <c:v>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5A8F-0344-B2CD-C518500A5542}"/>
            </c:ext>
          </c:extLst>
        </c:ser>
        <c:ser>
          <c:idx val="0"/>
          <c:order val="2"/>
          <c:tx>
            <c:strRef>
              <c:f>Summary!$B$809</c:f>
              <c:strCache>
                <c:ptCount val="1"/>
                <c:pt idx="0">
                  <c:v>400G DR4</c:v>
                </c:pt>
              </c:strCache>
            </c:strRef>
          </c:tx>
          <c:cat>
            <c:numRef>
              <c:f>Summary!$E$806:$L$806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Summary!$E$809:$L$809</c:f>
              <c:numCache>
                <c:formatCode>_("$"* #,##0_);_("$"* \(#,##0\);_("$"* "-"??_);_(@_)</c:formatCode>
                <c:ptCount val="8"/>
                <c:pt idx="0">
                  <c:v>2.2000000000000002</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1-5A8F-0344-B2CD-C518500A5542}"/>
            </c:ext>
          </c:extLst>
        </c:ser>
        <c:ser>
          <c:idx val="5"/>
          <c:order val="3"/>
          <c:tx>
            <c:strRef>
              <c:f>Summary!$B$810</c:f>
              <c:strCache>
                <c:ptCount val="1"/>
                <c:pt idx="0">
                  <c:v>2x(200G FR4)</c:v>
                </c:pt>
              </c:strCache>
            </c:strRef>
          </c:tx>
          <c:cat>
            <c:numRef>
              <c:f>Summary!$E$806:$L$806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Summary!$E$810:$L$810</c:f>
              <c:numCache>
                <c:formatCode>_("$"* #,##0_);_("$"* \(#,##0\);_("$"* "-"??_);_(@_)</c:formatCode>
                <c:ptCount val="8"/>
                <c:pt idx="0">
                  <c:v>22.2</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1-E28E-6349-9E2D-3ACD9D65BFDB}"/>
            </c:ext>
          </c:extLst>
        </c:ser>
        <c:ser>
          <c:idx val="1"/>
          <c:order val="4"/>
          <c:tx>
            <c:strRef>
              <c:f>Summary!$B$811</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Summary!$E$806:$L$806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Summary!$E$811:$L$811</c:f>
              <c:numCache>
                <c:formatCode>_("$"* #,##0_);_("$"* \(#,##0\);_("$"* "-"??_);_(@_)</c:formatCode>
                <c:ptCount val="8"/>
                <c:pt idx="0">
                  <c:v>2</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2-5A8F-0344-B2CD-C518500A5542}"/>
            </c:ext>
          </c:extLst>
        </c:ser>
        <c:ser>
          <c:idx val="3"/>
          <c:order val="5"/>
          <c:tx>
            <c:strRef>
              <c:f>Summary!$B$812</c:f>
              <c:strCache>
                <c:ptCount val="1"/>
                <c:pt idx="0">
                  <c:v>400G LR4, LR8</c:v>
                </c:pt>
              </c:strCache>
            </c:strRef>
          </c:tx>
          <c:spPr>
            <a:ln>
              <a:solidFill>
                <a:schemeClr val="accent3"/>
              </a:solidFill>
            </a:ln>
          </c:spPr>
          <c:marker>
            <c:symbol val="x"/>
            <c:size val="5"/>
            <c:spPr>
              <a:solidFill>
                <a:schemeClr val="accent3"/>
              </a:solidFill>
              <a:ln>
                <a:solidFill>
                  <a:schemeClr val="accent3"/>
                </a:solidFill>
              </a:ln>
            </c:spPr>
          </c:marker>
          <c:cat>
            <c:numRef>
              <c:f>Summary!$E$806:$L$806</c:f>
              <c:numCache>
                <c:formatCode>General</c:formatCode>
                <c:ptCount val="8"/>
                <c:pt idx="0">
                  <c:v>2018</c:v>
                </c:pt>
                <c:pt idx="1">
                  <c:v>2019</c:v>
                </c:pt>
                <c:pt idx="2">
                  <c:v>2020</c:v>
                </c:pt>
                <c:pt idx="3">
                  <c:v>2021</c:v>
                </c:pt>
                <c:pt idx="4">
                  <c:v>2022</c:v>
                </c:pt>
                <c:pt idx="5">
                  <c:v>2023</c:v>
                </c:pt>
                <c:pt idx="6">
                  <c:v>2024</c:v>
                </c:pt>
                <c:pt idx="7">
                  <c:v>2025</c:v>
                </c:pt>
              </c:numCache>
            </c:numRef>
          </c:cat>
          <c:val>
            <c:numRef>
              <c:f>Summary!$E$812:$L$812</c:f>
              <c:numCache>
                <c:formatCode>_("$"* #,##0_);_("$"* \(#,##0\);_("$"* "-"??_);_(@_)</c:formatCode>
                <c:ptCount val="8"/>
                <c:pt idx="0">
                  <c:v>8</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3-5A8F-0344-B2CD-C518500A5542}"/>
            </c:ext>
          </c:extLst>
        </c:ser>
        <c:dLbls>
          <c:showLegendKey val="0"/>
          <c:showVal val="0"/>
          <c:showCatName val="0"/>
          <c:showSerName val="0"/>
          <c:showPercent val="0"/>
          <c:showBubbleSize val="0"/>
        </c:dLbls>
        <c:marker val="1"/>
        <c:smooth val="0"/>
        <c:axId val="168563072"/>
        <c:axId val="168564992"/>
      </c:lineChart>
      <c:catAx>
        <c:axId val="168563072"/>
        <c:scaling>
          <c:orientation val="minMax"/>
        </c:scaling>
        <c:delete val="0"/>
        <c:axPos val="b"/>
        <c:numFmt formatCode="General" sourceLinked="1"/>
        <c:majorTickMark val="out"/>
        <c:minorTickMark val="none"/>
        <c:tickLblPos val="nextTo"/>
        <c:txPr>
          <a:bodyPr/>
          <a:lstStyle/>
          <a:p>
            <a:pPr>
              <a:defRPr sz="1000"/>
            </a:pPr>
            <a:endParaRPr lang="en-US"/>
          </a:p>
        </c:txPr>
        <c:crossAx val="168564992"/>
        <c:crosses val="autoZero"/>
        <c:auto val="1"/>
        <c:lblAlgn val="ctr"/>
        <c:lblOffset val="100"/>
        <c:noMultiLvlLbl val="0"/>
      </c:catAx>
      <c:valAx>
        <c:axId val="168564992"/>
        <c:scaling>
          <c:orientation val="minMax"/>
        </c:scaling>
        <c:delete val="0"/>
        <c:axPos val="l"/>
        <c:majorGridlines/>
        <c:title>
          <c:tx>
            <c:rich>
              <a:bodyPr rot="-5400000" vert="horz"/>
              <a:lstStyle/>
              <a:p>
                <a:pPr>
                  <a:defRPr sz="1400" b="1"/>
                </a:pPr>
                <a:r>
                  <a:rPr lang="en-US" sz="1400" b="1"/>
                  <a:t>Annual sales ($ mn)</a:t>
                </a:r>
              </a:p>
            </c:rich>
          </c:tx>
          <c:layout/>
          <c:overlay val="0"/>
        </c:title>
        <c:numFmt formatCode="&quot;$&quot;#,##0" sourceLinked="0"/>
        <c:majorTickMark val="out"/>
        <c:minorTickMark val="none"/>
        <c:tickLblPos val="nextTo"/>
        <c:txPr>
          <a:bodyPr/>
          <a:lstStyle/>
          <a:p>
            <a:pPr>
              <a:defRPr sz="1000"/>
            </a:pPr>
            <a:endParaRPr lang="en-US"/>
          </a:p>
        </c:txPr>
        <c:crossAx val="168563072"/>
        <c:crosses val="autoZero"/>
        <c:crossBetween val="between"/>
      </c:valAx>
    </c:plotArea>
    <c:legend>
      <c:legendPos val="t"/>
      <c:layout>
        <c:manualLayout>
          <c:xMode val="edge"/>
          <c:yMode val="edge"/>
          <c:x val="0.16027562109691451"/>
          <c:y val="6.7775774116052359E-2"/>
          <c:w val="0.27676130690615952"/>
          <c:h val="0.48163241677570939"/>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5326037567475"/>
          <c:y val="5.4018998573214502E-2"/>
          <c:w val="0.76592980235172881"/>
          <c:h val="0.84443661907320178"/>
        </c:manualLayout>
      </c:layout>
      <c:barChart>
        <c:barDir val="col"/>
        <c:grouping val="percentStacked"/>
        <c:varyColors val="0"/>
        <c:ser>
          <c:idx val="0"/>
          <c:order val="0"/>
          <c:tx>
            <c:strRef>
              <c:f>Summary!$B$287</c:f>
              <c:strCache>
                <c:ptCount val="1"/>
                <c:pt idx="0">
                  <c:v>&lt;10G</c:v>
                </c:pt>
              </c:strCache>
            </c:strRef>
          </c:tx>
          <c:invertIfNegative val="0"/>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Summary!$C$287:$L$287</c:f>
              <c:numCache>
                <c:formatCode>0%</c:formatCode>
                <c:ptCount val="10"/>
                <c:pt idx="0">
                  <c:v>0.37511818939959324</c:v>
                </c:pt>
                <c:pt idx="1">
                  <c:v>0.2960701521301668</c:v>
                </c:pt>
                <c:pt idx="2">
                  <c:v>0.3113323312487789</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FE0-454F-A242-48CB1A2C7A29}"/>
            </c:ext>
          </c:extLst>
        </c:ser>
        <c:ser>
          <c:idx val="1"/>
          <c:order val="1"/>
          <c:tx>
            <c:strRef>
              <c:f>Summary!$B$288</c:f>
              <c:strCache>
                <c:ptCount val="1"/>
                <c:pt idx="0">
                  <c:v>10G</c:v>
                </c:pt>
              </c:strCache>
            </c:strRef>
          </c:tx>
          <c:invertIfNegative val="0"/>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Summary!$C$288:$L$288</c:f>
              <c:numCache>
                <c:formatCode>0%</c:formatCode>
                <c:ptCount val="10"/>
                <c:pt idx="0">
                  <c:v>0.59913931153889233</c:v>
                </c:pt>
                <c:pt idx="1">
                  <c:v>0.62527752748127097</c:v>
                </c:pt>
                <c:pt idx="2">
                  <c:v>0.54530752660795867</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FE0-454F-A242-48CB1A2C7A29}"/>
            </c:ext>
          </c:extLst>
        </c:ser>
        <c:ser>
          <c:idx val="2"/>
          <c:order val="2"/>
          <c:tx>
            <c:strRef>
              <c:f>Summary!$B$289</c:f>
              <c:strCache>
                <c:ptCount val="1"/>
                <c:pt idx="0">
                  <c:v>25G</c:v>
                </c:pt>
              </c:strCache>
            </c:strRef>
          </c:tx>
          <c:invertIfNegative val="0"/>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Summary!$C$289:$L$289</c:f>
              <c:numCache>
                <c:formatCode>0.0%</c:formatCode>
                <c:ptCount val="10"/>
                <c:pt idx="0">
                  <c:v>2.5742499061514355E-2</c:v>
                </c:pt>
                <c:pt idx="1">
                  <c:v>7.8649983067619847E-2</c:v>
                </c:pt>
                <c:pt idx="2">
                  <c:v>0.13916966578490775</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FE0-454F-A242-48CB1A2C7A29}"/>
            </c:ext>
          </c:extLst>
        </c:ser>
        <c:ser>
          <c:idx val="3"/>
          <c:order val="3"/>
          <c:tx>
            <c:strRef>
              <c:f>Summary!$B$290</c:f>
              <c:strCache>
                <c:ptCount val="1"/>
                <c:pt idx="0">
                  <c:v>50G</c:v>
                </c:pt>
              </c:strCache>
            </c:strRef>
          </c:tx>
          <c:invertIfNegative val="0"/>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Summary!$C$290:$L$290</c:f>
              <c:numCache>
                <c:formatCode>0.0%</c:formatCode>
                <c:ptCount val="10"/>
                <c:pt idx="2">
                  <c:v>4.0602024819290901E-3</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FE0-454F-A242-48CB1A2C7A29}"/>
            </c:ext>
          </c:extLst>
        </c:ser>
        <c:ser>
          <c:idx val="4"/>
          <c:order val="4"/>
          <c:tx>
            <c:strRef>
              <c:f>Summary!$B$291</c:f>
              <c:strCache>
                <c:ptCount val="1"/>
                <c:pt idx="0">
                  <c:v>100G</c:v>
                </c:pt>
              </c:strCache>
            </c:strRef>
          </c:tx>
          <c:invertIfNegative val="0"/>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Summary!$C$291:$L$291</c:f>
              <c:numCache>
                <c:formatCode>0.0%</c:formatCode>
                <c:ptCount val="10"/>
                <c:pt idx="2">
                  <c:v>1.302738764255323E-4</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B0B-DE4A-BA78-6B9328B11BC4}"/>
            </c:ext>
          </c:extLst>
        </c:ser>
        <c:dLbls>
          <c:showLegendKey val="0"/>
          <c:showVal val="0"/>
          <c:showCatName val="0"/>
          <c:showSerName val="0"/>
          <c:showPercent val="0"/>
          <c:showBubbleSize val="0"/>
        </c:dLbls>
        <c:gapWidth val="150"/>
        <c:overlap val="100"/>
        <c:axId val="123145216"/>
        <c:axId val="123155200"/>
      </c:barChart>
      <c:catAx>
        <c:axId val="123145216"/>
        <c:scaling>
          <c:orientation val="minMax"/>
        </c:scaling>
        <c:delete val="0"/>
        <c:axPos val="b"/>
        <c:numFmt formatCode="General" sourceLinked="1"/>
        <c:majorTickMark val="out"/>
        <c:minorTickMark val="none"/>
        <c:tickLblPos val="nextTo"/>
        <c:crossAx val="123155200"/>
        <c:crosses val="autoZero"/>
        <c:auto val="1"/>
        <c:lblAlgn val="ctr"/>
        <c:lblOffset val="100"/>
        <c:noMultiLvlLbl val="0"/>
      </c:catAx>
      <c:valAx>
        <c:axId val="123155200"/>
        <c:scaling>
          <c:orientation val="minMax"/>
        </c:scaling>
        <c:delete val="0"/>
        <c:axPos val="l"/>
        <c:majorGridlines/>
        <c:title>
          <c:tx>
            <c:rich>
              <a:bodyPr rot="-5400000" vert="horz"/>
              <a:lstStyle/>
              <a:p>
                <a:pPr>
                  <a:defRPr sz="1400"/>
                </a:pPr>
                <a:r>
                  <a:rPr lang="en-US" sz="1400"/>
                  <a:t>Percentage of annual shipments</a:t>
                </a:r>
              </a:p>
            </c:rich>
          </c:tx>
          <c:layout>
            <c:manualLayout>
              <c:xMode val="edge"/>
              <c:yMode val="edge"/>
              <c:x val="1.1455148517178142E-2"/>
              <c:y val="0.14361602629542083"/>
            </c:manualLayout>
          </c:layout>
          <c:overlay val="0"/>
        </c:title>
        <c:numFmt formatCode="0%" sourceLinked="1"/>
        <c:majorTickMark val="out"/>
        <c:minorTickMark val="none"/>
        <c:tickLblPos val="nextTo"/>
        <c:crossAx val="123145216"/>
        <c:crosses val="autoZero"/>
        <c:crossBetween val="between"/>
      </c:valAx>
    </c:plotArea>
    <c:legend>
      <c:legendPos val="r"/>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6146186160264"/>
          <c:y val="6.0951673434733837E-2"/>
          <c:w val="0.80031733337751831"/>
          <c:h val="0.80981094264192022"/>
        </c:manualLayout>
      </c:layout>
      <c:lineChart>
        <c:grouping val="standard"/>
        <c:varyColors val="0"/>
        <c:ser>
          <c:idx val="2"/>
          <c:order val="0"/>
          <c:tx>
            <c:strRef>
              <c:f>Summary!$B$752</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Summary!$E$751:$L$751</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Summary!$E$752:$L$752</c:f>
              <c:numCache>
                <c:formatCode>_("$"* #,##0_);_("$"* \(#,##0\);_("$"* "-"??_);_(@_)</c:formatCode>
                <c:ptCount val="8"/>
                <c:pt idx="0">
                  <c:v>700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A4F2-C741-96FE-00D9A2EBDED0}"/>
            </c:ext>
          </c:extLst>
        </c:ser>
        <c:ser>
          <c:idx val="3"/>
          <c:order val="1"/>
          <c:tx>
            <c:strRef>
              <c:f>Summary!$B$753</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Summary!$E$751:$L$751</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Summary!$E$753:$L$753</c:f>
              <c:numCache>
                <c:formatCode>_("$"* #,##0_);_("$"* \(#,##0\);_("$"* "-"??_);_(@_)</c:formatCode>
                <c:ptCount val="8"/>
                <c:pt idx="0">
                  <c:v>1500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3-A4F2-C741-96FE-00D9A2EBDED0}"/>
            </c:ext>
          </c:extLst>
        </c:ser>
        <c:dLbls>
          <c:showLegendKey val="0"/>
          <c:showVal val="0"/>
          <c:showCatName val="0"/>
          <c:showSerName val="0"/>
          <c:showPercent val="0"/>
          <c:showBubbleSize val="0"/>
        </c:dLbls>
        <c:marker val="1"/>
        <c:smooth val="0"/>
        <c:axId val="168586624"/>
        <c:axId val="168596992"/>
      </c:lineChart>
      <c:catAx>
        <c:axId val="168586624"/>
        <c:scaling>
          <c:orientation val="minMax"/>
        </c:scaling>
        <c:delete val="0"/>
        <c:axPos val="b"/>
        <c:numFmt formatCode="General" sourceLinked="1"/>
        <c:majorTickMark val="out"/>
        <c:minorTickMark val="none"/>
        <c:tickLblPos val="nextTo"/>
        <c:txPr>
          <a:bodyPr/>
          <a:lstStyle/>
          <a:p>
            <a:pPr>
              <a:defRPr sz="1000"/>
            </a:pPr>
            <a:endParaRPr lang="en-US"/>
          </a:p>
        </c:txPr>
        <c:crossAx val="168596992"/>
        <c:crosses val="autoZero"/>
        <c:auto val="1"/>
        <c:lblAlgn val="ctr"/>
        <c:lblOffset val="100"/>
        <c:noMultiLvlLbl val="0"/>
      </c:catAx>
      <c:valAx>
        <c:axId val="168596992"/>
        <c:scaling>
          <c:orientation val="minMax"/>
          <c:max val="2000"/>
          <c:min val="0"/>
        </c:scaling>
        <c:delete val="0"/>
        <c:axPos val="l"/>
        <c:majorGridlines/>
        <c:title>
          <c:tx>
            <c:rich>
              <a:bodyPr rot="-5400000" vert="horz"/>
              <a:lstStyle/>
              <a:p>
                <a:pPr>
                  <a:defRPr sz="1400"/>
                </a:pPr>
                <a:r>
                  <a:rPr lang="en-US" sz="1400"/>
                  <a:t>A.S.P.s</a:t>
                </a:r>
              </a:p>
            </c:rich>
          </c:tx>
          <c:layout>
            <c:manualLayout>
              <c:xMode val="edge"/>
              <c:yMode val="edge"/>
              <c:x val="1.5598858447983664E-2"/>
              <c:y val="0.34825786054640484"/>
            </c:manualLayout>
          </c:layout>
          <c:overlay val="0"/>
        </c:title>
        <c:numFmt formatCode="&quot;$&quot;#,##0" sourceLinked="0"/>
        <c:majorTickMark val="out"/>
        <c:minorTickMark val="none"/>
        <c:tickLblPos val="nextTo"/>
        <c:txPr>
          <a:bodyPr/>
          <a:lstStyle/>
          <a:p>
            <a:pPr>
              <a:defRPr sz="1000"/>
            </a:pPr>
            <a:endParaRPr lang="en-US"/>
          </a:p>
        </c:txPr>
        <c:crossAx val="168586624"/>
        <c:crosses val="autoZero"/>
        <c:crossBetween val="between"/>
      </c:valAx>
    </c:plotArea>
    <c:legend>
      <c:legendPos val="t"/>
      <c:layout>
        <c:manualLayout>
          <c:xMode val="edge"/>
          <c:yMode val="edge"/>
          <c:x val="0.54438731796011863"/>
          <c:y val="7.8414044769539726E-2"/>
          <c:w val="0.41814267641708136"/>
          <c:h val="0.1703693168984273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72379328255714"/>
          <c:y val="6.973302069610951E-2"/>
          <c:w val="0.8289118183053803"/>
          <c:h val="0.80479041220011782"/>
        </c:manualLayout>
      </c:layout>
      <c:lineChart>
        <c:grouping val="standard"/>
        <c:varyColors val="0"/>
        <c:ser>
          <c:idx val="2"/>
          <c:order val="0"/>
          <c:tx>
            <c:strRef>
              <c:f>Summary!$B$758</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Summary!$E$757:$L$757</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Summary!$E$758:$L$758</c:f>
              <c:numCache>
                <c:formatCode>_("$"* #,##0_);_("$"* \(#,##0\);_("$"* "-"??_);_(@_)</c:formatCode>
                <c:ptCount val="8"/>
                <c:pt idx="0" formatCode="_(&quot;$&quot;* #,##0.0_);_(&quot;$&quot;* \(#,##0.0\);_(&quot;$&quot;* &quot;-&quot;??_);_(@_)">
                  <c:v>0.35</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4C63-CF4F-A7FF-3AD7FC68B5AA}"/>
            </c:ext>
          </c:extLst>
        </c:ser>
        <c:ser>
          <c:idx val="3"/>
          <c:order val="1"/>
          <c:tx>
            <c:strRef>
              <c:f>Summary!$B$759</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Summary!$E$757:$L$757</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Summary!$E$759:$L$759</c:f>
              <c:numCache>
                <c:formatCode>_("$"* #,##0_);_("$"* \(#,##0\);_("$"* "-"??_);_(@_)</c:formatCode>
                <c:ptCount val="8"/>
                <c:pt idx="0">
                  <c:v>0.75</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3-4C63-CF4F-A7FF-3AD7FC68B5AA}"/>
            </c:ext>
          </c:extLst>
        </c:ser>
        <c:dLbls>
          <c:showLegendKey val="0"/>
          <c:showVal val="0"/>
          <c:showCatName val="0"/>
          <c:showSerName val="0"/>
          <c:showPercent val="0"/>
          <c:showBubbleSize val="0"/>
        </c:dLbls>
        <c:marker val="1"/>
        <c:smooth val="0"/>
        <c:axId val="168835712"/>
        <c:axId val="168841984"/>
      </c:lineChart>
      <c:catAx>
        <c:axId val="168835712"/>
        <c:scaling>
          <c:orientation val="minMax"/>
        </c:scaling>
        <c:delete val="0"/>
        <c:axPos val="b"/>
        <c:numFmt formatCode="General" sourceLinked="1"/>
        <c:majorTickMark val="out"/>
        <c:minorTickMark val="none"/>
        <c:tickLblPos val="nextTo"/>
        <c:txPr>
          <a:bodyPr/>
          <a:lstStyle/>
          <a:p>
            <a:pPr>
              <a:defRPr sz="1200"/>
            </a:pPr>
            <a:endParaRPr lang="en-US"/>
          </a:p>
        </c:txPr>
        <c:crossAx val="168841984"/>
        <c:crosses val="autoZero"/>
        <c:auto val="1"/>
        <c:lblAlgn val="ctr"/>
        <c:lblOffset val="100"/>
        <c:noMultiLvlLbl val="0"/>
      </c:catAx>
      <c:valAx>
        <c:axId val="168841984"/>
        <c:scaling>
          <c:orientation val="minMax"/>
          <c:min val="0"/>
        </c:scaling>
        <c:delete val="0"/>
        <c:axPos val="l"/>
        <c:majorGridlines/>
        <c:title>
          <c:tx>
            <c:rich>
              <a:bodyPr rot="-5400000" vert="horz"/>
              <a:lstStyle/>
              <a:p>
                <a:pPr>
                  <a:defRPr sz="1400" b="1"/>
                </a:pPr>
                <a:r>
                  <a:rPr lang="en-US" sz="1400" b="1"/>
                  <a:t>Annual</a:t>
                </a:r>
                <a:r>
                  <a:rPr lang="en-US" sz="1400" b="1" baseline="0"/>
                  <a:t> sales ($ mn)</a:t>
                </a:r>
              </a:p>
            </c:rich>
          </c:tx>
          <c:layout>
            <c:manualLayout>
              <c:xMode val="edge"/>
              <c:yMode val="edge"/>
              <c:x val="1.0759990422942635E-2"/>
              <c:y val="0.20828817192067209"/>
            </c:manualLayout>
          </c:layout>
          <c:overlay val="0"/>
        </c:title>
        <c:numFmt formatCode="&quot;$&quot;#,##0" sourceLinked="0"/>
        <c:majorTickMark val="out"/>
        <c:minorTickMark val="none"/>
        <c:tickLblPos val="nextTo"/>
        <c:txPr>
          <a:bodyPr/>
          <a:lstStyle/>
          <a:p>
            <a:pPr>
              <a:defRPr sz="1200"/>
            </a:pPr>
            <a:endParaRPr lang="en-US"/>
          </a:p>
        </c:txPr>
        <c:crossAx val="168835712"/>
        <c:crosses val="autoZero"/>
        <c:crossBetween val="between"/>
      </c:valAx>
    </c:plotArea>
    <c:legend>
      <c:legendPos val="t"/>
      <c:layout>
        <c:manualLayout>
          <c:xMode val="edge"/>
          <c:yMode val="edge"/>
          <c:x val="0.17237686337008845"/>
          <c:y val="0.10914755789349502"/>
          <c:w val="0.35163419557859182"/>
          <c:h val="0.1653806191031520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0198147503432"/>
          <c:y val="4.1806643807077118E-2"/>
          <c:w val="0.8154383230082296"/>
          <c:h val="0.87628672050094214"/>
        </c:manualLayout>
      </c:layout>
      <c:lineChart>
        <c:grouping val="standard"/>
        <c:varyColors val="0"/>
        <c:ser>
          <c:idx val="0"/>
          <c:order val="0"/>
          <c:tx>
            <c:strRef>
              <c:f>Summary!$B$663</c:f>
              <c:strCache>
                <c:ptCount val="1"/>
                <c:pt idx="0">
                  <c:v>100G PSM4_500 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Summary!$C$663:$L$663</c:f>
              <c:numCache>
                <c:formatCode>_("$"* #,##0_);_("$"* \(#,##0\);_("$"* "-"??_);_(@_)</c:formatCode>
                <c:ptCount val="10"/>
                <c:pt idx="0">
                  <c:v>67.773890240000014</c:v>
                </c:pt>
                <c:pt idx="1">
                  <c:v>158.09400299999999</c:v>
                </c:pt>
                <c:pt idx="2">
                  <c:v>96.70092799999999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2EA6-BF44-B2F8-6D059DB7EF7D}"/>
            </c:ext>
          </c:extLst>
        </c:ser>
        <c:ser>
          <c:idx val="1"/>
          <c:order val="1"/>
          <c:tx>
            <c:strRef>
              <c:f>Summary!$B$664</c:f>
              <c:strCache>
                <c:ptCount val="1"/>
                <c:pt idx="0">
                  <c:v>100G DR_500 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Summary!$C$664:$L$664</c:f>
              <c:numCache>
                <c:formatCode>_("$"* #,##0_);_("$"* \(#,##0\);_("$"* "-"??_);_(@_)</c:formatCode>
                <c:ptCount val="10"/>
                <c:pt idx="0">
                  <c:v>0</c:v>
                </c:pt>
                <c:pt idx="1">
                  <c:v>0</c:v>
                </c:pt>
                <c:pt idx="2">
                  <c:v>1.2</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2EA6-BF44-B2F8-6D059DB7EF7D}"/>
            </c:ext>
          </c:extLst>
        </c:ser>
        <c:ser>
          <c:idx val="2"/>
          <c:order val="2"/>
          <c:tx>
            <c:strRef>
              <c:f>Summary!$B$665</c:f>
              <c:strCache>
                <c:ptCount val="1"/>
                <c:pt idx="0">
                  <c:v>100G CWDM4-subspec_500 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Summary!$C$665:$L$665</c:f>
              <c:numCache>
                <c:formatCode>_("$"* #,##0_);_("$"* \(#,##0\);_("$"* "-"??_);_(@_)</c:formatCode>
                <c:ptCount val="10"/>
                <c:pt idx="0">
                  <c:v>55.125374999999998</c:v>
                </c:pt>
                <c:pt idx="1">
                  <c:v>307.53544499999998</c:v>
                </c:pt>
                <c:pt idx="2">
                  <c:v>308</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2EA6-BF44-B2F8-6D059DB7EF7D}"/>
            </c:ext>
          </c:extLst>
        </c:ser>
        <c:ser>
          <c:idx val="3"/>
          <c:order val="3"/>
          <c:tx>
            <c:strRef>
              <c:f>Summary!$B$666</c:f>
              <c:strCache>
                <c:ptCount val="1"/>
                <c:pt idx="0">
                  <c:v>100G CWDM4_2 km_QSFP28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Summary!$C$666:$L$666</c:f>
              <c:numCache>
                <c:formatCode>_("$"* #,##0_);_("$"* \(#,##0\);_("$"* "-"??_);_(@_)</c:formatCode>
                <c:ptCount val="10"/>
                <c:pt idx="0">
                  <c:v>25.566254999999995</c:v>
                </c:pt>
                <c:pt idx="1">
                  <c:v>190.37908500000003</c:v>
                </c:pt>
                <c:pt idx="2">
                  <c:v>914.48338333333322</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2EA6-BF44-B2F8-6D059DB7EF7D}"/>
            </c:ext>
          </c:extLst>
        </c:ser>
        <c:ser>
          <c:idx val="4"/>
          <c:order val="4"/>
          <c:tx>
            <c:strRef>
              <c:f>Summary!$B$667</c:f>
              <c:strCache>
                <c:ptCount val="1"/>
                <c:pt idx="0">
                  <c:v>100G FR1_2 km_QSFP28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Summary!$C$667:$L$667</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2EA6-BF44-B2F8-6D059DB7EF7D}"/>
            </c:ext>
          </c:extLst>
        </c:ser>
        <c:ser>
          <c:idx val="5"/>
          <c:order val="5"/>
          <c:tx>
            <c:strRef>
              <c:f>Summary!$B$668</c:f>
              <c:strCache>
                <c:ptCount val="1"/>
                <c:pt idx="0">
                  <c:v>100G LR4_10 km_CFP</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Summary!$C$668:$L$668</c:f>
              <c:numCache>
                <c:formatCode>_("$"* #,##0_);_("$"* \(#,##0\);_("$"* "-"??_);_(@_)</c:formatCode>
                <c:ptCount val="10"/>
                <c:pt idx="0">
                  <c:v>387.84002208207454</c:v>
                </c:pt>
                <c:pt idx="1">
                  <c:v>186.42675405916248</c:v>
                </c:pt>
                <c:pt idx="2">
                  <c:v>81.455872165940619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2EA6-BF44-B2F8-6D059DB7EF7D}"/>
            </c:ext>
          </c:extLst>
        </c:ser>
        <c:ser>
          <c:idx val="6"/>
          <c:order val="6"/>
          <c:tx>
            <c:strRef>
              <c:f>Summary!$B$669</c:f>
              <c:strCache>
                <c:ptCount val="1"/>
                <c:pt idx="0">
                  <c:v>100G LR4_10 km_CFP2/4</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Summary!$C$669:$L$669</c:f>
              <c:numCache>
                <c:formatCode>_("$"* #,##0_);_("$"* \(#,##0\);_("$"* "-"??_);_(@_)</c:formatCode>
                <c:ptCount val="10"/>
                <c:pt idx="0">
                  <c:v>265.89292589706986</c:v>
                </c:pt>
                <c:pt idx="1">
                  <c:v>167.37814313065076</c:v>
                </c:pt>
                <c:pt idx="2">
                  <c:v>101.21498299999995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2EA6-BF44-B2F8-6D059DB7EF7D}"/>
            </c:ext>
          </c:extLst>
        </c:ser>
        <c:ser>
          <c:idx val="7"/>
          <c:order val="7"/>
          <c:tx>
            <c:strRef>
              <c:f>Summary!$B$670</c:f>
              <c:strCache>
                <c:ptCount val="1"/>
                <c:pt idx="0">
                  <c:v>100G LR4 and LR1_10 km_QSFP28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Summary!$C$670:$L$670</c:f>
              <c:numCache>
                <c:formatCode>_("$"* #,##0_);_("$"* \(#,##0\);_("$"* "-"??_);_(@_)</c:formatCode>
                <c:ptCount val="10"/>
                <c:pt idx="0">
                  <c:v>175.29210971636297</c:v>
                </c:pt>
                <c:pt idx="1">
                  <c:v>434.82240000000002</c:v>
                </c:pt>
                <c:pt idx="2">
                  <c:v>331.77466984830187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2EA6-BF44-B2F8-6D059DB7EF7D}"/>
            </c:ext>
          </c:extLst>
        </c:ser>
        <c:ser>
          <c:idx val="8"/>
          <c:order val="8"/>
          <c:tx>
            <c:strRef>
              <c:f>Summary!$B$671</c:f>
              <c:strCache>
                <c:ptCount val="1"/>
                <c:pt idx="0">
                  <c:v>100G 4WDM10_10 km_QSFP28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Summary!$C$671:$L$671</c:f>
              <c:numCache>
                <c:formatCode>_("$"* #,##0_);_("$"* \(#,##0\);_("$"* "-"??_);_(@_)</c:formatCode>
                <c:ptCount val="10"/>
                <c:pt idx="0">
                  <c:v>0</c:v>
                </c:pt>
                <c:pt idx="1">
                  <c:v>22.5</c:v>
                </c:pt>
                <c:pt idx="2">
                  <c:v>30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8-2EA6-BF44-B2F8-6D059DB7EF7D}"/>
            </c:ext>
          </c:extLst>
        </c:ser>
        <c:ser>
          <c:idx val="9"/>
          <c:order val="9"/>
          <c:tx>
            <c:strRef>
              <c:f>Summary!$B$672</c:f>
              <c:strCache>
                <c:ptCount val="1"/>
                <c:pt idx="0">
                  <c:v>100G 4WDM20_20 km_QSFP28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Summary!$C$672:$L$672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9-2EA6-BF44-B2F8-6D059DB7EF7D}"/>
            </c:ext>
          </c:extLst>
        </c:ser>
        <c:ser>
          <c:idx val="10"/>
          <c:order val="10"/>
          <c:tx>
            <c:strRef>
              <c:f>Summary!$B$673</c:f>
              <c:strCache>
                <c:ptCount val="1"/>
                <c:pt idx="0">
                  <c:v>100G ER4, ER4-Lite_40 km_QSFP28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Summary!$C$673:$L$673</c:f>
              <c:numCache>
                <c:formatCode>_("$"* #,##0_);_("$"* \(#,##0\);_("$"* "-"??_);_(@_)</c:formatCode>
                <c:ptCount val="10"/>
                <c:pt idx="0">
                  <c:v>67.047040204140799</c:v>
                </c:pt>
                <c:pt idx="1">
                  <c:v>62.072948163045439</c:v>
                </c:pt>
                <c:pt idx="2">
                  <c:v>40.059037122546464</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A-2EA6-BF44-B2F8-6D059DB7EF7D}"/>
            </c:ext>
          </c:extLst>
        </c:ser>
        <c:dLbls>
          <c:showLegendKey val="0"/>
          <c:showVal val="0"/>
          <c:showCatName val="0"/>
          <c:showSerName val="0"/>
          <c:showPercent val="0"/>
          <c:showBubbleSize val="0"/>
        </c:dLbls>
        <c:marker val="1"/>
        <c:smooth val="0"/>
        <c:axId val="168936576"/>
        <c:axId val="168938112"/>
      </c:lineChart>
      <c:catAx>
        <c:axId val="168936576"/>
        <c:scaling>
          <c:orientation val="minMax"/>
        </c:scaling>
        <c:delete val="0"/>
        <c:axPos val="b"/>
        <c:numFmt formatCode="General" sourceLinked="1"/>
        <c:majorTickMark val="out"/>
        <c:minorTickMark val="none"/>
        <c:tickLblPos val="nextTo"/>
        <c:crossAx val="168938112"/>
        <c:crosses val="autoZero"/>
        <c:auto val="1"/>
        <c:lblAlgn val="ctr"/>
        <c:lblOffset val="100"/>
        <c:noMultiLvlLbl val="0"/>
      </c:catAx>
      <c:valAx>
        <c:axId val="168938112"/>
        <c:scaling>
          <c:orientation val="minMax"/>
        </c:scaling>
        <c:delete val="0"/>
        <c:axPos val="l"/>
        <c:majorGridlines/>
        <c:title>
          <c:tx>
            <c:rich>
              <a:bodyPr rot="-5400000" vert="horz"/>
              <a:lstStyle/>
              <a:p>
                <a:pPr>
                  <a:defRPr sz="1400"/>
                </a:pPr>
                <a:r>
                  <a:rPr lang="en-US" sz="1400"/>
                  <a:t>Annual sales ($ mn)</a:t>
                </a:r>
              </a:p>
            </c:rich>
          </c:tx>
          <c:layout/>
          <c:overlay val="0"/>
        </c:title>
        <c:numFmt formatCode="&quot;$&quot;#,##0" sourceLinked="0"/>
        <c:majorTickMark val="out"/>
        <c:minorTickMark val="none"/>
        <c:tickLblPos val="nextTo"/>
        <c:crossAx val="168936576"/>
        <c:crosses val="autoZero"/>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73996124151406"/>
          <c:y val="5.3872467799939351E-2"/>
          <c:w val="0.8490599767601229"/>
          <c:h val="0.86037270873478522"/>
        </c:manualLayout>
      </c:layout>
      <c:barChart>
        <c:barDir val="col"/>
        <c:grouping val="stacked"/>
        <c:varyColors val="0"/>
        <c:ser>
          <c:idx val="8"/>
          <c:order val="0"/>
          <c:tx>
            <c:v>total</c:v>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Summary!$C$146:$L$146</c:f>
              <c:numCache>
                <c:formatCode>_("$"* #,##0_);_("$"* \(#,##0\);_("$"* "-"??_);_(@_)</c:formatCode>
                <c:ptCount val="10"/>
                <c:pt idx="0">
                  <c:v>2687.6154083151864</c:v>
                </c:pt>
                <c:pt idx="1">
                  <c:v>3178.1921388481992</c:v>
                </c:pt>
                <c:pt idx="2">
                  <c:v>3389.2344867253723</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8-25BD-1C41-99D8-3B2A3EEF05A2}"/>
            </c:ext>
          </c:extLst>
        </c:ser>
        <c:dLbls>
          <c:showLegendKey val="0"/>
          <c:showVal val="0"/>
          <c:showCatName val="0"/>
          <c:showSerName val="0"/>
          <c:showPercent val="0"/>
          <c:showBubbleSize val="0"/>
        </c:dLbls>
        <c:gapWidth val="150"/>
        <c:overlap val="100"/>
        <c:axId val="168951168"/>
        <c:axId val="169157760"/>
      </c:barChart>
      <c:catAx>
        <c:axId val="168951168"/>
        <c:scaling>
          <c:orientation val="minMax"/>
        </c:scaling>
        <c:delete val="0"/>
        <c:axPos val="b"/>
        <c:numFmt formatCode="General" sourceLinked="1"/>
        <c:majorTickMark val="out"/>
        <c:minorTickMark val="none"/>
        <c:tickLblPos val="nextTo"/>
        <c:txPr>
          <a:bodyPr/>
          <a:lstStyle/>
          <a:p>
            <a:pPr>
              <a:defRPr sz="1200"/>
            </a:pPr>
            <a:endParaRPr lang="en-US"/>
          </a:p>
        </c:txPr>
        <c:crossAx val="169157760"/>
        <c:crosses val="autoZero"/>
        <c:auto val="1"/>
        <c:lblAlgn val="ctr"/>
        <c:lblOffset val="100"/>
        <c:noMultiLvlLbl val="0"/>
      </c:catAx>
      <c:valAx>
        <c:axId val="169157760"/>
        <c:scaling>
          <c:orientation val="minMax"/>
          <c:min val="0"/>
        </c:scaling>
        <c:delete val="0"/>
        <c:axPos val="l"/>
        <c:majorGridlines/>
        <c:title>
          <c:tx>
            <c:rich>
              <a:bodyPr/>
              <a:lstStyle/>
              <a:p>
                <a:pPr>
                  <a:defRPr sz="1400"/>
                </a:pPr>
                <a:r>
                  <a:rPr lang="en-US" sz="1400"/>
                  <a:t>Annual</a:t>
                </a:r>
                <a:r>
                  <a:rPr lang="en-US" sz="1400" baseline="0"/>
                  <a:t> s</a:t>
                </a:r>
                <a:r>
                  <a:rPr lang="en-US" sz="1400"/>
                  <a:t>ales ($ mn)</a:t>
                </a:r>
              </a:p>
            </c:rich>
          </c:tx>
          <c:layout>
            <c:manualLayout>
              <c:xMode val="edge"/>
              <c:yMode val="edge"/>
              <c:x val="9.9911751377394064E-3"/>
              <c:y val="0.29108391556769991"/>
            </c:manualLayout>
          </c:layout>
          <c:overlay val="0"/>
        </c:title>
        <c:numFmt formatCode="&quot;$&quot;#,##0" sourceLinked="0"/>
        <c:majorTickMark val="out"/>
        <c:minorTickMark val="none"/>
        <c:tickLblPos val="nextTo"/>
        <c:txPr>
          <a:bodyPr/>
          <a:lstStyle/>
          <a:p>
            <a:pPr>
              <a:defRPr sz="1200"/>
            </a:pPr>
            <a:endParaRPr lang="en-US"/>
          </a:p>
        </c:txPr>
        <c:crossAx val="168951168"/>
        <c:crosses val="autoZero"/>
        <c:crossBetween val="between"/>
      </c:valAx>
    </c:plotArea>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722949903158"/>
          <c:y val="4.4374540872197936E-2"/>
          <c:w val="0.85792760567452775"/>
          <c:h val="0.86403869827235957"/>
        </c:manualLayout>
      </c:layout>
      <c:barChart>
        <c:barDir val="col"/>
        <c:grouping val="stacked"/>
        <c:varyColors val="0"/>
        <c:ser>
          <c:idx val="0"/>
          <c:order val="0"/>
          <c:tx>
            <c:strRef>
              <c:f>Summary!$B$136</c:f>
              <c:strCache>
                <c:ptCount val="1"/>
                <c:pt idx="0">
                  <c:v>1G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Summary!$C$136:$L$136</c:f>
              <c:numCache>
                <c:formatCode>_("$"* #,##0_);_("$"* \(#,##0\);_("$"* "-"??_);_(@_)</c:formatCode>
                <c:ptCount val="10"/>
                <c:pt idx="0">
                  <c:v>154.16513112975395</c:v>
                </c:pt>
                <c:pt idx="1">
                  <c:v>110.62740763127242</c:v>
                </c:pt>
                <c:pt idx="2">
                  <c:v>131.91376511999999</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D65-1F4A-9073-3D899F10AD6F}"/>
            </c:ext>
          </c:extLst>
        </c:ser>
        <c:ser>
          <c:idx val="1"/>
          <c:order val="1"/>
          <c:tx>
            <c:strRef>
              <c:f>Summary!$B$137</c:f>
              <c:strCache>
                <c:ptCount val="1"/>
                <c:pt idx="0">
                  <c:v>10G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Summary!$C$137:$L$137</c:f>
              <c:numCache>
                <c:formatCode>_("$"* #,##0_);_("$"* \(#,##0\);_("$"* "-"??_);_(@_)</c:formatCode>
                <c:ptCount val="10"/>
                <c:pt idx="0">
                  <c:v>588.89972784362988</c:v>
                </c:pt>
                <c:pt idx="1">
                  <c:v>486.60483553423245</c:v>
                </c:pt>
                <c:pt idx="2">
                  <c:v>471.41983653865219</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D65-1F4A-9073-3D899F10AD6F}"/>
            </c:ext>
          </c:extLst>
        </c:ser>
        <c:ser>
          <c:idx val="4"/>
          <c:order val="2"/>
          <c:tx>
            <c:strRef>
              <c:f>Summary!$B$138</c:f>
              <c:strCache>
                <c:ptCount val="1"/>
                <c:pt idx="0">
                  <c:v>25G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Summary!$C$138:$L$138</c:f>
              <c:numCache>
                <c:formatCode>_("$"* #,##0_);_("$"* \(#,##0\);_("$"* "-"??_);_(@_)</c:formatCode>
                <c:ptCount val="10"/>
                <c:pt idx="0" formatCode="_(&quot;$&quot;* #,##0.0_);_(&quot;$&quot;* \(#,##0.0\);_(&quot;$&quot;* &quot;-&quot;??_);_(@_)">
                  <c:v>3.4123060000000001</c:v>
                </c:pt>
                <c:pt idx="1">
                  <c:v>19.187075306914231</c:v>
                </c:pt>
                <c:pt idx="2">
                  <c:v>38.882710120000013</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D65-1F4A-9073-3D899F10AD6F}"/>
            </c:ext>
          </c:extLst>
        </c:ser>
        <c:ser>
          <c:idx val="2"/>
          <c:order val="3"/>
          <c:tx>
            <c:strRef>
              <c:f>Summary!$B$139</c:f>
              <c:strCache>
                <c:ptCount val="1"/>
                <c:pt idx="0">
                  <c:v>40G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Summary!$C$139:$L$139</c:f>
              <c:numCache>
                <c:formatCode>_("$"* #,##0_);_("$"* \(#,##0\);_("$"* "-"??_);_(@_)</c:formatCode>
                <c:ptCount val="10"/>
                <c:pt idx="0">
                  <c:v>787.93297017215446</c:v>
                </c:pt>
                <c:pt idx="1">
                  <c:v>904.27751564220159</c:v>
                </c:pt>
                <c:pt idx="2">
                  <c:v>539.48394892970373</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D65-1F4A-9073-3D899F10AD6F}"/>
            </c:ext>
          </c:extLst>
        </c:ser>
        <c:ser>
          <c:idx val="7"/>
          <c:order val="4"/>
          <c:tx>
            <c:strRef>
              <c:f>Summary!$B$140</c:f>
              <c:strCache>
                <c:ptCount val="1"/>
                <c:pt idx="0">
                  <c:v>50G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Summary!$C$140:$L$140</c:f>
              <c:numCache>
                <c:formatCode>_("$"* #,##0_);_("$"* \(#,##0\);_("$"* "-"??_);_(@_)</c:formatCode>
                <c:ptCount val="10"/>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D65-1F4A-9073-3D899F10AD6F}"/>
            </c:ext>
          </c:extLst>
        </c:ser>
        <c:ser>
          <c:idx val="3"/>
          <c:order val="5"/>
          <c:tx>
            <c:strRef>
              <c:f>Summary!$B$141</c:f>
              <c:strCache>
                <c:ptCount val="1"/>
                <c:pt idx="0">
                  <c:v>100G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Summary!$C$141:$L$141</c:f>
              <c:numCache>
                <c:formatCode>_("$"* #,##0_);_("$"* \(#,##0\);_("$"* "-"??_);_(@_)</c:formatCode>
                <c:ptCount val="10"/>
                <c:pt idx="0">
                  <c:v>1143.1589641396481</c:v>
                </c:pt>
                <c:pt idx="1">
                  <c:v>1653.8532387335786</c:v>
                </c:pt>
                <c:pt idx="2">
                  <c:v>2156.8222260170164</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FD65-1F4A-9073-3D899F10AD6F}"/>
            </c:ext>
          </c:extLst>
        </c:ser>
        <c:ser>
          <c:idx val="6"/>
          <c:order val="6"/>
          <c:tx>
            <c:strRef>
              <c:f>Summary!$B$142</c:f>
              <c:strCache>
                <c:ptCount val="1"/>
                <c:pt idx="0">
                  <c:v>200G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Summary!$C$142:$L$142</c:f>
              <c:numCache>
                <c:formatCode>_("$"* #,##0.0_);_("$"* \(#,##0.0\);_("$"* "-"??_);_(@_)</c:formatCode>
                <c:ptCount val="10"/>
                <c:pt idx="2" formatCode="_(&quot;$&quot;* #,##0_);_(&quot;$&quot;* \(#,##0\);_(&quot;$&quot;* &quot;-&quot;??_);_(@_)">
                  <c:v>1.1000000000000001</c:v>
                </c:pt>
                <c:pt idx="3" formatCode="_(&quot;$&quot;* #,##0_);_(&quot;$&quot;* \(#,##0\);_(&quot;$&quot;* &quot;-&quot;??_);_(@_)">
                  <c:v>0</c:v>
                </c:pt>
                <c:pt idx="4" formatCode="_(&quot;$&quot;* #,##0_);_(&quot;$&quot;* \(#,##0\);_(&quot;$&quot;* &quot;-&quot;??_);_(@_)">
                  <c:v>0</c:v>
                </c:pt>
                <c:pt idx="5" formatCode="_(&quot;$&quot;* #,##0_);_(&quot;$&quot;* \(#,##0\);_(&quot;$&quot;* &quot;-&quot;??_);_(@_)">
                  <c:v>0</c:v>
                </c:pt>
                <c:pt idx="6" formatCode="_(&quot;$&quot;* #,##0_);_(&quot;$&quot;* \(#,##0\);_(&quot;$&quot;* &quot;-&quot;??_);_(@_)">
                  <c:v>0</c:v>
                </c:pt>
                <c:pt idx="7" formatCode="_(&quot;$&quot;* #,##0_);_(&quot;$&quot;* \(#,##0\);_(&quot;$&quot;* &quot;-&quot;??_);_(@_)">
                  <c:v>0</c:v>
                </c:pt>
                <c:pt idx="8" formatCode="_(&quot;$&quot;* #,##0_);_(&quot;$&quot;* \(#,##0\);_(&quot;$&quot;* &quot;-&quot;??_);_(@_)">
                  <c:v>0</c:v>
                </c:pt>
                <c:pt idx="9" formatCode="_(&quot;$&quot;* #,##0_);_(&quot;$&quot;* \(#,##0\);_(&quot;$&quot;* &quot;-&quot;??_);_(@_)">
                  <c:v>0</c:v>
                </c:pt>
              </c:numCache>
            </c:numRef>
          </c:val>
          <c:extLst xmlns:c16r2="http://schemas.microsoft.com/office/drawing/2015/06/chart">
            <c:ext xmlns:c16="http://schemas.microsoft.com/office/drawing/2014/chart" uri="{C3380CC4-5D6E-409C-BE32-E72D297353CC}">
              <c16:uniqueId val="{00000006-FD65-1F4A-9073-3D899F10AD6F}"/>
            </c:ext>
          </c:extLst>
        </c:ser>
        <c:ser>
          <c:idx val="5"/>
          <c:order val="7"/>
          <c:tx>
            <c:strRef>
              <c:f>Summary!$B$143</c:f>
              <c:strCache>
                <c:ptCount val="1"/>
                <c:pt idx="0">
                  <c:v>400G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Summary!$C$143:$L$143</c:f>
              <c:numCache>
                <c:formatCode>_("$"* #,##0_);_("$"* \(#,##0\);_("$"* "-"??_);_(@_)</c:formatCode>
                <c:ptCount val="10"/>
                <c:pt idx="1">
                  <c:v>1.3482999999999998</c:v>
                </c:pt>
                <c:pt idx="2">
                  <c:v>49.211999999999996</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7-FD65-1F4A-9073-3D899F10AD6F}"/>
            </c:ext>
          </c:extLst>
        </c:ser>
        <c:ser>
          <c:idx val="8"/>
          <c:order val="8"/>
          <c:tx>
            <c:strRef>
              <c:f>Summary!$B$144</c:f>
              <c:strCache>
                <c:ptCount val="1"/>
                <c:pt idx="0">
                  <c:v>800G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Summary!$C$144:$L$144</c:f>
              <c:numCache>
                <c:formatCode>_("$"* #,##0_);_("$"* \(#,##0\);_("$"* "-"??_);_(@_)</c:formatCode>
                <c:ptCount val="10"/>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8EA-CD4C-ABF1-D981B606955A}"/>
            </c:ext>
          </c:extLst>
        </c:ser>
        <c:dLbls>
          <c:showLegendKey val="0"/>
          <c:showVal val="0"/>
          <c:showCatName val="0"/>
          <c:showSerName val="0"/>
          <c:showPercent val="0"/>
          <c:showBubbleSize val="0"/>
        </c:dLbls>
        <c:gapWidth val="150"/>
        <c:overlap val="100"/>
        <c:axId val="169241216"/>
        <c:axId val="169259392"/>
      </c:barChart>
      <c:catAx>
        <c:axId val="169241216"/>
        <c:scaling>
          <c:orientation val="minMax"/>
        </c:scaling>
        <c:delete val="0"/>
        <c:axPos val="b"/>
        <c:numFmt formatCode="General" sourceLinked="1"/>
        <c:majorTickMark val="out"/>
        <c:minorTickMark val="none"/>
        <c:tickLblPos val="nextTo"/>
        <c:txPr>
          <a:bodyPr/>
          <a:lstStyle/>
          <a:p>
            <a:pPr>
              <a:defRPr sz="1200"/>
            </a:pPr>
            <a:endParaRPr lang="en-US"/>
          </a:p>
        </c:txPr>
        <c:crossAx val="169259392"/>
        <c:crosses val="autoZero"/>
        <c:auto val="1"/>
        <c:lblAlgn val="ctr"/>
        <c:lblOffset val="100"/>
        <c:noMultiLvlLbl val="0"/>
      </c:catAx>
      <c:valAx>
        <c:axId val="169259392"/>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3.2125982658516561E-4"/>
              <c:y val="0.27181822347087115"/>
            </c:manualLayout>
          </c:layout>
          <c:overlay val="0"/>
        </c:title>
        <c:numFmt formatCode="&quot;$&quot;#,##0" sourceLinked="0"/>
        <c:majorTickMark val="out"/>
        <c:minorTickMark val="none"/>
        <c:tickLblPos val="nextTo"/>
        <c:txPr>
          <a:bodyPr/>
          <a:lstStyle/>
          <a:p>
            <a:pPr>
              <a:defRPr sz="1200"/>
            </a:pPr>
            <a:endParaRPr lang="en-US"/>
          </a:p>
        </c:txPr>
        <c:crossAx val="169241216"/>
        <c:crosses val="autoZero"/>
        <c:crossBetween val="between"/>
      </c:valAx>
    </c:plotArea>
    <c:legend>
      <c:legendPos val="t"/>
      <c:layout>
        <c:manualLayout>
          <c:xMode val="edge"/>
          <c:yMode val="edge"/>
          <c:x val="0.13671413544724978"/>
          <c:y val="5.4416644570205626E-2"/>
          <c:w val="0.22702742999429945"/>
          <c:h val="0.33582651803846947"/>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15625773674872"/>
          <c:y val="4.2205107408400763E-2"/>
          <c:w val="0.77443754472476678"/>
          <c:h val="0.84519756537436974"/>
        </c:manualLayout>
      </c:layout>
      <c:barChart>
        <c:barDir val="col"/>
        <c:grouping val="stacked"/>
        <c:varyColors val="0"/>
        <c:ser>
          <c:idx val="0"/>
          <c:order val="0"/>
          <c:tx>
            <c:strRef>
              <c:f>Summary!$B$119</c:f>
              <c:strCache>
                <c:ptCount val="1"/>
                <c:pt idx="0">
                  <c:v>1G</c:v>
                </c:pt>
              </c:strCache>
            </c:strRef>
          </c:tx>
          <c:invertIfNegative val="0"/>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Summary!$C$119:$L$119</c:f>
              <c:numCache>
                <c:formatCode>_(* #,##0_);_(* \(#,##0\);_(* "-"??_);_(@_)</c:formatCode>
                <c:ptCount val="10"/>
                <c:pt idx="0">
                  <c:v>13567410.105</c:v>
                </c:pt>
                <c:pt idx="1">
                  <c:v>11273695.050000001</c:v>
                </c:pt>
                <c:pt idx="2">
                  <c:v>14338976</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FC3-BC43-AD83-EAFEE37073E6}"/>
            </c:ext>
          </c:extLst>
        </c:ser>
        <c:ser>
          <c:idx val="1"/>
          <c:order val="1"/>
          <c:tx>
            <c:strRef>
              <c:f>Summary!$B$120</c:f>
              <c:strCache>
                <c:ptCount val="1"/>
                <c:pt idx="0">
                  <c:v>10G</c:v>
                </c:pt>
              </c:strCache>
            </c:strRef>
          </c:tx>
          <c:invertIfNegative val="0"/>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Summary!$C$120:$L$120</c:f>
              <c:numCache>
                <c:formatCode>_(* #,##0_);_(* \(#,##0\);_(* "-"??_);_(@_)</c:formatCode>
                <c:ptCount val="10"/>
                <c:pt idx="0">
                  <c:v>18516818.93</c:v>
                </c:pt>
                <c:pt idx="1">
                  <c:v>19945022.100000001</c:v>
                </c:pt>
                <c:pt idx="2">
                  <c:v>22017005.100000001</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FC3-BC43-AD83-EAFEE37073E6}"/>
            </c:ext>
          </c:extLst>
        </c:ser>
        <c:ser>
          <c:idx val="4"/>
          <c:order val="2"/>
          <c:tx>
            <c:strRef>
              <c:f>Summary!$B$121</c:f>
              <c:strCache>
                <c:ptCount val="1"/>
                <c:pt idx="0">
                  <c:v>25G</c:v>
                </c:pt>
              </c:strCache>
            </c:strRef>
          </c:tx>
          <c:invertIfNegative val="0"/>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Summary!$C$121:$L$121</c:f>
              <c:numCache>
                <c:formatCode>_(* #,##0_);_(* \(#,##0\);_(* "-"??_);_(@_)</c:formatCode>
                <c:ptCount val="10"/>
                <c:pt idx="0">
                  <c:v>11694</c:v>
                </c:pt>
                <c:pt idx="1">
                  <c:v>113327</c:v>
                </c:pt>
                <c:pt idx="2">
                  <c:v>375687</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FC3-BC43-AD83-EAFEE37073E6}"/>
            </c:ext>
          </c:extLst>
        </c:ser>
        <c:ser>
          <c:idx val="2"/>
          <c:order val="3"/>
          <c:tx>
            <c:strRef>
              <c:f>Summary!$B$122</c:f>
              <c:strCache>
                <c:ptCount val="1"/>
                <c:pt idx="0">
                  <c:v>40G</c:v>
                </c:pt>
              </c:strCache>
            </c:strRef>
          </c:tx>
          <c:invertIfNegative val="0"/>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Summary!$C$122:$L$122</c:f>
              <c:numCache>
                <c:formatCode>_(* #,##0_);_(* \(#,##0\);_(* "-"??_);_(@_)</c:formatCode>
                <c:ptCount val="10"/>
                <c:pt idx="0">
                  <c:v>3153068</c:v>
                </c:pt>
                <c:pt idx="1">
                  <c:v>3864160</c:v>
                </c:pt>
                <c:pt idx="2">
                  <c:v>3098123.5</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FC3-BC43-AD83-EAFEE37073E6}"/>
            </c:ext>
          </c:extLst>
        </c:ser>
        <c:ser>
          <c:idx val="6"/>
          <c:order val="4"/>
          <c:tx>
            <c:strRef>
              <c:f>Summary!$B$123</c:f>
              <c:strCache>
                <c:ptCount val="1"/>
                <c:pt idx="0">
                  <c:v>50G</c:v>
                </c:pt>
              </c:strCache>
            </c:strRef>
          </c:tx>
          <c:invertIfNegative val="0"/>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Summary!$C$123:$L$123</c:f>
              <c:numCache>
                <c:formatCode>_(* #,##0_);_(* \(#,##0\);_(* "-"??_);_(@_)</c:formatCode>
                <c:ptCount val="10"/>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FC3-BC43-AD83-EAFEE37073E6}"/>
            </c:ext>
          </c:extLst>
        </c:ser>
        <c:ser>
          <c:idx val="3"/>
          <c:order val="5"/>
          <c:tx>
            <c:strRef>
              <c:f>Summary!$B$124</c:f>
              <c:strCache>
                <c:ptCount val="1"/>
                <c:pt idx="0">
                  <c:v>100G</c:v>
                </c:pt>
              </c:strCache>
            </c:strRef>
          </c:tx>
          <c:invertIfNegative val="0"/>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Summary!$C$124:$L$124</c:f>
              <c:numCache>
                <c:formatCode>_(* #,##0_);_(* \(#,##0\);_(* "-"??_);_(@_)</c:formatCode>
                <c:ptCount val="10"/>
                <c:pt idx="0">
                  <c:v>919370</c:v>
                </c:pt>
                <c:pt idx="1">
                  <c:v>2881490</c:v>
                </c:pt>
                <c:pt idx="2">
                  <c:v>6187024.7366946787</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FFC3-BC43-AD83-EAFEE37073E6}"/>
            </c:ext>
          </c:extLst>
        </c:ser>
        <c:ser>
          <c:idx val="7"/>
          <c:order val="6"/>
          <c:tx>
            <c:strRef>
              <c:f>Summary!$B$125</c:f>
              <c:strCache>
                <c:ptCount val="1"/>
                <c:pt idx="0">
                  <c:v>200G</c:v>
                </c:pt>
              </c:strCache>
            </c:strRef>
          </c:tx>
          <c:invertIfNegative val="0"/>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Summary!$C$125:$L$125</c:f>
              <c:numCache>
                <c:formatCode>_(* #,##0_);_(* \(#,##0\);_(* "-"??_);_(@_)</c:formatCode>
                <c:ptCount val="10"/>
                <c:pt idx="2">
                  <c:v>1000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6-FFC3-BC43-AD83-EAFEE37073E6}"/>
            </c:ext>
          </c:extLst>
        </c:ser>
        <c:ser>
          <c:idx val="5"/>
          <c:order val="7"/>
          <c:tx>
            <c:strRef>
              <c:f>Summary!$B$126</c:f>
              <c:strCache>
                <c:ptCount val="1"/>
                <c:pt idx="0">
                  <c:v>400G</c:v>
                </c:pt>
              </c:strCache>
            </c:strRef>
          </c:tx>
          <c:invertIfNegative val="0"/>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Summary!$C$126:$L$126</c:f>
              <c:numCache>
                <c:formatCode>_(* #,##0_);_(* \(#,##0\);_(* "-"??_);_(@_)</c:formatCode>
                <c:ptCount val="10"/>
                <c:pt idx="1">
                  <c:v>89</c:v>
                </c:pt>
                <c:pt idx="2">
                  <c:v>39000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7-FFC3-BC43-AD83-EAFEE37073E6}"/>
            </c:ext>
          </c:extLst>
        </c:ser>
        <c:ser>
          <c:idx val="8"/>
          <c:order val="8"/>
          <c:tx>
            <c:strRef>
              <c:f>Summary!$B$127</c:f>
              <c:strCache>
                <c:ptCount val="1"/>
                <c:pt idx="0">
                  <c:v>800G</c:v>
                </c:pt>
              </c:strCache>
            </c:strRef>
          </c:tx>
          <c:invertIfNegative val="0"/>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Summary!$C$127:$L$127</c:f>
              <c:numCache>
                <c:formatCode>_(* #,##0_);_(* \(#,##0\);_(* "-"??_);_(@_)</c:formatCode>
                <c:ptCount val="10"/>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283-D14F-A632-754F8EB4891E}"/>
            </c:ext>
          </c:extLst>
        </c:ser>
        <c:dLbls>
          <c:showLegendKey val="0"/>
          <c:showVal val="0"/>
          <c:showCatName val="0"/>
          <c:showSerName val="0"/>
          <c:showPercent val="0"/>
          <c:showBubbleSize val="0"/>
        </c:dLbls>
        <c:gapWidth val="150"/>
        <c:overlap val="100"/>
        <c:axId val="169319040"/>
        <c:axId val="169341312"/>
      </c:barChart>
      <c:catAx>
        <c:axId val="169319040"/>
        <c:scaling>
          <c:orientation val="minMax"/>
        </c:scaling>
        <c:delete val="0"/>
        <c:axPos val="b"/>
        <c:numFmt formatCode="General" sourceLinked="1"/>
        <c:majorTickMark val="out"/>
        <c:minorTickMark val="none"/>
        <c:tickLblPos val="nextTo"/>
        <c:txPr>
          <a:bodyPr/>
          <a:lstStyle/>
          <a:p>
            <a:pPr>
              <a:defRPr sz="1200"/>
            </a:pPr>
            <a:endParaRPr lang="en-US"/>
          </a:p>
        </c:txPr>
        <c:crossAx val="169341312"/>
        <c:crosses val="autoZero"/>
        <c:auto val="1"/>
        <c:lblAlgn val="ctr"/>
        <c:lblOffset val="100"/>
        <c:noMultiLvlLbl val="0"/>
      </c:catAx>
      <c:valAx>
        <c:axId val="169341312"/>
        <c:scaling>
          <c:orientation val="minMax"/>
          <c:min val="0"/>
        </c:scaling>
        <c:delete val="0"/>
        <c:axPos val="l"/>
        <c:majorGridlines/>
        <c:title>
          <c:tx>
            <c:rich>
              <a:bodyPr rot="-5400000" vert="horz"/>
              <a:lstStyle/>
              <a:p>
                <a:pPr>
                  <a:defRPr sz="1400"/>
                </a:pPr>
                <a:r>
                  <a:rPr lang="en-US" sz="1400"/>
                  <a:t>Annual shipments</a:t>
                </a:r>
              </a:p>
            </c:rich>
          </c:tx>
          <c:layout>
            <c:manualLayout>
              <c:xMode val="edge"/>
              <c:yMode val="edge"/>
              <c:x val="2.5693500961476497E-2"/>
              <c:y val="0.25022654293800212"/>
            </c:manualLayout>
          </c:layout>
          <c:overlay val="0"/>
        </c:title>
        <c:numFmt formatCode="_(* #,##0_);_(* \(#,##0\);_(* &quot;-&quot;_);_(@_)" sourceLinked="0"/>
        <c:majorTickMark val="out"/>
        <c:minorTickMark val="none"/>
        <c:tickLblPos val="nextTo"/>
        <c:txPr>
          <a:bodyPr/>
          <a:lstStyle/>
          <a:p>
            <a:pPr>
              <a:defRPr sz="1200"/>
            </a:pPr>
            <a:endParaRPr lang="en-US"/>
          </a:p>
        </c:txPr>
        <c:crossAx val="169319040"/>
        <c:crosses val="autoZero"/>
        <c:crossBetween val="between"/>
      </c:valAx>
    </c:plotArea>
    <c:legend>
      <c:legendPos val="t"/>
      <c:layout>
        <c:manualLayout>
          <c:xMode val="edge"/>
          <c:yMode val="edge"/>
          <c:x val="0.21917716603529147"/>
          <c:y val="7.5389954081811483E-2"/>
          <c:w val="0.26094723240599743"/>
          <c:h val="0.36750339471506493"/>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75180738459866"/>
          <c:y val="6.0979003054420146E-2"/>
          <c:w val="0.78733439496758928"/>
          <c:h val="0.83064707120677872"/>
        </c:manualLayout>
      </c:layout>
      <c:lineChart>
        <c:grouping val="standard"/>
        <c:varyColors val="0"/>
        <c:ser>
          <c:idx val="0"/>
          <c:order val="0"/>
          <c:tx>
            <c:strRef>
              <c:f>Summary!$B$119</c:f>
              <c:strCache>
                <c:ptCount val="1"/>
                <c:pt idx="0">
                  <c:v>1G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Summary!$C$119:$L$119</c:f>
              <c:numCache>
                <c:formatCode>_(* #,##0_);_(* \(#,##0\);_(* "-"??_);_(@_)</c:formatCode>
                <c:ptCount val="10"/>
                <c:pt idx="0">
                  <c:v>13567410.105</c:v>
                </c:pt>
                <c:pt idx="1">
                  <c:v>11273695.050000001</c:v>
                </c:pt>
                <c:pt idx="2">
                  <c:v>14338976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563D-9542-A559-C232ED949B76}"/>
            </c:ext>
          </c:extLst>
        </c:ser>
        <c:ser>
          <c:idx val="1"/>
          <c:order val="1"/>
          <c:tx>
            <c:strRef>
              <c:f>Summary!$B$120</c:f>
              <c:strCache>
                <c:ptCount val="1"/>
                <c:pt idx="0">
                  <c:v>10G</c:v>
                </c:pt>
              </c:strCache>
            </c:strRef>
          </c:tx>
          <c:marker>
            <c:symbol val="square"/>
            <c:size val="5"/>
          </c:marker>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Summary!$C$120:$L$120</c:f>
              <c:numCache>
                <c:formatCode>_(* #,##0_);_(* \(#,##0\);_(* "-"??_);_(@_)</c:formatCode>
                <c:ptCount val="10"/>
                <c:pt idx="0">
                  <c:v>18516818.93</c:v>
                </c:pt>
                <c:pt idx="1">
                  <c:v>19945022.100000001</c:v>
                </c:pt>
                <c:pt idx="2">
                  <c:v>22017005.100000001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563D-9542-A559-C232ED949B76}"/>
            </c:ext>
          </c:extLst>
        </c:ser>
        <c:ser>
          <c:idx val="3"/>
          <c:order val="2"/>
          <c:tx>
            <c:strRef>
              <c:f>Summary!$B$124</c:f>
              <c:strCache>
                <c:ptCount val="1"/>
                <c:pt idx="0">
                  <c:v>100G</c:v>
                </c:pt>
              </c:strCache>
            </c:strRef>
          </c:tx>
          <c:marker>
            <c:symbol val="circle"/>
            <c:size val="5"/>
          </c:marker>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Summary!$C$124:$L$124</c:f>
              <c:numCache>
                <c:formatCode>_(* #,##0_);_(* \(#,##0\);_(* "-"??_);_(@_)</c:formatCode>
                <c:ptCount val="10"/>
                <c:pt idx="0">
                  <c:v>919370</c:v>
                </c:pt>
                <c:pt idx="1">
                  <c:v>2881490</c:v>
                </c:pt>
                <c:pt idx="2">
                  <c:v>6187024.7366946787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563D-9542-A559-C232ED949B76}"/>
            </c:ext>
          </c:extLst>
        </c:ser>
        <c:dLbls>
          <c:showLegendKey val="0"/>
          <c:showVal val="0"/>
          <c:showCatName val="0"/>
          <c:showSerName val="0"/>
          <c:showPercent val="0"/>
          <c:showBubbleSize val="0"/>
        </c:dLbls>
        <c:marker val="1"/>
        <c:smooth val="0"/>
        <c:axId val="169495168"/>
        <c:axId val="169501056"/>
      </c:lineChart>
      <c:catAx>
        <c:axId val="169495168"/>
        <c:scaling>
          <c:orientation val="minMax"/>
        </c:scaling>
        <c:delete val="0"/>
        <c:axPos val="b"/>
        <c:numFmt formatCode="General" sourceLinked="1"/>
        <c:majorTickMark val="out"/>
        <c:minorTickMark val="none"/>
        <c:tickLblPos val="nextTo"/>
        <c:txPr>
          <a:bodyPr/>
          <a:lstStyle/>
          <a:p>
            <a:pPr>
              <a:defRPr sz="1200"/>
            </a:pPr>
            <a:endParaRPr lang="en-US"/>
          </a:p>
        </c:txPr>
        <c:crossAx val="169501056"/>
        <c:crosses val="autoZero"/>
        <c:auto val="1"/>
        <c:lblAlgn val="ctr"/>
        <c:lblOffset val="100"/>
        <c:noMultiLvlLbl val="0"/>
      </c:catAx>
      <c:valAx>
        <c:axId val="169501056"/>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681321678506862E-2"/>
              <c:y val="0.19364728332974018"/>
            </c:manualLayout>
          </c:layout>
          <c:overlay val="0"/>
        </c:title>
        <c:numFmt formatCode="_(* #,##0_);_(* \(#,##0\);_(* &quot;-&quot;_);_(@_)" sourceLinked="0"/>
        <c:majorTickMark val="out"/>
        <c:minorTickMark val="none"/>
        <c:tickLblPos val="nextTo"/>
        <c:txPr>
          <a:bodyPr/>
          <a:lstStyle/>
          <a:p>
            <a:pPr>
              <a:defRPr sz="1200"/>
            </a:pPr>
            <a:endParaRPr lang="en-US"/>
          </a:p>
        </c:txPr>
        <c:crossAx val="169495168"/>
        <c:crosses val="autoZero"/>
        <c:crossBetween val="between"/>
      </c:valAx>
    </c:plotArea>
    <c:legend>
      <c:legendPos val="t"/>
      <c:layout>
        <c:manualLayout>
          <c:xMode val="edge"/>
          <c:yMode val="edge"/>
          <c:x val="0.21089597351266823"/>
          <c:y val="7.8250856523301798E-2"/>
          <c:w val="0.13842346071518044"/>
          <c:h val="0.2318847340008503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10430821875071"/>
          <c:y val="6.0979003054420146E-2"/>
          <c:w val="0.80098190213161424"/>
          <c:h val="0.83064707120677872"/>
        </c:manualLayout>
      </c:layout>
      <c:lineChart>
        <c:grouping val="standard"/>
        <c:varyColors val="0"/>
        <c:ser>
          <c:idx val="4"/>
          <c:order val="0"/>
          <c:tx>
            <c:strRef>
              <c:f>Summary!$B$121</c:f>
              <c:strCache>
                <c:ptCount val="1"/>
                <c:pt idx="0">
                  <c:v>25G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Summary!$C$121:$L$121</c:f>
              <c:numCache>
                <c:formatCode>_(* #,##0_);_(* \(#,##0\);_(* "-"??_);_(@_)</c:formatCode>
                <c:ptCount val="10"/>
                <c:pt idx="0">
                  <c:v>11694</c:v>
                </c:pt>
                <c:pt idx="1">
                  <c:v>113327</c:v>
                </c:pt>
                <c:pt idx="2">
                  <c:v>375687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563D-9542-A559-C232ED949B76}"/>
            </c:ext>
          </c:extLst>
        </c:ser>
        <c:ser>
          <c:idx val="0"/>
          <c:order val="1"/>
          <c:tx>
            <c:v>40G</c:v>
          </c:tx>
          <c:spPr>
            <a:ln>
              <a:solidFill>
                <a:schemeClr val="accent3"/>
              </a:solidFill>
            </a:ln>
          </c:spPr>
          <c:marker>
            <c:spPr>
              <a:solidFill>
                <a:schemeClr val="accent3"/>
              </a:solidFill>
              <a:ln>
                <a:solidFill>
                  <a:schemeClr val="accent3"/>
                </a:solidFill>
              </a:ln>
            </c:spPr>
          </c:marker>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Summary!$C$122:$L$122</c:f>
              <c:numCache>
                <c:formatCode>_(* #,##0_);_(* \(#,##0\);_(* "-"??_);_(@_)</c:formatCode>
                <c:ptCount val="10"/>
                <c:pt idx="0">
                  <c:v>3153068</c:v>
                </c:pt>
                <c:pt idx="1">
                  <c:v>3864160</c:v>
                </c:pt>
                <c:pt idx="2">
                  <c:v>3098123.5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9493-EC4F-A833-CE38BE01BC90}"/>
            </c:ext>
          </c:extLst>
        </c:ser>
        <c:ser>
          <c:idx val="6"/>
          <c:order val="2"/>
          <c:tx>
            <c:strRef>
              <c:f>Summary!$B$123</c:f>
              <c:strCache>
                <c:ptCount val="1"/>
                <c:pt idx="0">
                  <c:v>50G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Summary!$C$123:$L$123</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563D-9542-A559-C232ED949B76}"/>
            </c:ext>
          </c:extLst>
        </c:ser>
        <c:ser>
          <c:idx val="7"/>
          <c:order val="3"/>
          <c:tx>
            <c:strRef>
              <c:f>Summary!$B$125</c:f>
              <c:strCache>
                <c:ptCount val="1"/>
                <c:pt idx="0">
                  <c:v>200G</c:v>
                </c:pt>
              </c:strCache>
            </c:strRef>
          </c:tx>
          <c:marker>
            <c:symbol val="plus"/>
            <c:size val="7"/>
          </c:marker>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Summary!$C$125:$L$125</c:f>
              <c:numCache>
                <c:formatCode>_(* #,##0_);_(* \(#,##0\);_(* "-"??_);_(@_)</c:formatCode>
                <c:ptCount val="10"/>
                <c:pt idx="2">
                  <c:v>1000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563D-9542-A559-C232ED949B76}"/>
            </c:ext>
          </c:extLst>
        </c:ser>
        <c:ser>
          <c:idx val="5"/>
          <c:order val="4"/>
          <c:tx>
            <c:strRef>
              <c:f>Summary!$B$126</c:f>
              <c:strCache>
                <c:ptCount val="1"/>
                <c:pt idx="0">
                  <c:v>400G</c:v>
                </c:pt>
              </c:strCache>
            </c:strRef>
          </c:tx>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Summary!$C$126:$L$126</c:f>
              <c:numCache>
                <c:formatCode>_(* #,##0_);_(* \(#,##0\);_(* "-"??_);_(@_)</c:formatCode>
                <c:ptCount val="10"/>
                <c:pt idx="1">
                  <c:v>89</c:v>
                </c:pt>
                <c:pt idx="2">
                  <c:v>39000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563D-9542-A559-C232ED949B76}"/>
            </c:ext>
          </c:extLst>
        </c:ser>
        <c:ser>
          <c:idx val="8"/>
          <c:order val="5"/>
          <c:tx>
            <c:strRef>
              <c:f>Summary!$B$127</c:f>
              <c:strCache>
                <c:ptCount val="1"/>
                <c:pt idx="0">
                  <c:v>800G</c:v>
                </c:pt>
              </c:strCache>
            </c:strRef>
          </c:tx>
          <c:spPr>
            <a:ln>
              <a:solidFill>
                <a:srgbClr val="00B050"/>
              </a:solidFill>
            </a:ln>
          </c:spPr>
          <c:marker>
            <c:spPr>
              <a:solidFill>
                <a:srgbClr val="00B050"/>
              </a:solidFill>
              <a:ln>
                <a:solidFill>
                  <a:srgbClr val="00B050"/>
                </a:solidFill>
              </a:ln>
            </c:spPr>
          </c:marker>
          <c:cat>
            <c:numRef>
              <c:f>Summary!$C$118:$L$118</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Summary!$C$127:$L$127</c:f>
              <c:numCache>
                <c:formatCode>_(* #,##0_);_(* \(#,##0\);_(* "-"??_);_(@_)</c:formatCode>
                <c:ptCount val="10"/>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D6E9-C844-9D3A-CB9DAF54EC16}"/>
            </c:ext>
          </c:extLst>
        </c:ser>
        <c:dLbls>
          <c:showLegendKey val="0"/>
          <c:showVal val="0"/>
          <c:showCatName val="0"/>
          <c:showSerName val="0"/>
          <c:showPercent val="0"/>
          <c:showBubbleSize val="0"/>
        </c:dLbls>
        <c:marker val="1"/>
        <c:smooth val="0"/>
        <c:axId val="169756544"/>
        <c:axId val="169766912"/>
      </c:lineChart>
      <c:catAx>
        <c:axId val="169756544"/>
        <c:scaling>
          <c:orientation val="minMax"/>
        </c:scaling>
        <c:delete val="0"/>
        <c:axPos val="b"/>
        <c:numFmt formatCode="General" sourceLinked="1"/>
        <c:majorTickMark val="out"/>
        <c:minorTickMark val="none"/>
        <c:tickLblPos val="nextTo"/>
        <c:txPr>
          <a:bodyPr/>
          <a:lstStyle/>
          <a:p>
            <a:pPr>
              <a:defRPr sz="1200"/>
            </a:pPr>
            <a:endParaRPr lang="en-US"/>
          </a:p>
        </c:txPr>
        <c:crossAx val="169766912"/>
        <c:crosses val="autoZero"/>
        <c:auto val="1"/>
        <c:lblAlgn val="ctr"/>
        <c:lblOffset val="100"/>
        <c:noMultiLvlLbl val="0"/>
      </c:catAx>
      <c:valAx>
        <c:axId val="169766912"/>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2.5115545908029595E-2"/>
              <c:y val="0.19364728332974018"/>
            </c:manualLayout>
          </c:layout>
          <c:overlay val="0"/>
        </c:title>
        <c:numFmt formatCode="_(* #,##0_);_(* \(#,##0\);_(* &quot;-&quot;_);_(@_)" sourceLinked="0"/>
        <c:majorTickMark val="out"/>
        <c:minorTickMark val="none"/>
        <c:tickLblPos val="nextTo"/>
        <c:txPr>
          <a:bodyPr/>
          <a:lstStyle/>
          <a:p>
            <a:pPr>
              <a:defRPr sz="1200"/>
            </a:pPr>
            <a:endParaRPr lang="en-US"/>
          </a:p>
        </c:txPr>
        <c:crossAx val="169756544"/>
        <c:crosses val="autoZero"/>
        <c:crossBetween val="between"/>
      </c:valAx>
    </c:plotArea>
    <c:legend>
      <c:legendPos val="t"/>
      <c:layout>
        <c:manualLayout>
          <c:xMode val="edge"/>
          <c:yMode val="edge"/>
          <c:x val="0.2146402593009776"/>
          <c:y val="0.10103569231891681"/>
          <c:w val="0.19146329689239469"/>
          <c:h val="0.5432772394375798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60533338736253"/>
          <c:y val="5.383936369482302E-2"/>
          <c:w val="0.84204267984274561"/>
          <c:h val="0.85039737948044036"/>
        </c:manualLayout>
      </c:layout>
      <c:lineChart>
        <c:grouping val="standard"/>
        <c:varyColors val="0"/>
        <c:ser>
          <c:idx val="1"/>
          <c:order val="0"/>
          <c:tx>
            <c:strRef>
              <c:f>Summary!$B$137</c:f>
              <c:strCache>
                <c:ptCount val="1"/>
                <c:pt idx="0">
                  <c:v>10G</c:v>
                </c:pt>
              </c:strCache>
            </c:strRef>
          </c:tx>
          <c:marker>
            <c:symbol val="square"/>
            <c:size val="5"/>
          </c:marker>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Summary!$C$137:$L$137</c:f>
              <c:numCache>
                <c:formatCode>_("$"* #,##0_);_("$"* \(#,##0\);_("$"* "-"??_);_(@_)</c:formatCode>
                <c:ptCount val="10"/>
                <c:pt idx="0">
                  <c:v>588.89972784362988</c:v>
                </c:pt>
                <c:pt idx="1">
                  <c:v>486.60483553423245</c:v>
                </c:pt>
                <c:pt idx="2">
                  <c:v>471.41983653865219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547B-AE46-A98C-233E0A537257}"/>
            </c:ext>
          </c:extLst>
        </c:ser>
        <c:ser>
          <c:idx val="2"/>
          <c:order val="1"/>
          <c:tx>
            <c:strRef>
              <c:f>Summary!$B$139</c:f>
              <c:strCache>
                <c:ptCount val="1"/>
                <c:pt idx="0">
                  <c:v>40G</c:v>
                </c:pt>
              </c:strCache>
            </c:strRef>
          </c:tx>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Summary!$C$139:$L$139</c:f>
              <c:numCache>
                <c:formatCode>_("$"* #,##0_);_("$"* \(#,##0\);_("$"* "-"??_);_(@_)</c:formatCode>
                <c:ptCount val="10"/>
                <c:pt idx="0">
                  <c:v>787.93297017215446</c:v>
                </c:pt>
                <c:pt idx="1">
                  <c:v>904.27751564220159</c:v>
                </c:pt>
                <c:pt idx="2">
                  <c:v>539.48394892970373</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547B-AE46-A98C-233E0A537257}"/>
            </c:ext>
          </c:extLst>
        </c:ser>
        <c:ser>
          <c:idx val="3"/>
          <c:order val="2"/>
          <c:tx>
            <c:strRef>
              <c:f>Summary!$B$141</c:f>
              <c:strCache>
                <c:ptCount val="1"/>
                <c:pt idx="0">
                  <c:v>100G</c:v>
                </c:pt>
              </c:strCache>
            </c:strRef>
          </c:tx>
          <c:marker>
            <c:symbol val="circle"/>
            <c:size val="5"/>
          </c:marker>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Summary!$C$141:$L$141</c:f>
              <c:numCache>
                <c:formatCode>_("$"* #,##0_);_("$"* \(#,##0\);_("$"* "-"??_);_(@_)</c:formatCode>
                <c:ptCount val="10"/>
                <c:pt idx="0">
                  <c:v>1143.1589641396481</c:v>
                </c:pt>
                <c:pt idx="1">
                  <c:v>1653.8532387335786</c:v>
                </c:pt>
                <c:pt idx="2">
                  <c:v>2156.8222260170164</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547B-AE46-A98C-233E0A537257}"/>
            </c:ext>
          </c:extLst>
        </c:ser>
        <c:ser>
          <c:idx val="6"/>
          <c:order val="3"/>
          <c:tx>
            <c:strRef>
              <c:f>Summary!$B$142</c:f>
              <c:strCache>
                <c:ptCount val="1"/>
                <c:pt idx="0">
                  <c:v>200G</c:v>
                </c:pt>
              </c:strCache>
            </c:strRef>
          </c:tx>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Summary!$C$142:$L$142</c:f>
              <c:numCache>
                <c:formatCode>_("$"* #,##0.0_);_("$"* \(#,##0.0\);_("$"* "-"??_);_(@_)</c:formatCode>
                <c:ptCount val="10"/>
                <c:pt idx="2" formatCode="_(&quot;$&quot;* #,##0_);_(&quot;$&quot;* \(#,##0\);_(&quot;$&quot;* &quot;-&quot;??_);_(@_)">
                  <c:v>1.1000000000000001</c:v>
                </c:pt>
                <c:pt idx="3" formatCode="_(&quot;$&quot;* #,##0_);_(&quot;$&quot;* \(#,##0\);_(&quot;$&quot;* &quot;-&quot;??_);_(@_)">
                  <c:v>0</c:v>
                </c:pt>
                <c:pt idx="4" formatCode="_(&quot;$&quot;* #,##0_);_(&quot;$&quot;* \(#,##0\);_(&quot;$&quot;* &quot;-&quot;??_);_(@_)">
                  <c:v>0</c:v>
                </c:pt>
                <c:pt idx="5" formatCode="_(&quot;$&quot;* #,##0_);_(&quot;$&quot;* \(#,##0\);_(&quot;$&quot;* &quot;-&quot;??_);_(@_)">
                  <c:v>0</c:v>
                </c:pt>
                <c:pt idx="6" formatCode="_(&quot;$&quot;* #,##0_);_(&quot;$&quot;* \(#,##0\);_(&quot;$&quot;* &quot;-&quot;??_);_(@_)">
                  <c:v>0</c:v>
                </c:pt>
                <c:pt idx="7" formatCode="_(&quot;$&quot;* #,##0_);_(&quot;$&quot;* \(#,##0\);_(&quot;$&quot;* &quot;-&quot;??_);_(@_)">
                  <c:v>0</c:v>
                </c:pt>
                <c:pt idx="8" formatCode="_(&quot;$&quot;* #,##0_);_(&quot;$&quot;* \(#,##0\);_(&quot;$&quot;* &quot;-&quot;??_);_(@_)">
                  <c:v>0</c:v>
                </c:pt>
                <c:pt idx="9" formatCode="_(&quot;$&quot;* #,##0_);_(&quot;$&quot;* \(#,##0\);_(&quot;$&quot;* &quot;-&quot;??_);_(@_)">
                  <c:v>0</c:v>
                </c:pt>
              </c:numCache>
            </c:numRef>
          </c:val>
          <c:smooth val="0"/>
          <c:extLst xmlns:c16r2="http://schemas.microsoft.com/office/drawing/2015/06/chart">
            <c:ext xmlns:c16="http://schemas.microsoft.com/office/drawing/2014/chart" uri="{C3380CC4-5D6E-409C-BE32-E72D297353CC}">
              <c16:uniqueId val="{00000006-547B-AE46-A98C-233E0A537257}"/>
            </c:ext>
          </c:extLst>
        </c:ser>
        <c:ser>
          <c:idx val="5"/>
          <c:order val="4"/>
          <c:tx>
            <c:strRef>
              <c:f>Summary!$B$143</c:f>
              <c:strCache>
                <c:ptCount val="1"/>
                <c:pt idx="0">
                  <c:v>400G</c:v>
                </c:pt>
              </c:strCache>
            </c:strRef>
          </c:tx>
          <c:marker>
            <c:symbol val="circle"/>
            <c:size val="5"/>
          </c:marker>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Summary!$C$143:$L$143</c:f>
              <c:numCache>
                <c:formatCode>_("$"* #,##0_);_("$"* \(#,##0\);_("$"* "-"??_);_(@_)</c:formatCode>
                <c:ptCount val="10"/>
                <c:pt idx="1">
                  <c:v>1.3482999999999998</c:v>
                </c:pt>
                <c:pt idx="2">
                  <c:v>49.211999999999996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547B-AE46-A98C-233E0A537257}"/>
            </c:ext>
          </c:extLst>
        </c:ser>
        <c:ser>
          <c:idx val="8"/>
          <c:order val="5"/>
          <c:tx>
            <c:strRef>
              <c:f>Summary!$B$144</c:f>
              <c:strCache>
                <c:ptCount val="1"/>
                <c:pt idx="0">
                  <c:v>800G</c:v>
                </c:pt>
              </c:strCache>
            </c:strRef>
          </c:tx>
          <c:spPr>
            <a:ln>
              <a:solidFill>
                <a:srgbClr val="00B050"/>
              </a:solidFill>
            </a:ln>
          </c:spPr>
          <c:marker>
            <c:spPr>
              <a:solidFill>
                <a:srgbClr val="00B050"/>
              </a:solidFill>
              <a:ln>
                <a:solidFill>
                  <a:srgbClr val="00B050"/>
                </a:solidFill>
              </a:ln>
            </c:spPr>
          </c:marker>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Summary!$C$144:$L$144</c:f>
              <c:numCache>
                <c:formatCode>_("$"* #,##0_);_("$"* \(#,##0\);_("$"* "-"??_);_(@_)</c:formatCode>
                <c:ptCount val="10"/>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39BF-9C49-9DC9-C031F2F3D5A6}"/>
            </c:ext>
          </c:extLst>
        </c:ser>
        <c:dLbls>
          <c:showLegendKey val="0"/>
          <c:showVal val="0"/>
          <c:showCatName val="0"/>
          <c:showSerName val="0"/>
          <c:showPercent val="0"/>
          <c:showBubbleSize val="0"/>
        </c:dLbls>
        <c:marker val="1"/>
        <c:smooth val="0"/>
        <c:axId val="169801600"/>
        <c:axId val="169824256"/>
      </c:lineChart>
      <c:catAx>
        <c:axId val="169801600"/>
        <c:scaling>
          <c:orientation val="minMax"/>
        </c:scaling>
        <c:delete val="0"/>
        <c:axPos val="b"/>
        <c:numFmt formatCode="General" sourceLinked="1"/>
        <c:majorTickMark val="out"/>
        <c:minorTickMark val="none"/>
        <c:tickLblPos val="nextTo"/>
        <c:txPr>
          <a:bodyPr/>
          <a:lstStyle/>
          <a:p>
            <a:pPr>
              <a:defRPr sz="1200"/>
            </a:pPr>
            <a:endParaRPr lang="en-US"/>
          </a:p>
        </c:txPr>
        <c:crossAx val="169824256"/>
        <c:crosses val="autoZero"/>
        <c:auto val="1"/>
        <c:lblAlgn val="ctr"/>
        <c:lblOffset val="100"/>
        <c:noMultiLvlLbl val="0"/>
      </c:catAx>
      <c:valAx>
        <c:axId val="169824256"/>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4714083162781921E-2"/>
              <c:y val="0.28140922384701911"/>
            </c:manualLayout>
          </c:layout>
          <c:overlay val="0"/>
        </c:title>
        <c:numFmt formatCode="&quot;$&quot;#,##0" sourceLinked="0"/>
        <c:majorTickMark val="out"/>
        <c:minorTickMark val="none"/>
        <c:tickLblPos val="nextTo"/>
        <c:txPr>
          <a:bodyPr/>
          <a:lstStyle/>
          <a:p>
            <a:pPr>
              <a:defRPr sz="1200"/>
            </a:pPr>
            <a:endParaRPr lang="en-US"/>
          </a:p>
        </c:txPr>
        <c:crossAx val="169801600"/>
        <c:crosses val="autoZero"/>
        <c:crossBetween val="between"/>
      </c:valAx>
    </c:plotArea>
    <c:legend>
      <c:legendPos val="t"/>
      <c:layout>
        <c:manualLayout>
          <c:xMode val="edge"/>
          <c:yMode val="edge"/>
          <c:x val="0.14841397118921953"/>
          <c:y val="6.6181565103065915E-2"/>
          <c:w val="0.84466294951602017"/>
          <c:h val="8.275496934447793E-2"/>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32984035341698"/>
          <c:y val="4.9886318107985946E-2"/>
          <c:w val="0.84377666359227232"/>
          <c:h val="0.86620914310300245"/>
        </c:manualLayout>
      </c:layout>
      <c:lineChart>
        <c:grouping val="standard"/>
        <c:varyColors val="0"/>
        <c:ser>
          <c:idx val="0"/>
          <c:order val="0"/>
          <c:tx>
            <c:strRef>
              <c:f>Summary!$B$136</c:f>
              <c:strCache>
                <c:ptCount val="1"/>
                <c:pt idx="0">
                  <c:v>1G</c:v>
                </c:pt>
              </c:strCache>
            </c:strRef>
          </c:tx>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Summary!$C$136:$L$136</c:f>
              <c:numCache>
                <c:formatCode>_("$"* #,##0_);_("$"* \(#,##0\);_("$"* "-"??_);_(@_)</c:formatCode>
                <c:ptCount val="10"/>
                <c:pt idx="0">
                  <c:v>154.16513112975395</c:v>
                </c:pt>
                <c:pt idx="1">
                  <c:v>110.62740763127242</c:v>
                </c:pt>
                <c:pt idx="2">
                  <c:v>131.91376511999999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547B-AE46-A98C-233E0A537257}"/>
            </c:ext>
          </c:extLst>
        </c:ser>
        <c:ser>
          <c:idx val="4"/>
          <c:order val="1"/>
          <c:tx>
            <c:strRef>
              <c:f>Summary!$B$138</c:f>
              <c:strCache>
                <c:ptCount val="1"/>
                <c:pt idx="0">
                  <c:v>25G</c:v>
                </c:pt>
              </c:strCache>
            </c:strRef>
          </c:tx>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Summary!$C$138:$L$138</c:f>
              <c:numCache>
                <c:formatCode>_("$"* #,##0_);_("$"* \(#,##0\);_("$"* "-"??_);_(@_)</c:formatCode>
                <c:ptCount val="10"/>
                <c:pt idx="0" formatCode="_(&quot;$&quot;* #,##0.0_);_(&quot;$&quot;* \(#,##0.0\);_(&quot;$&quot;* &quot;-&quot;??_);_(@_)">
                  <c:v>3.4123060000000001</c:v>
                </c:pt>
                <c:pt idx="1">
                  <c:v>19.187075306914231</c:v>
                </c:pt>
                <c:pt idx="2">
                  <c:v>38.882710120000013</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547B-AE46-A98C-233E0A537257}"/>
            </c:ext>
          </c:extLst>
        </c:ser>
        <c:ser>
          <c:idx val="7"/>
          <c:order val="2"/>
          <c:tx>
            <c:strRef>
              <c:f>Summary!$B$140</c:f>
              <c:strCache>
                <c:ptCount val="1"/>
                <c:pt idx="0">
                  <c:v>50G</c:v>
                </c:pt>
              </c:strCache>
            </c:strRef>
          </c:tx>
          <c:marker>
            <c:symbol val="plus"/>
            <c:size val="7"/>
          </c:marker>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Summary!$C$140:$L$140</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547B-AE46-A98C-233E0A537257}"/>
            </c:ext>
          </c:extLst>
        </c:ser>
        <c:dLbls>
          <c:showLegendKey val="0"/>
          <c:showVal val="0"/>
          <c:showCatName val="0"/>
          <c:showSerName val="0"/>
          <c:showPercent val="0"/>
          <c:showBubbleSize val="0"/>
        </c:dLbls>
        <c:marker val="1"/>
        <c:smooth val="0"/>
        <c:axId val="169879808"/>
        <c:axId val="169881600"/>
      </c:lineChart>
      <c:catAx>
        <c:axId val="169879808"/>
        <c:scaling>
          <c:orientation val="minMax"/>
        </c:scaling>
        <c:delete val="0"/>
        <c:axPos val="b"/>
        <c:numFmt formatCode="General" sourceLinked="1"/>
        <c:majorTickMark val="out"/>
        <c:minorTickMark val="none"/>
        <c:tickLblPos val="nextTo"/>
        <c:txPr>
          <a:bodyPr/>
          <a:lstStyle/>
          <a:p>
            <a:pPr>
              <a:defRPr sz="1200"/>
            </a:pPr>
            <a:endParaRPr lang="en-US"/>
          </a:p>
        </c:txPr>
        <c:crossAx val="169881600"/>
        <c:crosses val="autoZero"/>
        <c:auto val="1"/>
        <c:lblAlgn val="ctr"/>
        <c:lblOffset val="100"/>
        <c:noMultiLvlLbl val="0"/>
      </c:catAx>
      <c:valAx>
        <c:axId val="169881600"/>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4714054866099497E-2"/>
              <c:y val="0.33855214008329271"/>
            </c:manualLayout>
          </c:layout>
          <c:overlay val="0"/>
        </c:title>
        <c:numFmt formatCode="&quot;$&quot;#,##0" sourceLinked="0"/>
        <c:majorTickMark val="out"/>
        <c:minorTickMark val="none"/>
        <c:tickLblPos val="nextTo"/>
        <c:txPr>
          <a:bodyPr/>
          <a:lstStyle/>
          <a:p>
            <a:pPr>
              <a:defRPr sz="1200"/>
            </a:pPr>
            <a:endParaRPr lang="en-US"/>
          </a:p>
        </c:txPr>
        <c:crossAx val="169879808"/>
        <c:crosses val="autoZero"/>
        <c:crossBetween val="between"/>
      </c:valAx>
    </c:plotArea>
    <c:legend>
      <c:legendPos val="t"/>
      <c:layout>
        <c:manualLayout>
          <c:xMode val="edge"/>
          <c:yMode val="edge"/>
          <c:x val="0.40693743246505415"/>
          <c:y val="6.6468542373345596E-2"/>
          <c:w val="0.27011681392233561"/>
          <c:h val="9.7114726789546066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04808094640299"/>
          <c:y val="4.7522815683520098E-2"/>
          <c:w val="0.65378166762576706"/>
          <c:h val="0.78416608000478838"/>
        </c:manualLayout>
      </c:layout>
      <c:lineChart>
        <c:grouping val="standard"/>
        <c:varyColors val="0"/>
        <c:ser>
          <c:idx val="0"/>
          <c:order val="0"/>
          <c:tx>
            <c:strRef>
              <c:f>Summary!$B$276</c:f>
              <c:strCache>
                <c:ptCount val="1"/>
                <c:pt idx="0">
                  <c:v>&lt;10G MMF</c:v>
                </c:pt>
              </c:strCache>
            </c:strRef>
          </c:tx>
          <c:marker>
            <c:symbol val="none"/>
          </c:marker>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Summary!$C$276:$L$276</c:f>
              <c:numCache>
                <c:formatCode>_(* #,##0_);_(* \(#,##0\);_(* "-"??_);_(@_)</c:formatCode>
                <c:ptCount val="10"/>
                <c:pt idx="0">
                  <c:v>4496175.0999999996</c:v>
                </c:pt>
                <c:pt idx="1">
                  <c:v>4278484</c:v>
                </c:pt>
                <c:pt idx="2">
                  <c:v>4962296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BA67-684C-A9F7-171CBA15FEFF}"/>
            </c:ext>
          </c:extLst>
        </c:ser>
        <c:ser>
          <c:idx val="1"/>
          <c:order val="1"/>
          <c:tx>
            <c:strRef>
              <c:f>Summary!$B$277</c:f>
              <c:strCache>
                <c:ptCount val="1"/>
                <c:pt idx="0">
                  <c:v>10G MMF</c:v>
                </c:pt>
              </c:strCache>
            </c:strRef>
          </c:tx>
          <c:marker>
            <c:symbol val="none"/>
          </c:marker>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Summary!$C$277:$L$277</c:f>
              <c:numCache>
                <c:formatCode>_(* #,##0_);_(* \(#,##0\);_(* "-"??_);_(@_)</c:formatCode>
                <c:ptCount val="10"/>
                <c:pt idx="0">
                  <c:v>13000883.93</c:v>
                </c:pt>
                <c:pt idx="1">
                  <c:v>14702610</c:v>
                </c:pt>
                <c:pt idx="2">
                  <c:v>16130297.5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BA67-684C-A9F7-171CBA15FEFF}"/>
            </c:ext>
          </c:extLst>
        </c:ser>
        <c:ser>
          <c:idx val="2"/>
          <c:order val="2"/>
          <c:tx>
            <c:strRef>
              <c:f>Summary!$B$278</c:f>
              <c:strCache>
                <c:ptCount val="1"/>
                <c:pt idx="0">
                  <c:v>25G MMF</c:v>
                </c:pt>
              </c:strCache>
            </c:strRef>
          </c:tx>
          <c:marker>
            <c:symbol val="none"/>
          </c:marker>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Summary!$C$278:$L$278</c:f>
              <c:numCache>
                <c:formatCode>_(* #,##0_);_(* \(#,##0\);_(* "-"??_);_(@_)</c:formatCode>
                <c:ptCount val="10"/>
                <c:pt idx="0">
                  <c:v>306387</c:v>
                </c:pt>
                <c:pt idx="1">
                  <c:v>727839</c:v>
                </c:pt>
                <c:pt idx="2">
                  <c:v>2251889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BA67-684C-A9F7-171CBA15FEFF}"/>
            </c:ext>
          </c:extLst>
        </c:ser>
        <c:ser>
          <c:idx val="3"/>
          <c:order val="3"/>
          <c:tx>
            <c:strRef>
              <c:f>Summary!$B$280</c:f>
              <c:strCache>
                <c:ptCount val="1"/>
                <c:pt idx="0">
                  <c:v>&lt;10G SMF</c:v>
                </c:pt>
              </c:strCache>
            </c:strRef>
          </c:tx>
          <c:marker>
            <c:symbol val="none"/>
          </c:marker>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Summary!$C$280:$L$280</c:f>
              <c:numCache>
                <c:formatCode>_(* #,##0_);_(* \(#,##0\);_(* "-"??_);_(@_)</c:formatCode>
                <c:ptCount val="10"/>
                <c:pt idx="0">
                  <c:v>9071235.0050000008</c:v>
                </c:pt>
                <c:pt idx="1">
                  <c:v>6995211.0500000007</c:v>
                </c:pt>
                <c:pt idx="2">
                  <c:v>9376680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BA67-684C-A9F7-171CBA15FEFF}"/>
            </c:ext>
          </c:extLst>
        </c:ser>
        <c:ser>
          <c:idx val="4"/>
          <c:order val="4"/>
          <c:tx>
            <c:strRef>
              <c:f>Summary!$B$281</c:f>
              <c:strCache>
                <c:ptCount val="1"/>
                <c:pt idx="0">
                  <c:v>10G SMF</c:v>
                </c:pt>
              </c:strCache>
            </c:strRef>
          </c:tx>
          <c:marker>
            <c:symbol val="none"/>
          </c:marker>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Summary!$C$281:$L$281</c:f>
              <c:numCache>
                <c:formatCode>_(* #,##0_);_(* \(#,##0\);_(* "-"??_);_(@_)</c:formatCode>
                <c:ptCount val="10"/>
                <c:pt idx="0">
                  <c:v>8669003</c:v>
                </c:pt>
                <c:pt idx="1">
                  <c:v>9106572.0999999996</c:v>
                </c:pt>
                <c:pt idx="2">
                  <c:v>8984831.0999999996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BA67-684C-A9F7-171CBA15FEFF}"/>
            </c:ext>
          </c:extLst>
        </c:ser>
        <c:ser>
          <c:idx val="5"/>
          <c:order val="5"/>
          <c:tx>
            <c:strRef>
              <c:f>Summary!$B$282</c:f>
              <c:strCache>
                <c:ptCount val="1"/>
                <c:pt idx="0">
                  <c:v>25G SMF</c:v>
                </c:pt>
              </c:strCache>
            </c:strRef>
          </c:tx>
          <c:marker>
            <c:symbol val="none"/>
          </c:marker>
          <c:cat>
            <c:numRef>
              <c:f>Summary!$C$275:$L$275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Summary!$C$282:$L$282</c:f>
              <c:numCache>
                <c:formatCode>_(* #,##0_);_(* \(#,##0\);_(* "-"??_);_(@_)</c:formatCode>
                <c:ptCount val="10"/>
                <c:pt idx="0">
                  <c:v>624677</c:v>
                </c:pt>
                <c:pt idx="1">
                  <c:v>2266978</c:v>
                </c:pt>
                <c:pt idx="2">
                  <c:v>4157822.7366946777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BA67-684C-A9F7-171CBA15FEFF}"/>
            </c:ext>
          </c:extLst>
        </c:ser>
        <c:dLbls>
          <c:showLegendKey val="0"/>
          <c:showVal val="0"/>
          <c:showCatName val="0"/>
          <c:showSerName val="0"/>
          <c:showPercent val="0"/>
          <c:showBubbleSize val="0"/>
        </c:dLbls>
        <c:marker val="1"/>
        <c:smooth val="0"/>
        <c:axId val="123186176"/>
        <c:axId val="123196160"/>
      </c:lineChart>
      <c:catAx>
        <c:axId val="123186176"/>
        <c:scaling>
          <c:orientation val="minMax"/>
        </c:scaling>
        <c:delete val="0"/>
        <c:axPos val="b"/>
        <c:numFmt formatCode="General" sourceLinked="1"/>
        <c:majorTickMark val="out"/>
        <c:minorTickMark val="none"/>
        <c:tickLblPos val="nextTo"/>
        <c:txPr>
          <a:bodyPr/>
          <a:lstStyle/>
          <a:p>
            <a:pPr>
              <a:defRPr sz="1200"/>
            </a:pPr>
            <a:endParaRPr lang="en-US"/>
          </a:p>
        </c:txPr>
        <c:crossAx val="123196160"/>
        <c:crosses val="autoZero"/>
        <c:auto val="1"/>
        <c:lblAlgn val="ctr"/>
        <c:lblOffset val="100"/>
        <c:noMultiLvlLbl val="0"/>
      </c:catAx>
      <c:valAx>
        <c:axId val="123196160"/>
        <c:scaling>
          <c:orientation val="minMax"/>
          <c:max val="16000000"/>
          <c:min val="0"/>
        </c:scaling>
        <c:delete val="0"/>
        <c:axPos val="l"/>
        <c:majorGridlines/>
        <c:title>
          <c:tx>
            <c:rich>
              <a:bodyPr rot="-5400000" vert="horz"/>
              <a:lstStyle/>
              <a:p>
                <a:pPr>
                  <a:defRPr sz="1400"/>
                </a:pPr>
                <a:r>
                  <a:rPr lang="en-US" sz="1400"/>
                  <a:t>Annual shipments</a:t>
                </a:r>
              </a:p>
            </c:rich>
          </c:tx>
          <c:overlay val="0"/>
        </c:title>
        <c:numFmt formatCode="_(* #,##0_);_(* \(#,##0\);_(* &quot;-&quot;??_);_(@_)" sourceLinked="1"/>
        <c:majorTickMark val="out"/>
        <c:minorTickMark val="none"/>
        <c:tickLblPos val="nextTo"/>
        <c:crossAx val="123186176"/>
        <c:crosses val="autoZero"/>
        <c:crossBetween val="between"/>
        <c:majorUnit val="2000000"/>
        <c:minorUnit val="400000"/>
      </c:valAx>
    </c:plotArea>
    <c:legend>
      <c:legendPos val="r"/>
      <c:layout>
        <c:manualLayout>
          <c:xMode val="edge"/>
          <c:yMode val="edge"/>
          <c:x val="0.82520750123625797"/>
          <c:y val="0.12970309109623801"/>
          <c:w val="0.163198295865191"/>
          <c:h val="0.7106312760402799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99693175859165"/>
          <c:y val="4.4374675798309345E-2"/>
          <c:w val="0.85792760567452775"/>
          <c:h val="0.86403869827235957"/>
        </c:manualLayout>
      </c:layout>
      <c:barChart>
        <c:barDir val="col"/>
        <c:grouping val="stacked"/>
        <c:varyColors val="0"/>
        <c:ser>
          <c:idx val="0"/>
          <c:order val="0"/>
          <c:tx>
            <c:strRef>
              <c:f>Summary!$B$160</c:f>
              <c:strCache>
                <c:ptCount val="1"/>
                <c:pt idx="0">
                  <c:v>50G &amp; below</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Summary!$C$160:$L$160</c:f>
              <c:numCache>
                <c:formatCode>_("$"* #,##0_);_("$"* \(#,##0\);_("$"* "-"??_);_(@_)</c:formatCode>
                <c:ptCount val="10"/>
                <c:pt idx="0">
                  <c:v>1534.4101351455383</c:v>
                </c:pt>
                <c:pt idx="1">
                  <c:v>1520.6968341146207</c:v>
                </c:pt>
                <c:pt idx="2">
                  <c:v>1181.7002607083559</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D65-1F4A-9073-3D899F10AD6F}"/>
            </c:ext>
          </c:extLst>
        </c:ser>
        <c:ser>
          <c:idx val="3"/>
          <c:order val="1"/>
          <c:tx>
            <c:strRef>
              <c:f>Summary!$B$141</c:f>
              <c:strCache>
                <c:ptCount val="1"/>
                <c:pt idx="0">
                  <c:v>100G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Summary!$C$141:$L$141</c:f>
              <c:numCache>
                <c:formatCode>_("$"* #,##0_);_("$"* \(#,##0\);_("$"* "-"??_);_(@_)</c:formatCode>
                <c:ptCount val="10"/>
                <c:pt idx="0">
                  <c:v>1143.1589641396481</c:v>
                </c:pt>
                <c:pt idx="1">
                  <c:v>1653.8532387335786</c:v>
                </c:pt>
                <c:pt idx="2">
                  <c:v>2156.8222260170164</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FD65-1F4A-9073-3D899F10AD6F}"/>
            </c:ext>
          </c:extLst>
        </c:ser>
        <c:ser>
          <c:idx val="6"/>
          <c:order val="2"/>
          <c:tx>
            <c:strRef>
              <c:f>Summary!$B$142</c:f>
              <c:strCache>
                <c:ptCount val="1"/>
                <c:pt idx="0">
                  <c:v>200G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Summary!$C$142:$L$142</c:f>
              <c:numCache>
                <c:formatCode>_("$"* #,##0.0_);_("$"* \(#,##0.0\);_("$"* "-"??_);_(@_)</c:formatCode>
                <c:ptCount val="10"/>
                <c:pt idx="2" formatCode="_(&quot;$&quot;* #,##0_);_(&quot;$&quot;* \(#,##0\);_(&quot;$&quot;* &quot;-&quot;??_);_(@_)">
                  <c:v>1.1000000000000001</c:v>
                </c:pt>
                <c:pt idx="3" formatCode="_(&quot;$&quot;* #,##0_);_(&quot;$&quot;* \(#,##0\);_(&quot;$&quot;* &quot;-&quot;??_);_(@_)">
                  <c:v>0</c:v>
                </c:pt>
                <c:pt idx="4" formatCode="_(&quot;$&quot;* #,##0_);_(&quot;$&quot;* \(#,##0\);_(&quot;$&quot;* &quot;-&quot;??_);_(@_)">
                  <c:v>0</c:v>
                </c:pt>
                <c:pt idx="5" formatCode="_(&quot;$&quot;* #,##0_);_(&quot;$&quot;* \(#,##0\);_(&quot;$&quot;* &quot;-&quot;??_);_(@_)">
                  <c:v>0</c:v>
                </c:pt>
                <c:pt idx="6" formatCode="_(&quot;$&quot;* #,##0_);_(&quot;$&quot;* \(#,##0\);_(&quot;$&quot;* &quot;-&quot;??_);_(@_)">
                  <c:v>0</c:v>
                </c:pt>
                <c:pt idx="7" formatCode="_(&quot;$&quot;* #,##0_);_(&quot;$&quot;* \(#,##0\);_(&quot;$&quot;* &quot;-&quot;??_);_(@_)">
                  <c:v>0</c:v>
                </c:pt>
                <c:pt idx="8" formatCode="_(&quot;$&quot;* #,##0_);_(&quot;$&quot;* \(#,##0\);_(&quot;$&quot;* &quot;-&quot;??_);_(@_)">
                  <c:v>0</c:v>
                </c:pt>
                <c:pt idx="9" formatCode="_(&quot;$&quot;* #,##0_);_(&quot;$&quot;* \(#,##0\);_(&quot;$&quot;* &quot;-&quot;??_);_(@_)">
                  <c:v>0</c:v>
                </c:pt>
              </c:numCache>
            </c:numRef>
          </c:val>
          <c:extLst xmlns:c16r2="http://schemas.microsoft.com/office/drawing/2015/06/chart">
            <c:ext xmlns:c16="http://schemas.microsoft.com/office/drawing/2014/chart" uri="{C3380CC4-5D6E-409C-BE32-E72D297353CC}">
              <c16:uniqueId val="{00000006-FD65-1F4A-9073-3D899F10AD6F}"/>
            </c:ext>
          </c:extLst>
        </c:ser>
        <c:ser>
          <c:idx val="5"/>
          <c:order val="3"/>
          <c:tx>
            <c:strRef>
              <c:f>Summary!$B$143</c:f>
              <c:strCache>
                <c:ptCount val="1"/>
                <c:pt idx="0">
                  <c:v>400G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Summary!$C$143:$L$143</c:f>
              <c:numCache>
                <c:formatCode>_("$"* #,##0_);_("$"* \(#,##0\);_("$"* "-"??_);_(@_)</c:formatCode>
                <c:ptCount val="10"/>
                <c:pt idx="1">
                  <c:v>1.3482999999999998</c:v>
                </c:pt>
                <c:pt idx="2">
                  <c:v>49.211999999999996</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7-FD65-1F4A-9073-3D899F10AD6F}"/>
            </c:ext>
          </c:extLst>
        </c:ser>
        <c:ser>
          <c:idx val="8"/>
          <c:order val="4"/>
          <c:tx>
            <c:strRef>
              <c:f>Summary!$B$144</c:f>
              <c:strCache>
                <c:ptCount val="1"/>
                <c:pt idx="0">
                  <c:v>800G</c:v>
                </c:pt>
              </c:strCache>
            </c:strRef>
          </c:tx>
          <c:invertIfNegative val="0"/>
          <c:cat>
            <c:numRef>
              <c:f>Summary!$C$135:$L$135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Summary!$C$144:$L$144</c:f>
              <c:numCache>
                <c:formatCode>_("$"* #,##0_);_("$"* \(#,##0\);_("$"* "-"??_);_(@_)</c:formatCode>
                <c:ptCount val="10"/>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8EA-CD4C-ABF1-D981B606955A}"/>
            </c:ext>
          </c:extLst>
        </c:ser>
        <c:dLbls>
          <c:showLegendKey val="0"/>
          <c:showVal val="0"/>
          <c:showCatName val="0"/>
          <c:showSerName val="0"/>
          <c:showPercent val="0"/>
          <c:showBubbleSize val="0"/>
        </c:dLbls>
        <c:gapWidth val="150"/>
        <c:overlap val="100"/>
        <c:axId val="170157184"/>
        <c:axId val="170158720"/>
      </c:barChart>
      <c:catAx>
        <c:axId val="170157184"/>
        <c:scaling>
          <c:orientation val="minMax"/>
        </c:scaling>
        <c:delete val="0"/>
        <c:axPos val="b"/>
        <c:numFmt formatCode="General" sourceLinked="1"/>
        <c:majorTickMark val="out"/>
        <c:minorTickMark val="none"/>
        <c:tickLblPos val="nextTo"/>
        <c:txPr>
          <a:bodyPr/>
          <a:lstStyle/>
          <a:p>
            <a:pPr>
              <a:defRPr sz="1200"/>
            </a:pPr>
            <a:endParaRPr lang="en-US"/>
          </a:p>
        </c:txPr>
        <c:crossAx val="170158720"/>
        <c:crosses val="autoZero"/>
        <c:auto val="1"/>
        <c:lblAlgn val="ctr"/>
        <c:lblOffset val="100"/>
        <c:noMultiLvlLbl val="0"/>
      </c:catAx>
      <c:valAx>
        <c:axId val="170158720"/>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3.2125982658516561E-4"/>
              <c:y val="0.27181822347087115"/>
            </c:manualLayout>
          </c:layout>
          <c:overlay val="0"/>
        </c:title>
        <c:numFmt formatCode="&quot;$&quot;#,##0" sourceLinked="0"/>
        <c:majorTickMark val="out"/>
        <c:minorTickMark val="none"/>
        <c:tickLblPos val="nextTo"/>
        <c:txPr>
          <a:bodyPr/>
          <a:lstStyle/>
          <a:p>
            <a:pPr>
              <a:defRPr sz="1200"/>
            </a:pPr>
            <a:endParaRPr lang="en-US"/>
          </a:p>
        </c:txPr>
        <c:crossAx val="170157184"/>
        <c:crosses val="autoZero"/>
        <c:crossBetween val="between"/>
      </c:valAx>
    </c:plotArea>
    <c:legend>
      <c:legendPos val="t"/>
      <c:layout>
        <c:manualLayout>
          <c:xMode val="edge"/>
          <c:yMode val="edge"/>
          <c:x val="0.15161505175983148"/>
          <c:y val="5.3444361631177745E-2"/>
          <c:w val="0.1778135445530335"/>
          <c:h val="0.40027111988373754"/>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 km - 40 km Reach</a:t>
            </a:r>
          </a:p>
        </c:rich>
      </c:tx>
      <c:layout>
        <c:manualLayout>
          <c:xMode val="edge"/>
          <c:yMode val="edge"/>
          <c:x val="0.48880726053821577"/>
          <c:y val="3.6654552171485583E-2"/>
        </c:manualLayout>
      </c:layout>
      <c:overlay val="1"/>
    </c:title>
    <c:autoTitleDeleted val="0"/>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Summary!$B$640</c:f>
              <c:strCache>
                <c:ptCount val="1"/>
                <c:pt idx="0">
                  <c:v>100G LR4_10 km_CFP</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Summary!$C$640:$L$640</c:f>
              <c:numCache>
                <c:formatCode>_(* #,##0_);_(* \(#,##0\);_(* "-"??_);_(@_)</c:formatCode>
                <c:ptCount val="10"/>
                <c:pt idx="0">
                  <c:v>109936</c:v>
                </c:pt>
                <c:pt idx="1">
                  <c:v>67349</c:v>
                </c:pt>
                <c:pt idx="2">
                  <c:v>38716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7CB8-0841-BB02-C4F11002BB48}"/>
            </c:ext>
          </c:extLst>
        </c:ser>
        <c:ser>
          <c:idx val="2"/>
          <c:order val="1"/>
          <c:tx>
            <c:strRef>
              <c:f>Summary!$B$641</c:f>
              <c:strCache>
                <c:ptCount val="1"/>
                <c:pt idx="0">
                  <c:v>100G LR4_10 km_CFP2/4</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Summary!$C$641:$L$641</c:f>
              <c:numCache>
                <c:formatCode>_(* #,##0_);_(* \(#,##0\);_(* "-"??_);_(@_)</c:formatCode>
                <c:ptCount val="10"/>
                <c:pt idx="0">
                  <c:v>92243</c:v>
                </c:pt>
                <c:pt idx="1">
                  <c:v>78202</c:v>
                </c:pt>
                <c:pt idx="2">
                  <c:v>73797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7CB8-0841-BB02-C4F11002BB48}"/>
            </c:ext>
          </c:extLst>
        </c:ser>
        <c:ser>
          <c:idx val="3"/>
          <c:order val="2"/>
          <c:tx>
            <c:strRef>
              <c:f>Summary!$B$642</c:f>
              <c:strCache>
                <c:ptCount val="1"/>
                <c:pt idx="0">
                  <c:v>100G LR4 and LR1_10 km_QSFP28</c:v>
                </c:pt>
              </c:strCache>
            </c:strRef>
          </c:tx>
          <c:marker>
            <c:symbol val="square"/>
            <c:size val="5"/>
          </c:marker>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Summary!$C$642:$L$642</c:f>
              <c:numCache>
                <c:formatCode>_(* #,##0_);_(* \(#,##0\);_(* "-"??_);_(@_)</c:formatCode>
                <c:ptCount val="10"/>
                <c:pt idx="0">
                  <c:v>90443</c:v>
                </c:pt>
                <c:pt idx="1">
                  <c:v>362352</c:v>
                </c:pt>
                <c:pt idx="2">
                  <c:v>397891.1176470588</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7CB8-0841-BB02-C4F11002BB48}"/>
            </c:ext>
          </c:extLst>
        </c:ser>
        <c:ser>
          <c:idx val="9"/>
          <c:order val="3"/>
          <c:tx>
            <c:strRef>
              <c:f>Summary!$B$643</c:f>
              <c:strCache>
                <c:ptCount val="1"/>
                <c:pt idx="0">
                  <c:v>100G 4WDM10_10 km_QSFP28</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Summary!$C$643:$L$643</c:f>
              <c:numCache>
                <c:formatCode>_(* #,##0_);_(* \(#,##0\);_(* "-"??_);_(@_)</c:formatCode>
                <c:ptCount val="10"/>
                <c:pt idx="1">
                  <c:v>45000</c:v>
                </c:pt>
                <c:pt idx="2">
                  <c:v>100000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8-7CB8-0841-BB02-C4F11002BB48}"/>
            </c:ext>
          </c:extLst>
        </c:ser>
        <c:ser>
          <c:idx val="6"/>
          <c:order val="4"/>
          <c:tx>
            <c:strRef>
              <c:f>Summary!$B$644</c:f>
              <c:strCache>
                <c:ptCount val="1"/>
                <c:pt idx="0">
                  <c:v>100G 4WDM20_20 km_QSFP28</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Summary!$C$644:$L$644</c:f>
              <c:numCache>
                <c:formatCode>_(* #,##0_);_(* \(#,##0\);_(* "-"??_);_(@_)</c:formatCode>
                <c:ptCount val="10"/>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9-7CB8-0841-BB02-C4F11002BB48}"/>
            </c:ext>
          </c:extLst>
        </c:ser>
        <c:ser>
          <c:idx val="4"/>
          <c:order val="5"/>
          <c:tx>
            <c:strRef>
              <c:f>Summary!$B$645</c:f>
              <c:strCache>
                <c:ptCount val="1"/>
                <c:pt idx="0">
                  <c:v>100G ER4, ER4-Lite_40 km_QSFP28</c:v>
                </c:pt>
              </c:strCache>
            </c:strRef>
          </c:tx>
          <c:cat>
            <c:numRef>
              <c:f>Summary!$C$634:$L$634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Summary!$C$645:$L$645</c:f>
              <c:numCache>
                <c:formatCode>_(* #,##0_);_(* \(#,##0\);_(* "-"??_);_(@_)</c:formatCode>
                <c:ptCount val="10"/>
                <c:pt idx="0">
                  <c:v>7456</c:v>
                </c:pt>
                <c:pt idx="1">
                  <c:v>10272</c:v>
                </c:pt>
                <c:pt idx="2">
                  <c:v>10106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A-7CB8-0841-BB02-C4F11002BB48}"/>
            </c:ext>
          </c:extLst>
        </c:ser>
        <c:dLbls>
          <c:showLegendKey val="0"/>
          <c:showVal val="0"/>
          <c:showCatName val="0"/>
          <c:showSerName val="0"/>
          <c:showPercent val="0"/>
          <c:showBubbleSize val="0"/>
        </c:dLbls>
        <c:marker val="1"/>
        <c:smooth val="0"/>
        <c:axId val="170210432"/>
        <c:axId val="170211968"/>
      </c:lineChart>
      <c:catAx>
        <c:axId val="170210432"/>
        <c:scaling>
          <c:orientation val="minMax"/>
        </c:scaling>
        <c:delete val="0"/>
        <c:axPos val="b"/>
        <c:numFmt formatCode="General" sourceLinked="1"/>
        <c:majorTickMark val="out"/>
        <c:minorTickMark val="none"/>
        <c:tickLblPos val="nextTo"/>
        <c:txPr>
          <a:bodyPr/>
          <a:lstStyle/>
          <a:p>
            <a:pPr>
              <a:defRPr sz="1000"/>
            </a:pPr>
            <a:endParaRPr lang="en-US"/>
          </a:p>
        </c:txPr>
        <c:crossAx val="170211968"/>
        <c:crosses val="autoZero"/>
        <c:auto val="1"/>
        <c:lblAlgn val="ctr"/>
        <c:lblOffset val="100"/>
        <c:noMultiLvlLbl val="0"/>
      </c:catAx>
      <c:valAx>
        <c:axId val="170211968"/>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000"/>
            </a:pPr>
            <a:endParaRPr lang="en-US"/>
          </a:p>
        </c:txPr>
        <c:crossAx val="170210432"/>
        <c:crosses val="autoZero"/>
        <c:crossBetween val="between"/>
      </c:valAx>
    </c:plotArea>
    <c:legend>
      <c:legendPos val="t"/>
      <c:layout>
        <c:manualLayout>
          <c:xMode val="edge"/>
          <c:yMode val="edge"/>
          <c:x val="0.15059163192836192"/>
          <c:y val="4.971068616422946E-2"/>
          <c:w val="0.31353217594788602"/>
          <c:h val="0.44477076153279527"/>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500m - 2 km Reach</a:t>
            </a:r>
          </a:p>
        </c:rich>
      </c:tx>
      <c:layout>
        <c:manualLayout>
          <c:xMode val="edge"/>
          <c:yMode val="edge"/>
          <c:x val="0.51517162172910214"/>
          <c:y val="2.660333072304152E-2"/>
        </c:manualLayout>
      </c:layout>
      <c:overlay val="1"/>
    </c:title>
    <c:autoTitleDeleted val="0"/>
    <c:plotArea>
      <c:layout>
        <c:manualLayout>
          <c:layoutTarget val="inner"/>
          <c:xMode val="edge"/>
          <c:yMode val="edge"/>
          <c:x val="0.16567489063867016"/>
          <c:y val="3.2895576992769252E-2"/>
          <c:w val="0.79113101973364441"/>
          <c:h val="0.88129472991329527"/>
        </c:manualLayout>
      </c:layout>
      <c:lineChart>
        <c:grouping val="standard"/>
        <c:varyColors val="0"/>
        <c:ser>
          <c:idx val="0"/>
          <c:order val="0"/>
          <c:tx>
            <c:strRef>
              <c:f>Summary!$B$635</c:f>
              <c:strCache>
                <c:ptCount val="1"/>
                <c:pt idx="0">
                  <c:v>100G PSM4_500 m_QSFP28</c:v>
                </c:pt>
              </c:strCache>
            </c:strRef>
          </c:tx>
          <c:cat>
            <c:numRef>
              <c:f>Summary!$F$634:$L$634</c:f>
              <c:numCache>
                <c:formatCode>General</c:formatCode>
                <c:ptCount val="7"/>
                <c:pt idx="0">
                  <c:v>2019</c:v>
                </c:pt>
                <c:pt idx="1">
                  <c:v>2020</c:v>
                </c:pt>
                <c:pt idx="2">
                  <c:v>2021</c:v>
                </c:pt>
                <c:pt idx="3">
                  <c:v>2022</c:v>
                </c:pt>
                <c:pt idx="4">
                  <c:v>2023</c:v>
                </c:pt>
                <c:pt idx="5">
                  <c:v>2024</c:v>
                </c:pt>
                <c:pt idx="6">
                  <c:v>2025</c:v>
                </c:pt>
              </c:numCache>
            </c:numRef>
          </c:cat>
          <c:val>
            <c:numRef>
              <c:f>Summary!$F$635:$L$635</c:f>
              <c:numCache>
                <c:formatCode>_(* #,##0_);_(* \(#,##0\);_(* "-"??_);_(@_)</c:formatCode>
                <c:ptCount val="7"/>
                <c:pt idx="0">
                  <c:v>0</c:v>
                </c:pt>
                <c:pt idx="1">
                  <c:v>0</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0-5DCE-3642-9899-C31AB7F0A551}"/>
            </c:ext>
          </c:extLst>
        </c:ser>
        <c:ser>
          <c:idx val="7"/>
          <c:order val="1"/>
          <c:tx>
            <c:strRef>
              <c:f>Summary!$B$636</c:f>
              <c:strCache>
                <c:ptCount val="1"/>
                <c:pt idx="0">
                  <c:v>100G DR_500 m_QSFP28</c:v>
                </c:pt>
              </c:strCache>
            </c:strRef>
          </c:tx>
          <c:cat>
            <c:numRef>
              <c:f>Summary!$F$634:$L$634</c:f>
              <c:numCache>
                <c:formatCode>General</c:formatCode>
                <c:ptCount val="7"/>
                <c:pt idx="0">
                  <c:v>2019</c:v>
                </c:pt>
                <c:pt idx="1">
                  <c:v>2020</c:v>
                </c:pt>
                <c:pt idx="2">
                  <c:v>2021</c:v>
                </c:pt>
                <c:pt idx="3">
                  <c:v>2022</c:v>
                </c:pt>
                <c:pt idx="4">
                  <c:v>2023</c:v>
                </c:pt>
                <c:pt idx="5">
                  <c:v>2024</c:v>
                </c:pt>
                <c:pt idx="6">
                  <c:v>2025</c:v>
                </c:pt>
              </c:numCache>
            </c:numRef>
          </c:cat>
          <c:val>
            <c:numRef>
              <c:f>Summary!$F$636:$L$636</c:f>
              <c:numCache>
                <c:formatCode>_(* #,##0_);_(* \(#,##0\);_(* "-"??_);_(@_)</c:formatCode>
                <c:ptCount val="7"/>
                <c:pt idx="0">
                  <c:v>0</c:v>
                </c:pt>
                <c:pt idx="1">
                  <c:v>0</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1-5DCE-3642-9899-C31AB7F0A551}"/>
            </c:ext>
          </c:extLst>
        </c:ser>
        <c:ser>
          <c:idx val="8"/>
          <c:order val="2"/>
          <c:tx>
            <c:strRef>
              <c:f>Summary!$B$637</c:f>
              <c:strCache>
                <c:ptCount val="1"/>
                <c:pt idx="0">
                  <c:v>100G CWDM4-subspec_500 m_QSFP28</c:v>
                </c:pt>
              </c:strCache>
            </c:strRef>
          </c:tx>
          <c:cat>
            <c:numRef>
              <c:f>Summary!$F$634:$L$634</c:f>
              <c:numCache>
                <c:formatCode>General</c:formatCode>
                <c:ptCount val="7"/>
                <c:pt idx="0">
                  <c:v>2019</c:v>
                </c:pt>
                <c:pt idx="1">
                  <c:v>2020</c:v>
                </c:pt>
                <c:pt idx="2">
                  <c:v>2021</c:v>
                </c:pt>
                <c:pt idx="3">
                  <c:v>2022</c:v>
                </c:pt>
                <c:pt idx="4">
                  <c:v>2023</c:v>
                </c:pt>
                <c:pt idx="5">
                  <c:v>2024</c:v>
                </c:pt>
                <c:pt idx="6">
                  <c:v>2025</c:v>
                </c:pt>
              </c:numCache>
            </c:numRef>
          </c:cat>
          <c:val>
            <c:numRef>
              <c:f>Summary!$F$637:$L$637</c:f>
              <c:numCache>
                <c:formatCode>_(* #,##0_);_(* \(#,##0\);_(* "-"??_);_(@_)</c:formatCode>
                <c:ptCount val="7"/>
                <c:pt idx="0">
                  <c:v>0</c:v>
                </c:pt>
                <c:pt idx="1">
                  <c:v>0</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2-5DCE-3642-9899-C31AB7F0A551}"/>
            </c:ext>
          </c:extLst>
        </c:ser>
        <c:ser>
          <c:idx val="5"/>
          <c:order val="3"/>
          <c:tx>
            <c:strRef>
              <c:f>Summary!$B$638</c:f>
              <c:strCache>
                <c:ptCount val="1"/>
                <c:pt idx="0">
                  <c:v>100G CWDM4_2 km_QSFP28</c:v>
                </c:pt>
              </c:strCache>
            </c:strRef>
          </c:tx>
          <c:cat>
            <c:numRef>
              <c:f>Summary!$F$634:$L$634</c:f>
              <c:numCache>
                <c:formatCode>General</c:formatCode>
                <c:ptCount val="7"/>
                <c:pt idx="0">
                  <c:v>2019</c:v>
                </c:pt>
                <c:pt idx="1">
                  <c:v>2020</c:v>
                </c:pt>
                <c:pt idx="2">
                  <c:v>2021</c:v>
                </c:pt>
                <c:pt idx="3">
                  <c:v>2022</c:v>
                </c:pt>
                <c:pt idx="4">
                  <c:v>2023</c:v>
                </c:pt>
                <c:pt idx="5">
                  <c:v>2024</c:v>
                </c:pt>
                <c:pt idx="6">
                  <c:v>2025</c:v>
                </c:pt>
              </c:numCache>
            </c:numRef>
          </c:cat>
          <c:val>
            <c:numRef>
              <c:f>Summary!$F$638:$L$638</c:f>
              <c:numCache>
                <c:formatCode>_(* #,##0_);_(* \(#,##0\);_(* "-"??_);_(@_)</c:formatCode>
                <c:ptCount val="7"/>
                <c:pt idx="0">
                  <c:v>0</c:v>
                </c:pt>
                <c:pt idx="1">
                  <c:v>0</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3-5DCE-3642-9899-C31AB7F0A551}"/>
            </c:ext>
          </c:extLst>
        </c:ser>
        <c:ser>
          <c:idx val="10"/>
          <c:order val="4"/>
          <c:tx>
            <c:strRef>
              <c:f>Summary!$B$639</c:f>
              <c:strCache>
                <c:ptCount val="1"/>
                <c:pt idx="0">
                  <c:v>100G FR1_2 km_QSFP28</c:v>
                </c:pt>
              </c:strCache>
            </c:strRef>
          </c:tx>
          <c:cat>
            <c:numRef>
              <c:f>Summary!$F$634:$L$634</c:f>
              <c:numCache>
                <c:formatCode>General</c:formatCode>
                <c:ptCount val="7"/>
                <c:pt idx="0">
                  <c:v>2019</c:v>
                </c:pt>
                <c:pt idx="1">
                  <c:v>2020</c:v>
                </c:pt>
                <c:pt idx="2">
                  <c:v>2021</c:v>
                </c:pt>
                <c:pt idx="3">
                  <c:v>2022</c:v>
                </c:pt>
                <c:pt idx="4">
                  <c:v>2023</c:v>
                </c:pt>
                <c:pt idx="5">
                  <c:v>2024</c:v>
                </c:pt>
                <c:pt idx="6">
                  <c:v>2025</c:v>
                </c:pt>
              </c:numCache>
            </c:numRef>
          </c:cat>
          <c:val>
            <c:numRef>
              <c:f>Summary!$F$639:$L$639</c:f>
              <c:numCache>
                <c:formatCode>_(* #,##0_);_(* \(#,##0\);_(* "-"??_);_(@_)</c:formatCode>
                <c:ptCount val="7"/>
                <c:pt idx="0">
                  <c:v>0</c:v>
                </c:pt>
                <c:pt idx="1">
                  <c:v>0</c:v>
                </c:pt>
                <c:pt idx="2">
                  <c:v>0</c:v>
                </c:pt>
                <c:pt idx="3">
                  <c:v>0</c:v>
                </c:pt>
                <c:pt idx="4">
                  <c:v>0</c:v>
                </c:pt>
                <c:pt idx="5">
                  <c:v>0</c:v>
                </c:pt>
                <c:pt idx="6">
                  <c:v>0</c:v>
                </c:pt>
              </c:numCache>
            </c:numRef>
          </c:val>
          <c:smooth val="0"/>
          <c:extLst xmlns:c16r2="http://schemas.microsoft.com/office/drawing/2015/06/chart">
            <c:ext xmlns:c16="http://schemas.microsoft.com/office/drawing/2014/chart" uri="{C3380CC4-5D6E-409C-BE32-E72D297353CC}">
              <c16:uniqueId val="{00000004-5DCE-3642-9899-C31AB7F0A551}"/>
            </c:ext>
          </c:extLst>
        </c:ser>
        <c:dLbls>
          <c:showLegendKey val="0"/>
          <c:showVal val="0"/>
          <c:showCatName val="0"/>
          <c:showSerName val="0"/>
          <c:showPercent val="0"/>
          <c:showBubbleSize val="0"/>
        </c:dLbls>
        <c:marker val="1"/>
        <c:smooth val="0"/>
        <c:axId val="170259200"/>
        <c:axId val="170260736"/>
      </c:lineChart>
      <c:catAx>
        <c:axId val="170259200"/>
        <c:scaling>
          <c:orientation val="minMax"/>
        </c:scaling>
        <c:delete val="0"/>
        <c:axPos val="b"/>
        <c:numFmt formatCode="General" sourceLinked="1"/>
        <c:majorTickMark val="out"/>
        <c:minorTickMark val="none"/>
        <c:tickLblPos val="nextTo"/>
        <c:txPr>
          <a:bodyPr/>
          <a:lstStyle/>
          <a:p>
            <a:pPr>
              <a:defRPr sz="1000"/>
            </a:pPr>
            <a:endParaRPr lang="en-US"/>
          </a:p>
        </c:txPr>
        <c:crossAx val="170260736"/>
        <c:crosses val="autoZero"/>
        <c:auto val="1"/>
        <c:lblAlgn val="ctr"/>
        <c:lblOffset val="100"/>
        <c:noMultiLvlLbl val="0"/>
      </c:catAx>
      <c:valAx>
        <c:axId val="170260736"/>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2892855059784193E-2"/>
              <c:y val="0.14833887125365874"/>
            </c:manualLayout>
          </c:layout>
          <c:overlay val="0"/>
        </c:title>
        <c:numFmt formatCode="#,##0" sourceLinked="0"/>
        <c:majorTickMark val="out"/>
        <c:minorTickMark val="none"/>
        <c:tickLblPos val="nextTo"/>
        <c:txPr>
          <a:bodyPr/>
          <a:lstStyle/>
          <a:p>
            <a:pPr>
              <a:defRPr sz="1000"/>
            </a:pPr>
            <a:endParaRPr lang="en-US"/>
          </a:p>
        </c:txPr>
        <c:crossAx val="170259200"/>
        <c:crosses val="autoZero"/>
        <c:crossBetween val="between"/>
      </c:valAx>
    </c:plotArea>
    <c:legend>
      <c:legendPos val="t"/>
      <c:layout>
        <c:manualLayout>
          <c:xMode val="edge"/>
          <c:yMode val="edge"/>
          <c:x val="0.17017517254787595"/>
          <c:y val="3.4445479655357214E-2"/>
          <c:w val="0.33032180068400541"/>
          <c:h val="0.29397308874096073"/>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500m - 2 km Reach</a:t>
            </a:r>
            <a:endParaRPr lang="en-US">
              <a:effectLst/>
            </a:endParaRPr>
          </a:p>
        </c:rich>
      </c:tx>
      <c:layout>
        <c:manualLayout>
          <c:xMode val="edge"/>
          <c:yMode val="edge"/>
          <c:x val="0.41913566720485257"/>
          <c:y val="0.24398892515796347"/>
        </c:manualLayout>
      </c:layout>
      <c:overlay val="1"/>
    </c:title>
    <c:autoTitleDeleted val="0"/>
    <c:plotArea>
      <c:layout>
        <c:manualLayout>
          <c:layoutTarget val="inner"/>
          <c:xMode val="edge"/>
          <c:yMode val="edge"/>
          <c:x val="0.12907819443361657"/>
          <c:y val="9.2787092789871878E-2"/>
          <c:w val="0.85306213455991264"/>
          <c:h val="0.8253064690443106"/>
        </c:manualLayout>
      </c:layout>
      <c:lineChart>
        <c:grouping val="standard"/>
        <c:varyColors val="0"/>
        <c:ser>
          <c:idx val="0"/>
          <c:order val="0"/>
          <c:tx>
            <c:strRef>
              <c:f>Summary!$B$663</c:f>
              <c:strCache>
                <c:ptCount val="1"/>
                <c:pt idx="0">
                  <c:v>100G PSM4_500 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Summary!$C$663:$L$663</c:f>
              <c:numCache>
                <c:formatCode>_("$"* #,##0_);_("$"* \(#,##0\);_("$"* "-"??_);_(@_)</c:formatCode>
                <c:ptCount val="10"/>
                <c:pt idx="0">
                  <c:v>67.773890240000014</c:v>
                </c:pt>
                <c:pt idx="1">
                  <c:v>158.09400299999999</c:v>
                </c:pt>
                <c:pt idx="2">
                  <c:v>96.70092799999999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84A1-914C-A9C3-AE1A8529D042}"/>
            </c:ext>
          </c:extLst>
        </c:ser>
        <c:ser>
          <c:idx val="1"/>
          <c:order val="1"/>
          <c:tx>
            <c:strRef>
              <c:f>Summary!$B$664</c:f>
              <c:strCache>
                <c:ptCount val="1"/>
                <c:pt idx="0">
                  <c:v>100G DR_500 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Summary!$C$664:$L$664</c:f>
              <c:numCache>
                <c:formatCode>_("$"* #,##0_);_("$"* \(#,##0\);_("$"* "-"??_);_(@_)</c:formatCode>
                <c:ptCount val="10"/>
                <c:pt idx="0">
                  <c:v>0</c:v>
                </c:pt>
                <c:pt idx="1">
                  <c:v>0</c:v>
                </c:pt>
                <c:pt idx="2">
                  <c:v>1.2</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84A1-914C-A9C3-AE1A8529D042}"/>
            </c:ext>
          </c:extLst>
        </c:ser>
        <c:ser>
          <c:idx val="2"/>
          <c:order val="2"/>
          <c:tx>
            <c:strRef>
              <c:f>Summary!$B$665</c:f>
              <c:strCache>
                <c:ptCount val="1"/>
                <c:pt idx="0">
                  <c:v>100G CWDM4-subspec_500 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Summary!$C$665:$L$665</c:f>
              <c:numCache>
                <c:formatCode>_("$"* #,##0_);_("$"* \(#,##0\);_("$"* "-"??_);_(@_)</c:formatCode>
                <c:ptCount val="10"/>
                <c:pt idx="0">
                  <c:v>55.125374999999998</c:v>
                </c:pt>
                <c:pt idx="1">
                  <c:v>307.53544499999998</c:v>
                </c:pt>
                <c:pt idx="2">
                  <c:v>308</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84A1-914C-A9C3-AE1A8529D042}"/>
            </c:ext>
          </c:extLst>
        </c:ser>
        <c:ser>
          <c:idx val="3"/>
          <c:order val="3"/>
          <c:tx>
            <c:strRef>
              <c:f>Summary!$B$666</c:f>
              <c:strCache>
                <c:ptCount val="1"/>
                <c:pt idx="0">
                  <c:v>100G CWDM4_2 km_QSFP28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Summary!$C$666:$L$666</c:f>
              <c:numCache>
                <c:formatCode>_("$"* #,##0_);_("$"* \(#,##0\);_("$"* "-"??_);_(@_)</c:formatCode>
                <c:ptCount val="10"/>
                <c:pt idx="0">
                  <c:v>25.566254999999995</c:v>
                </c:pt>
                <c:pt idx="1">
                  <c:v>190.37908500000003</c:v>
                </c:pt>
                <c:pt idx="2">
                  <c:v>914.48338333333322</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84A1-914C-A9C3-AE1A8529D042}"/>
            </c:ext>
          </c:extLst>
        </c:ser>
        <c:ser>
          <c:idx val="4"/>
          <c:order val="4"/>
          <c:tx>
            <c:strRef>
              <c:f>Summary!$B$667</c:f>
              <c:strCache>
                <c:ptCount val="1"/>
                <c:pt idx="0">
                  <c:v>100G FR1_2 km_QSFP28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Summary!$C$667:$L$667</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84A1-914C-A9C3-AE1A8529D042}"/>
            </c:ext>
          </c:extLst>
        </c:ser>
        <c:dLbls>
          <c:showLegendKey val="0"/>
          <c:showVal val="0"/>
          <c:showCatName val="0"/>
          <c:showSerName val="0"/>
          <c:showPercent val="0"/>
          <c:showBubbleSize val="0"/>
        </c:dLbls>
        <c:marker val="1"/>
        <c:smooth val="0"/>
        <c:axId val="170377216"/>
        <c:axId val="170378752"/>
      </c:lineChart>
      <c:catAx>
        <c:axId val="170377216"/>
        <c:scaling>
          <c:orientation val="minMax"/>
        </c:scaling>
        <c:delete val="0"/>
        <c:axPos val="b"/>
        <c:numFmt formatCode="General" sourceLinked="1"/>
        <c:majorTickMark val="out"/>
        <c:minorTickMark val="none"/>
        <c:tickLblPos val="nextTo"/>
        <c:crossAx val="170378752"/>
        <c:crosses val="autoZero"/>
        <c:auto val="1"/>
        <c:lblAlgn val="ctr"/>
        <c:lblOffset val="100"/>
        <c:noMultiLvlLbl val="0"/>
      </c:catAx>
      <c:valAx>
        <c:axId val="170378752"/>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1.6779449598503159E-2"/>
              <c:y val="0.23756042802342014"/>
            </c:manualLayout>
          </c:layout>
          <c:overlay val="0"/>
        </c:title>
        <c:numFmt formatCode="&quot;$&quot;#,##0" sourceLinked="0"/>
        <c:majorTickMark val="out"/>
        <c:minorTickMark val="none"/>
        <c:tickLblPos val="nextTo"/>
        <c:crossAx val="170377216"/>
        <c:crosses val="autoZero"/>
        <c:crossBetween val="between"/>
      </c:valAx>
    </c:plotArea>
    <c:legend>
      <c:legendPos val="l"/>
      <c:layout>
        <c:manualLayout>
          <c:xMode val="edge"/>
          <c:yMode val="edge"/>
          <c:x val="0.12832926893206623"/>
          <c:y val="2.8389443379508203E-2"/>
          <c:w val="0.85052637805384634"/>
          <c:h val="0.18382500725164974"/>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10 km - 40 km Reach</a:t>
            </a:r>
            <a:endParaRPr lang="en-US">
              <a:effectLst/>
            </a:endParaRPr>
          </a:p>
        </c:rich>
      </c:tx>
      <c:layout>
        <c:manualLayout>
          <c:xMode val="edge"/>
          <c:yMode val="edge"/>
          <c:x val="0.40352210241903447"/>
          <c:y val="0.19298250945780066"/>
        </c:manualLayout>
      </c:layout>
      <c:overlay val="1"/>
    </c:title>
    <c:autoTitleDeleted val="0"/>
    <c:plotArea>
      <c:layout>
        <c:manualLayout>
          <c:layoutTarget val="inner"/>
          <c:xMode val="edge"/>
          <c:yMode val="edge"/>
          <c:x val="0.12767766468215863"/>
          <c:y val="0.10847329975778416"/>
          <c:w val="0.85446268484732091"/>
          <c:h val="0.80962006067690584"/>
        </c:manualLayout>
      </c:layout>
      <c:lineChart>
        <c:grouping val="standard"/>
        <c:varyColors val="0"/>
        <c:ser>
          <c:idx val="5"/>
          <c:order val="0"/>
          <c:tx>
            <c:strRef>
              <c:f>Summary!$B$668</c:f>
              <c:strCache>
                <c:ptCount val="1"/>
                <c:pt idx="0">
                  <c:v>100G LR4_10 km_CFP</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Summary!$C$668:$L$668</c:f>
              <c:numCache>
                <c:formatCode>_("$"* #,##0_);_("$"* \(#,##0\);_("$"* "-"??_);_(@_)</c:formatCode>
                <c:ptCount val="10"/>
                <c:pt idx="0">
                  <c:v>387.84002208207454</c:v>
                </c:pt>
                <c:pt idx="1">
                  <c:v>186.42675405916248</c:v>
                </c:pt>
                <c:pt idx="2">
                  <c:v>81.455872165940619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2E3F-0442-AB9C-3972521F7D5C}"/>
            </c:ext>
          </c:extLst>
        </c:ser>
        <c:ser>
          <c:idx val="6"/>
          <c:order val="1"/>
          <c:tx>
            <c:strRef>
              <c:f>Summary!$B$669</c:f>
              <c:strCache>
                <c:ptCount val="1"/>
                <c:pt idx="0">
                  <c:v>100G LR4_10 km_CFP2/4</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Summary!$C$669:$L$669</c:f>
              <c:numCache>
                <c:formatCode>_("$"* #,##0_);_("$"* \(#,##0\);_("$"* "-"??_);_(@_)</c:formatCode>
                <c:ptCount val="10"/>
                <c:pt idx="0">
                  <c:v>265.89292589706986</c:v>
                </c:pt>
                <c:pt idx="1">
                  <c:v>167.37814313065076</c:v>
                </c:pt>
                <c:pt idx="2">
                  <c:v>101.21498299999995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6-2E3F-0442-AB9C-3972521F7D5C}"/>
            </c:ext>
          </c:extLst>
        </c:ser>
        <c:ser>
          <c:idx val="7"/>
          <c:order val="2"/>
          <c:tx>
            <c:strRef>
              <c:f>Summary!$B$670</c:f>
              <c:strCache>
                <c:ptCount val="1"/>
                <c:pt idx="0">
                  <c:v>100G LR4 and LR1_10 km_QSFP28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Summary!$C$670:$L$670</c:f>
              <c:numCache>
                <c:formatCode>_("$"* #,##0_);_("$"* \(#,##0\);_("$"* "-"??_);_(@_)</c:formatCode>
                <c:ptCount val="10"/>
                <c:pt idx="0">
                  <c:v>175.29210971636297</c:v>
                </c:pt>
                <c:pt idx="1">
                  <c:v>434.82240000000002</c:v>
                </c:pt>
                <c:pt idx="2">
                  <c:v>331.77466984830187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7-2E3F-0442-AB9C-3972521F7D5C}"/>
            </c:ext>
          </c:extLst>
        </c:ser>
        <c:ser>
          <c:idx val="8"/>
          <c:order val="3"/>
          <c:tx>
            <c:strRef>
              <c:f>Summary!$B$671</c:f>
              <c:strCache>
                <c:ptCount val="1"/>
                <c:pt idx="0">
                  <c:v>100G 4WDM10_10 km_QSFP28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Summary!$C$671:$L$671</c:f>
              <c:numCache>
                <c:formatCode>_("$"* #,##0_);_("$"* \(#,##0\);_("$"* "-"??_);_(@_)</c:formatCode>
                <c:ptCount val="10"/>
                <c:pt idx="0">
                  <c:v>0</c:v>
                </c:pt>
                <c:pt idx="1">
                  <c:v>22.5</c:v>
                </c:pt>
                <c:pt idx="2">
                  <c:v>30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8-2E3F-0442-AB9C-3972521F7D5C}"/>
            </c:ext>
          </c:extLst>
        </c:ser>
        <c:ser>
          <c:idx val="9"/>
          <c:order val="4"/>
          <c:tx>
            <c:strRef>
              <c:f>Summary!$B$672</c:f>
              <c:strCache>
                <c:ptCount val="1"/>
                <c:pt idx="0">
                  <c:v>100G 4WDM20_20 km_QSFP28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Summary!$C$672:$L$672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9-2E3F-0442-AB9C-3972521F7D5C}"/>
            </c:ext>
          </c:extLst>
        </c:ser>
        <c:ser>
          <c:idx val="10"/>
          <c:order val="5"/>
          <c:tx>
            <c:strRef>
              <c:f>Summary!$B$673</c:f>
              <c:strCache>
                <c:ptCount val="1"/>
                <c:pt idx="0">
                  <c:v>100G ER4, ER4-Lite_40 km_QSFP28</c:v>
                </c:pt>
              </c:strCache>
            </c:strRef>
          </c:tx>
          <c:cat>
            <c:numRef>
              <c:f>Summary!$C$662:$L$662</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Summary!$C$673:$L$673</c:f>
              <c:numCache>
                <c:formatCode>_("$"* #,##0_);_("$"* \(#,##0\);_("$"* "-"??_);_(@_)</c:formatCode>
                <c:ptCount val="10"/>
                <c:pt idx="0">
                  <c:v>67.047040204140799</c:v>
                </c:pt>
                <c:pt idx="1">
                  <c:v>62.072948163045439</c:v>
                </c:pt>
                <c:pt idx="2">
                  <c:v>40.059037122546464</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A-2E3F-0442-AB9C-3972521F7D5C}"/>
            </c:ext>
          </c:extLst>
        </c:ser>
        <c:dLbls>
          <c:showLegendKey val="0"/>
          <c:showVal val="0"/>
          <c:showCatName val="0"/>
          <c:showSerName val="0"/>
          <c:showPercent val="0"/>
          <c:showBubbleSize val="0"/>
        </c:dLbls>
        <c:marker val="1"/>
        <c:smooth val="0"/>
        <c:axId val="170455424"/>
        <c:axId val="170456960"/>
      </c:lineChart>
      <c:catAx>
        <c:axId val="170455424"/>
        <c:scaling>
          <c:orientation val="minMax"/>
        </c:scaling>
        <c:delete val="0"/>
        <c:axPos val="b"/>
        <c:numFmt formatCode="General" sourceLinked="1"/>
        <c:majorTickMark val="out"/>
        <c:minorTickMark val="none"/>
        <c:tickLblPos val="nextTo"/>
        <c:crossAx val="170456960"/>
        <c:crosses val="autoZero"/>
        <c:auto val="1"/>
        <c:lblAlgn val="ctr"/>
        <c:lblOffset val="100"/>
        <c:noMultiLvlLbl val="0"/>
      </c:catAx>
      <c:valAx>
        <c:axId val="170456960"/>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2.2027270981371236E-2"/>
              <c:y val="0.2969314341325312"/>
            </c:manualLayout>
          </c:layout>
          <c:overlay val="0"/>
        </c:title>
        <c:numFmt formatCode="&quot;$&quot;#,##0" sourceLinked="0"/>
        <c:majorTickMark val="out"/>
        <c:minorTickMark val="none"/>
        <c:tickLblPos val="nextTo"/>
        <c:crossAx val="170455424"/>
        <c:crosses val="autoZero"/>
        <c:crossBetween val="between"/>
      </c:valAx>
    </c:plotArea>
    <c:legend>
      <c:legendPos val="l"/>
      <c:layout>
        <c:manualLayout>
          <c:xMode val="edge"/>
          <c:yMode val="edge"/>
          <c:x val="0.12872234711995242"/>
          <c:y val="2.1474242705965665E-2"/>
          <c:w val="0.85126207335299575"/>
          <c:h val="0.16244181860528215"/>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10GbE</a:t>
            </a:r>
            <a:r>
              <a:rPr lang="en-US" baseline="0"/>
              <a:t> Shipments by Reach</a:t>
            </a:r>
            <a:endParaRPr lang="en-US"/>
          </a:p>
        </c:rich>
      </c:tx>
      <c:layout/>
      <c:overlay val="0"/>
      <c:spPr>
        <a:noFill/>
        <a:ln>
          <a:noFill/>
        </a:ln>
        <a:effectLst/>
      </c:spPr>
    </c:title>
    <c:autoTitleDeleted val="0"/>
    <c:plotArea>
      <c:layout/>
      <c:lineChart>
        <c:grouping val="standard"/>
        <c:varyColors val="0"/>
        <c:ser>
          <c:idx val="0"/>
          <c:order val="0"/>
          <c:tx>
            <c:strRef>
              <c:f>Summary!$B$864</c:f>
              <c:strCache>
                <c:ptCount val="1"/>
                <c:pt idx="0">
                  <c:v>10G MMF</c:v>
                </c:pt>
              </c:strCache>
            </c:strRef>
          </c:tx>
          <c:spPr>
            <a:ln w="28575" cap="rnd">
              <a:solidFill>
                <a:schemeClr val="accent1"/>
              </a:solidFill>
              <a:round/>
            </a:ln>
            <a:effectLst/>
          </c:spPr>
          <c:marker>
            <c:symbol val="none"/>
          </c:marker>
          <c:cat>
            <c:numRef>
              <c:f>Summary!$C$863:$G$863</c:f>
              <c:numCache>
                <c:formatCode>General</c:formatCode>
                <c:ptCount val="5"/>
                <c:pt idx="0">
                  <c:v>2016</c:v>
                </c:pt>
                <c:pt idx="1">
                  <c:v>2017</c:v>
                </c:pt>
                <c:pt idx="2">
                  <c:v>2018</c:v>
                </c:pt>
                <c:pt idx="3">
                  <c:v>2019</c:v>
                </c:pt>
                <c:pt idx="4">
                  <c:v>2020</c:v>
                </c:pt>
              </c:numCache>
            </c:numRef>
          </c:cat>
          <c:val>
            <c:numRef>
              <c:f>Summary!$C$864:$G$864</c:f>
              <c:numCache>
                <c:formatCode>_(* #,##0_);_(* \(#,##0\);_(* "-"??_);_(@_)</c:formatCode>
                <c:ptCount val="5"/>
                <c:pt idx="0">
                  <c:v>13000883.93</c:v>
                </c:pt>
                <c:pt idx="1">
                  <c:v>14702610</c:v>
                </c:pt>
                <c:pt idx="2">
                  <c:v>16130297.5</c:v>
                </c:pt>
                <c:pt idx="3">
                  <c:v>0</c:v>
                </c:pt>
                <c:pt idx="4">
                  <c:v>0</c:v>
                </c:pt>
              </c:numCache>
            </c:numRef>
          </c:val>
          <c:smooth val="0"/>
          <c:extLst xmlns:c16r2="http://schemas.microsoft.com/office/drawing/2015/06/chart">
            <c:ext xmlns:c16="http://schemas.microsoft.com/office/drawing/2014/chart" uri="{C3380CC4-5D6E-409C-BE32-E72D297353CC}">
              <c16:uniqueId val="{00000000-13AA-114C-9A06-CA4B4621762D}"/>
            </c:ext>
          </c:extLst>
        </c:ser>
        <c:ser>
          <c:idx val="1"/>
          <c:order val="1"/>
          <c:tx>
            <c:strRef>
              <c:f>Summary!$B$865</c:f>
              <c:strCache>
                <c:ptCount val="1"/>
                <c:pt idx="0">
                  <c:v>10G 10km</c:v>
                </c:pt>
              </c:strCache>
            </c:strRef>
          </c:tx>
          <c:spPr>
            <a:ln w="28575" cap="rnd">
              <a:solidFill>
                <a:schemeClr val="accent2"/>
              </a:solidFill>
              <a:round/>
            </a:ln>
            <a:effectLst/>
          </c:spPr>
          <c:marker>
            <c:symbol val="none"/>
          </c:marker>
          <c:cat>
            <c:numRef>
              <c:f>Summary!$C$863:$G$863</c:f>
              <c:numCache>
                <c:formatCode>General</c:formatCode>
                <c:ptCount val="5"/>
                <c:pt idx="0">
                  <c:v>2016</c:v>
                </c:pt>
                <c:pt idx="1">
                  <c:v>2017</c:v>
                </c:pt>
                <c:pt idx="2">
                  <c:v>2018</c:v>
                </c:pt>
                <c:pt idx="3">
                  <c:v>2019</c:v>
                </c:pt>
                <c:pt idx="4">
                  <c:v>2020</c:v>
                </c:pt>
              </c:numCache>
            </c:numRef>
          </c:cat>
          <c:val>
            <c:numRef>
              <c:f>Summary!$C$865:$G$865</c:f>
              <c:numCache>
                <c:formatCode>_(* #,##0_);_(* \(#,##0\);_(* "-"??_);_(@_)</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3AA-114C-9A06-CA4B4621762D}"/>
            </c:ext>
          </c:extLst>
        </c:ser>
        <c:ser>
          <c:idx val="2"/>
          <c:order val="2"/>
          <c:tx>
            <c:strRef>
              <c:f>Summary!$B$866</c:f>
              <c:strCache>
                <c:ptCount val="1"/>
                <c:pt idx="0">
                  <c:v>10G 40/80km</c:v>
                </c:pt>
              </c:strCache>
            </c:strRef>
          </c:tx>
          <c:spPr>
            <a:ln w="28575" cap="rnd">
              <a:solidFill>
                <a:schemeClr val="accent3"/>
              </a:solidFill>
              <a:round/>
            </a:ln>
            <a:effectLst/>
          </c:spPr>
          <c:marker>
            <c:symbol val="none"/>
          </c:marker>
          <c:cat>
            <c:numRef>
              <c:f>Summary!$C$863:$G$863</c:f>
              <c:numCache>
                <c:formatCode>General</c:formatCode>
                <c:ptCount val="5"/>
                <c:pt idx="0">
                  <c:v>2016</c:v>
                </c:pt>
                <c:pt idx="1">
                  <c:v>2017</c:v>
                </c:pt>
                <c:pt idx="2">
                  <c:v>2018</c:v>
                </c:pt>
                <c:pt idx="3">
                  <c:v>2019</c:v>
                </c:pt>
                <c:pt idx="4">
                  <c:v>2020</c:v>
                </c:pt>
              </c:numCache>
            </c:numRef>
          </c:cat>
          <c:val>
            <c:numRef>
              <c:f>Summary!$C$866:$G$866</c:f>
              <c:numCache>
                <c:formatCode>_(* #,##0_);_(* \(#,##0\);_(* "-"??_);_(@_)</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13AA-114C-9A06-CA4B4621762D}"/>
            </c:ext>
          </c:extLst>
        </c:ser>
        <c:dLbls>
          <c:showLegendKey val="0"/>
          <c:showVal val="0"/>
          <c:showCatName val="0"/>
          <c:showSerName val="0"/>
          <c:showPercent val="0"/>
          <c:showBubbleSize val="0"/>
        </c:dLbls>
        <c:marker val="1"/>
        <c:smooth val="0"/>
        <c:axId val="170652800"/>
        <c:axId val="170654336"/>
      </c:lineChart>
      <c:catAx>
        <c:axId val="17065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70654336"/>
        <c:crosses val="autoZero"/>
        <c:auto val="1"/>
        <c:lblAlgn val="ctr"/>
        <c:lblOffset val="100"/>
        <c:noMultiLvlLbl val="0"/>
      </c:catAx>
      <c:valAx>
        <c:axId val="170654336"/>
        <c:scaling>
          <c:logBase val="10"/>
          <c:orientation val="minMax"/>
          <c:min val="1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70652800"/>
        <c:crosses val="autoZero"/>
        <c:crossBetween val="between"/>
      </c:valAx>
      <c:spPr>
        <a:noFill/>
        <a:ln>
          <a:noFill/>
        </a:ln>
        <a:effectLst/>
      </c:spPr>
    </c:plotArea>
    <c:legend>
      <c:legendPos val="b"/>
      <c:layout>
        <c:manualLayout>
          <c:xMode val="edge"/>
          <c:yMode val="edge"/>
          <c:x val="0.22424828956507686"/>
          <c:y val="0.74694633369369245"/>
          <c:w val="0.69118230944325731"/>
          <c:h val="5.771901569646117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100GbE</a:t>
            </a:r>
            <a:r>
              <a:rPr lang="en-US" baseline="0"/>
              <a:t> Shipments by Reach</a:t>
            </a:r>
            <a:endParaRPr lang="en-US"/>
          </a:p>
        </c:rich>
      </c:tx>
      <c:layout/>
      <c:overlay val="0"/>
      <c:spPr>
        <a:noFill/>
        <a:ln>
          <a:noFill/>
        </a:ln>
        <a:effectLst/>
      </c:spPr>
    </c:title>
    <c:autoTitleDeleted val="0"/>
    <c:plotArea>
      <c:layout/>
      <c:lineChart>
        <c:grouping val="standard"/>
        <c:varyColors val="0"/>
        <c:ser>
          <c:idx val="0"/>
          <c:order val="0"/>
          <c:tx>
            <c:strRef>
              <c:f>Summary!$B$871</c:f>
              <c:strCache>
                <c:ptCount val="1"/>
                <c:pt idx="0">
                  <c:v>100G MMF</c:v>
                </c:pt>
              </c:strCache>
            </c:strRef>
          </c:tx>
          <c:spPr>
            <a:ln w="28575" cap="rnd">
              <a:solidFill>
                <a:schemeClr val="accent1"/>
              </a:solidFill>
              <a:round/>
            </a:ln>
            <a:effectLst/>
          </c:spPr>
          <c:marker>
            <c:symbol val="none"/>
          </c:marker>
          <c:cat>
            <c:numRef>
              <c:f>Summary!$H$863:$L$863</c:f>
              <c:numCache>
                <c:formatCode>General</c:formatCode>
                <c:ptCount val="5"/>
                <c:pt idx="0">
                  <c:v>2021</c:v>
                </c:pt>
                <c:pt idx="1">
                  <c:v>2022</c:v>
                </c:pt>
                <c:pt idx="2">
                  <c:v>2023</c:v>
                </c:pt>
                <c:pt idx="3">
                  <c:v>2024</c:v>
                </c:pt>
                <c:pt idx="4">
                  <c:v>2025</c:v>
                </c:pt>
              </c:numCache>
            </c:numRef>
          </c:cat>
          <c:val>
            <c:numRef>
              <c:f>Summary!$H$871:$L$871</c:f>
              <c:numCache>
                <c:formatCode>_(* #,##0_);_(* \(#,##0\);_(* "-"??_);_(@_)</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4C47-C442-8AF9-E5BD7835E327}"/>
            </c:ext>
          </c:extLst>
        </c:ser>
        <c:ser>
          <c:idx val="1"/>
          <c:order val="1"/>
          <c:tx>
            <c:strRef>
              <c:f>Summary!$B$872</c:f>
              <c:strCache>
                <c:ptCount val="1"/>
                <c:pt idx="0">
                  <c:v>100G 10km</c:v>
                </c:pt>
              </c:strCache>
            </c:strRef>
          </c:tx>
          <c:spPr>
            <a:ln w="28575" cap="rnd">
              <a:solidFill>
                <a:schemeClr val="accent2"/>
              </a:solidFill>
              <a:round/>
            </a:ln>
            <a:effectLst/>
          </c:spPr>
          <c:marker>
            <c:symbol val="none"/>
          </c:marker>
          <c:cat>
            <c:numRef>
              <c:f>Summary!$H$863:$L$863</c:f>
              <c:numCache>
                <c:formatCode>General</c:formatCode>
                <c:ptCount val="5"/>
                <c:pt idx="0">
                  <c:v>2021</c:v>
                </c:pt>
                <c:pt idx="1">
                  <c:v>2022</c:v>
                </c:pt>
                <c:pt idx="2">
                  <c:v>2023</c:v>
                </c:pt>
                <c:pt idx="3">
                  <c:v>2024</c:v>
                </c:pt>
                <c:pt idx="4">
                  <c:v>2025</c:v>
                </c:pt>
              </c:numCache>
            </c:numRef>
          </c:cat>
          <c:val>
            <c:numRef>
              <c:f>Summary!$H$872:$L$872</c:f>
              <c:numCache>
                <c:formatCode>_(* #,##0_);_(* \(#,##0\);_(* "-"??_);_(@_)</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C47-C442-8AF9-E5BD7835E327}"/>
            </c:ext>
          </c:extLst>
        </c:ser>
        <c:ser>
          <c:idx val="2"/>
          <c:order val="2"/>
          <c:tx>
            <c:strRef>
              <c:f>Summary!$B$873</c:f>
              <c:strCache>
                <c:ptCount val="1"/>
                <c:pt idx="0">
                  <c:v>100G 30/80km</c:v>
                </c:pt>
              </c:strCache>
            </c:strRef>
          </c:tx>
          <c:spPr>
            <a:ln w="28575" cap="rnd">
              <a:solidFill>
                <a:schemeClr val="accent3"/>
              </a:solidFill>
              <a:round/>
            </a:ln>
            <a:effectLst/>
          </c:spPr>
          <c:marker>
            <c:symbol val="none"/>
          </c:marker>
          <c:cat>
            <c:numRef>
              <c:f>Summary!$H$863:$L$863</c:f>
              <c:numCache>
                <c:formatCode>General</c:formatCode>
                <c:ptCount val="5"/>
                <c:pt idx="0">
                  <c:v>2021</c:v>
                </c:pt>
                <c:pt idx="1">
                  <c:v>2022</c:v>
                </c:pt>
                <c:pt idx="2">
                  <c:v>2023</c:v>
                </c:pt>
                <c:pt idx="3">
                  <c:v>2024</c:v>
                </c:pt>
                <c:pt idx="4">
                  <c:v>2025</c:v>
                </c:pt>
              </c:numCache>
            </c:numRef>
          </c:cat>
          <c:val>
            <c:numRef>
              <c:f>Summary!$H$873:$L$873</c:f>
              <c:numCache>
                <c:formatCode>_(* #,##0_);_(* \(#,##0\);_(* "-"??_);_(@_)</c:formatCode>
                <c:ptCount val="5"/>
                <c:pt idx="0">
                  <c:v>12000</c:v>
                </c:pt>
                <c:pt idx="1">
                  <c:v>42000</c:v>
                </c:pt>
                <c:pt idx="2">
                  <c:v>126000</c:v>
                </c:pt>
                <c:pt idx="3">
                  <c:v>220500</c:v>
                </c:pt>
                <c:pt idx="4">
                  <c:v>297675</c:v>
                </c:pt>
              </c:numCache>
            </c:numRef>
          </c:val>
          <c:smooth val="0"/>
          <c:extLst xmlns:c16r2="http://schemas.microsoft.com/office/drawing/2015/06/chart">
            <c:ext xmlns:c16="http://schemas.microsoft.com/office/drawing/2014/chart" uri="{C3380CC4-5D6E-409C-BE32-E72D297353CC}">
              <c16:uniqueId val="{00000002-4C47-C442-8AF9-E5BD7835E327}"/>
            </c:ext>
          </c:extLst>
        </c:ser>
        <c:dLbls>
          <c:showLegendKey val="0"/>
          <c:showVal val="0"/>
          <c:showCatName val="0"/>
          <c:showSerName val="0"/>
          <c:showPercent val="0"/>
          <c:showBubbleSize val="0"/>
        </c:dLbls>
        <c:marker val="1"/>
        <c:smooth val="0"/>
        <c:axId val="170772352"/>
        <c:axId val="170773888"/>
      </c:lineChart>
      <c:catAx>
        <c:axId val="170772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70773888"/>
        <c:crosses val="autoZero"/>
        <c:auto val="1"/>
        <c:lblAlgn val="ctr"/>
        <c:lblOffset val="100"/>
        <c:noMultiLvlLbl val="0"/>
      </c:catAx>
      <c:valAx>
        <c:axId val="170773888"/>
        <c:scaling>
          <c:logBase val="10"/>
          <c:orientation val="minMax"/>
          <c:min val="1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70772352"/>
        <c:crosses val="autoZero"/>
        <c:crossBetween val="between"/>
      </c:valAx>
      <c:spPr>
        <a:noFill/>
        <a:ln>
          <a:noFill/>
        </a:ln>
        <a:effectLst/>
      </c:spPr>
    </c:plotArea>
    <c:legend>
      <c:legendPos val="b"/>
      <c:layout>
        <c:manualLayout>
          <c:xMode val="edge"/>
          <c:yMode val="edge"/>
          <c:x val="0.22424828956507686"/>
          <c:y val="0.74694633369369245"/>
          <c:w val="0.69118230944325731"/>
          <c:h val="5.771901569646117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48044122258653"/>
          <c:y val="3.778602565976448E-2"/>
          <c:w val="0.8461988279895738"/>
          <c:h val="0.88510710065066112"/>
        </c:manualLayout>
      </c:layout>
      <c:lineChart>
        <c:grouping val="standard"/>
        <c:varyColors val="0"/>
        <c:ser>
          <c:idx val="2"/>
          <c:order val="0"/>
          <c:tx>
            <c:strRef>
              <c:f>Summary!$B$840</c:f>
              <c:strCache>
                <c:ptCount val="1"/>
                <c:pt idx="0">
                  <c:v>800G SR8_50 m_OSFP, QSFP-DD800</c:v>
                </c:pt>
              </c:strCache>
            </c:strRef>
          </c:tx>
          <c:spPr>
            <a:ln>
              <a:solidFill>
                <a:schemeClr val="accent2"/>
              </a:solidFill>
            </a:ln>
          </c:spPr>
          <c:marker>
            <c:spPr>
              <a:solidFill>
                <a:schemeClr val="accent2"/>
              </a:solidFill>
              <a:ln>
                <a:solidFill>
                  <a:schemeClr val="accent2"/>
                </a:solidFill>
              </a:ln>
            </c:spPr>
          </c:marker>
          <c:cat>
            <c:numRef>
              <c:f>Summary!$G$839:$L$839</c:f>
              <c:numCache>
                <c:formatCode>General</c:formatCode>
                <c:ptCount val="6"/>
                <c:pt idx="0">
                  <c:v>2020</c:v>
                </c:pt>
                <c:pt idx="1">
                  <c:v>2021</c:v>
                </c:pt>
                <c:pt idx="2">
                  <c:v>2022</c:v>
                </c:pt>
                <c:pt idx="3">
                  <c:v>2023</c:v>
                </c:pt>
                <c:pt idx="4">
                  <c:v>2024</c:v>
                </c:pt>
                <c:pt idx="5">
                  <c:v>2025</c:v>
                </c:pt>
              </c:numCache>
            </c:numRef>
          </c:cat>
          <c:val>
            <c:numRef>
              <c:f>Summary!$G$840:$L$840</c:f>
              <c:numCache>
                <c:formatCode>_(* #,##0_);_(* \(#,##0\);_(* "-"??_);_(@_)</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DCD4-1B4A-BF00-DACF0025900F}"/>
            </c:ext>
          </c:extLst>
        </c:ser>
        <c:ser>
          <c:idx val="0"/>
          <c:order val="1"/>
          <c:tx>
            <c:strRef>
              <c:f>Summary!$B$841</c:f>
              <c:strCache>
                <c:ptCount val="1"/>
                <c:pt idx="0">
                  <c:v>800G PSM8_500 m_OSFP, QSFP-DD800</c:v>
                </c:pt>
              </c:strCache>
            </c:strRef>
          </c:tx>
          <c:cat>
            <c:numRef>
              <c:f>Summary!$G$839:$L$839</c:f>
              <c:numCache>
                <c:formatCode>General</c:formatCode>
                <c:ptCount val="6"/>
                <c:pt idx="0">
                  <c:v>2020</c:v>
                </c:pt>
                <c:pt idx="1">
                  <c:v>2021</c:v>
                </c:pt>
                <c:pt idx="2">
                  <c:v>2022</c:v>
                </c:pt>
                <c:pt idx="3">
                  <c:v>2023</c:v>
                </c:pt>
                <c:pt idx="4">
                  <c:v>2024</c:v>
                </c:pt>
                <c:pt idx="5">
                  <c:v>2025</c:v>
                </c:pt>
              </c:numCache>
            </c:numRef>
          </c:cat>
          <c:val>
            <c:numRef>
              <c:f>Summary!$G$841:$L$841</c:f>
              <c:numCache>
                <c:formatCode>_(* #,##0_);_(* \(#,##0\);_(* "-"??_);_(@_)</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1-DCD4-1B4A-BF00-DACF0025900F}"/>
            </c:ext>
          </c:extLst>
        </c:ser>
        <c:ser>
          <c:idx val="1"/>
          <c:order val="2"/>
          <c:tx>
            <c:strRef>
              <c:f>Summary!$B$842</c:f>
              <c:strCache>
                <c:ptCount val="1"/>
                <c:pt idx="0">
                  <c:v>2x(400G FR4)_2 km_OSFP, QSFP-DD800</c:v>
                </c:pt>
              </c:strCache>
            </c:strRef>
          </c:tx>
          <c:spPr>
            <a:ln>
              <a:solidFill>
                <a:schemeClr val="accent4"/>
              </a:solidFill>
            </a:ln>
          </c:spPr>
          <c:marker>
            <c:spPr>
              <a:solidFill>
                <a:schemeClr val="accent4"/>
              </a:solidFill>
              <a:ln>
                <a:solidFill>
                  <a:schemeClr val="accent4"/>
                </a:solidFill>
              </a:ln>
            </c:spPr>
          </c:marker>
          <c:cat>
            <c:numRef>
              <c:f>Summary!$G$839:$L$839</c:f>
              <c:numCache>
                <c:formatCode>General</c:formatCode>
                <c:ptCount val="6"/>
                <c:pt idx="0">
                  <c:v>2020</c:v>
                </c:pt>
                <c:pt idx="1">
                  <c:v>2021</c:v>
                </c:pt>
                <c:pt idx="2">
                  <c:v>2022</c:v>
                </c:pt>
                <c:pt idx="3">
                  <c:v>2023</c:v>
                </c:pt>
                <c:pt idx="4">
                  <c:v>2024</c:v>
                </c:pt>
                <c:pt idx="5">
                  <c:v>2025</c:v>
                </c:pt>
              </c:numCache>
            </c:numRef>
          </c:cat>
          <c:val>
            <c:numRef>
              <c:f>Summary!$G$842:$L$842</c:f>
              <c:numCache>
                <c:formatCode>_(* #,##0_);_(* \(#,##0\);_(* "-"??_);_(@_)</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2-DCD4-1B4A-BF00-DACF0025900F}"/>
            </c:ext>
          </c:extLst>
        </c:ser>
        <c:dLbls>
          <c:showLegendKey val="0"/>
          <c:showVal val="0"/>
          <c:showCatName val="0"/>
          <c:showSerName val="0"/>
          <c:showPercent val="0"/>
          <c:showBubbleSize val="0"/>
        </c:dLbls>
        <c:marker val="1"/>
        <c:smooth val="0"/>
        <c:axId val="170805120"/>
        <c:axId val="170815488"/>
      </c:lineChart>
      <c:catAx>
        <c:axId val="170805120"/>
        <c:scaling>
          <c:orientation val="minMax"/>
        </c:scaling>
        <c:delete val="0"/>
        <c:axPos val="b"/>
        <c:numFmt formatCode="General" sourceLinked="1"/>
        <c:majorTickMark val="out"/>
        <c:minorTickMark val="none"/>
        <c:tickLblPos val="nextTo"/>
        <c:txPr>
          <a:bodyPr/>
          <a:lstStyle/>
          <a:p>
            <a:pPr>
              <a:defRPr sz="1000"/>
            </a:pPr>
            <a:endParaRPr lang="en-US"/>
          </a:p>
        </c:txPr>
        <c:crossAx val="170815488"/>
        <c:crosses val="autoZero"/>
        <c:auto val="1"/>
        <c:lblAlgn val="ctr"/>
        <c:lblOffset val="100"/>
        <c:noMultiLvlLbl val="0"/>
      </c:catAx>
      <c:valAx>
        <c:axId val="170815488"/>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pPr>
            <a:endParaRPr lang="en-US"/>
          </a:p>
        </c:txPr>
        <c:crossAx val="170805120"/>
        <c:crosses val="autoZero"/>
        <c:crossBetween val="between"/>
        <c:majorUnit val="200000"/>
      </c:valAx>
    </c:plotArea>
    <c:legend>
      <c:legendPos val="t"/>
      <c:layout>
        <c:manualLayout>
          <c:xMode val="edge"/>
          <c:yMode val="edge"/>
          <c:x val="0.17532950011636667"/>
          <c:y val="6.8869471953289907E-2"/>
          <c:w val="0.49595437786734969"/>
          <c:h val="0.30633692988972294"/>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50615423506351"/>
          <c:y val="6.190251394785997E-2"/>
          <c:w val="0.81325480929315752"/>
          <c:h val="0.80162524905012333"/>
        </c:manualLayout>
      </c:layout>
      <c:lineChart>
        <c:grouping val="standard"/>
        <c:varyColors val="0"/>
        <c:ser>
          <c:idx val="2"/>
          <c:order val="0"/>
          <c:tx>
            <c:strRef>
              <c:f>Summary!$B$848</c:f>
              <c:strCache>
                <c:ptCount val="1"/>
                <c:pt idx="0">
                  <c:v>800G SR8_50 m_OSFP, QSFP-DD800</c:v>
                </c:pt>
              </c:strCache>
            </c:strRef>
          </c:tx>
          <c:spPr>
            <a:ln>
              <a:solidFill>
                <a:schemeClr val="accent2"/>
              </a:solidFill>
            </a:ln>
          </c:spPr>
          <c:marker>
            <c:spPr>
              <a:solidFill>
                <a:schemeClr val="accent2"/>
              </a:solidFill>
              <a:ln>
                <a:solidFill>
                  <a:schemeClr val="accent2"/>
                </a:solidFill>
              </a:ln>
            </c:spPr>
          </c:marker>
          <c:cat>
            <c:numRef>
              <c:f>Summary!$G$847:$L$847</c:f>
              <c:numCache>
                <c:formatCode>General</c:formatCode>
                <c:ptCount val="6"/>
                <c:pt idx="0">
                  <c:v>2020</c:v>
                </c:pt>
                <c:pt idx="1">
                  <c:v>2021</c:v>
                </c:pt>
                <c:pt idx="2">
                  <c:v>2022</c:v>
                </c:pt>
                <c:pt idx="3">
                  <c:v>2023</c:v>
                </c:pt>
                <c:pt idx="4">
                  <c:v>2024</c:v>
                </c:pt>
                <c:pt idx="5">
                  <c:v>2025</c:v>
                </c:pt>
              </c:numCache>
            </c:numRef>
          </c:cat>
          <c:val>
            <c:numRef>
              <c:f>Summary!$G$848:$L$848</c:f>
              <c:numCache>
                <c:formatCode>_("$"* #,##0_);_("$"* \(#,##0\);_("$"* "-"??_);_(@_)</c:formatCode>
                <c:ptCount val="6"/>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28FB-3C42-9AE7-8CFF292F800D}"/>
            </c:ext>
          </c:extLst>
        </c:ser>
        <c:ser>
          <c:idx val="0"/>
          <c:order val="1"/>
          <c:tx>
            <c:strRef>
              <c:f>Summary!$B$849</c:f>
              <c:strCache>
                <c:ptCount val="1"/>
                <c:pt idx="0">
                  <c:v>800G PSM8_500 m_OSFP, QSFP-DD800</c:v>
                </c:pt>
              </c:strCache>
            </c:strRef>
          </c:tx>
          <c:cat>
            <c:numRef>
              <c:f>Summary!$G$847:$L$847</c:f>
              <c:numCache>
                <c:formatCode>General</c:formatCode>
                <c:ptCount val="6"/>
                <c:pt idx="0">
                  <c:v>2020</c:v>
                </c:pt>
                <c:pt idx="1">
                  <c:v>2021</c:v>
                </c:pt>
                <c:pt idx="2">
                  <c:v>2022</c:v>
                </c:pt>
                <c:pt idx="3">
                  <c:v>2023</c:v>
                </c:pt>
                <c:pt idx="4">
                  <c:v>2024</c:v>
                </c:pt>
                <c:pt idx="5">
                  <c:v>2025</c:v>
                </c:pt>
              </c:numCache>
            </c:numRef>
          </c:cat>
          <c:val>
            <c:numRef>
              <c:f>Summary!$G$849:$L$849</c:f>
              <c:numCache>
                <c:formatCode>_("$"* #,##0_);_("$"* \(#,##0\);_("$"* "-"??_);_(@_)</c:formatCode>
                <c:ptCount val="6"/>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1-28FB-3C42-9AE7-8CFF292F800D}"/>
            </c:ext>
          </c:extLst>
        </c:ser>
        <c:ser>
          <c:idx val="1"/>
          <c:order val="2"/>
          <c:tx>
            <c:strRef>
              <c:f>Summary!$B$850</c:f>
              <c:strCache>
                <c:ptCount val="1"/>
                <c:pt idx="0">
                  <c:v>2x(400G FR4)_2 km_OSFP, QSFP-DD800</c:v>
                </c:pt>
              </c:strCache>
            </c:strRef>
          </c:tx>
          <c:spPr>
            <a:ln>
              <a:solidFill>
                <a:schemeClr val="accent4"/>
              </a:solidFill>
            </a:ln>
          </c:spPr>
          <c:marker>
            <c:spPr>
              <a:solidFill>
                <a:schemeClr val="accent4"/>
              </a:solidFill>
              <a:ln>
                <a:solidFill>
                  <a:schemeClr val="accent4"/>
                </a:solidFill>
              </a:ln>
            </c:spPr>
          </c:marker>
          <c:cat>
            <c:numRef>
              <c:f>Summary!$G$847:$L$847</c:f>
              <c:numCache>
                <c:formatCode>General</c:formatCode>
                <c:ptCount val="6"/>
                <c:pt idx="0">
                  <c:v>2020</c:v>
                </c:pt>
                <c:pt idx="1">
                  <c:v>2021</c:v>
                </c:pt>
                <c:pt idx="2">
                  <c:v>2022</c:v>
                </c:pt>
                <c:pt idx="3">
                  <c:v>2023</c:v>
                </c:pt>
                <c:pt idx="4">
                  <c:v>2024</c:v>
                </c:pt>
                <c:pt idx="5">
                  <c:v>2025</c:v>
                </c:pt>
              </c:numCache>
            </c:numRef>
          </c:cat>
          <c:val>
            <c:numRef>
              <c:f>Summary!$G$850:$L$850</c:f>
              <c:numCache>
                <c:formatCode>_("$"* #,##0_);_("$"* \(#,##0\);_("$"* "-"??_);_(@_)</c:formatCode>
                <c:ptCount val="6"/>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2-28FB-3C42-9AE7-8CFF292F800D}"/>
            </c:ext>
          </c:extLst>
        </c:ser>
        <c:dLbls>
          <c:showLegendKey val="0"/>
          <c:showVal val="0"/>
          <c:showCatName val="0"/>
          <c:showSerName val="0"/>
          <c:showPercent val="0"/>
          <c:showBubbleSize val="0"/>
        </c:dLbls>
        <c:marker val="1"/>
        <c:smooth val="0"/>
        <c:axId val="170924288"/>
        <c:axId val="170934656"/>
      </c:lineChart>
      <c:catAx>
        <c:axId val="170924288"/>
        <c:scaling>
          <c:orientation val="minMax"/>
        </c:scaling>
        <c:delete val="0"/>
        <c:axPos val="b"/>
        <c:numFmt formatCode="General" sourceLinked="1"/>
        <c:majorTickMark val="out"/>
        <c:minorTickMark val="none"/>
        <c:tickLblPos val="nextTo"/>
        <c:txPr>
          <a:bodyPr/>
          <a:lstStyle/>
          <a:p>
            <a:pPr>
              <a:defRPr sz="1000"/>
            </a:pPr>
            <a:endParaRPr lang="en-US"/>
          </a:p>
        </c:txPr>
        <c:crossAx val="170934656"/>
        <c:crosses val="autoZero"/>
        <c:auto val="1"/>
        <c:lblAlgn val="ctr"/>
        <c:lblOffset val="100"/>
        <c:noMultiLvlLbl val="0"/>
      </c:catAx>
      <c:valAx>
        <c:axId val="170934656"/>
        <c:scaling>
          <c:orientation val="minMax"/>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70924288"/>
        <c:crosses val="autoZero"/>
        <c:crossBetween val="between"/>
      </c:valAx>
    </c:plotArea>
    <c:legend>
      <c:legendPos val="t"/>
      <c:layout>
        <c:manualLayout>
          <c:xMode val="edge"/>
          <c:yMode val="edge"/>
          <c:x val="0.42513867287018631"/>
          <c:y val="3.6056969576591817E-2"/>
          <c:w val="0.55462390660237026"/>
          <c:h val="0.2679550212976101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2"/>
          <c:order val="0"/>
          <c:tx>
            <c:strRef>
              <c:f>Summary!$B$856</c:f>
              <c:strCache>
                <c:ptCount val="1"/>
                <c:pt idx="0">
                  <c:v>800G SR8_50 m_OSFP, QSFP-DD800</c:v>
                </c:pt>
              </c:strCache>
            </c:strRef>
          </c:tx>
          <c:spPr>
            <a:ln>
              <a:solidFill>
                <a:schemeClr val="accent2"/>
              </a:solidFill>
            </a:ln>
          </c:spPr>
          <c:marker>
            <c:spPr>
              <a:solidFill>
                <a:schemeClr val="accent2"/>
              </a:solidFill>
              <a:ln>
                <a:solidFill>
                  <a:schemeClr val="accent2"/>
                </a:solidFill>
              </a:ln>
            </c:spPr>
          </c:marker>
          <c:cat>
            <c:numRef>
              <c:f>Summary!$G$806:$L$806</c:f>
              <c:numCache>
                <c:formatCode>General</c:formatCode>
                <c:ptCount val="6"/>
                <c:pt idx="0">
                  <c:v>2020</c:v>
                </c:pt>
                <c:pt idx="1">
                  <c:v>2021</c:v>
                </c:pt>
                <c:pt idx="2">
                  <c:v>2022</c:v>
                </c:pt>
                <c:pt idx="3">
                  <c:v>2023</c:v>
                </c:pt>
                <c:pt idx="4">
                  <c:v>2024</c:v>
                </c:pt>
                <c:pt idx="5">
                  <c:v>2025</c:v>
                </c:pt>
              </c:numCache>
            </c:numRef>
          </c:cat>
          <c:val>
            <c:numRef>
              <c:f>Summary!$G$856:$L$856</c:f>
              <c:numCache>
                <c:formatCode>_("$"* #,##0_);_("$"* \(#,##0\);_("$"* "-"??_);_(@_)</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5A8F-0344-B2CD-C518500A5542}"/>
            </c:ext>
          </c:extLst>
        </c:ser>
        <c:ser>
          <c:idx val="0"/>
          <c:order val="1"/>
          <c:tx>
            <c:strRef>
              <c:f>Summary!$B$857</c:f>
              <c:strCache>
                <c:ptCount val="1"/>
                <c:pt idx="0">
                  <c:v>800G PSM8_500 m_OSFP, QSFP-DD800</c:v>
                </c:pt>
              </c:strCache>
            </c:strRef>
          </c:tx>
          <c:cat>
            <c:numRef>
              <c:f>Summary!$G$806:$L$806</c:f>
              <c:numCache>
                <c:formatCode>General</c:formatCode>
                <c:ptCount val="6"/>
                <c:pt idx="0">
                  <c:v>2020</c:v>
                </c:pt>
                <c:pt idx="1">
                  <c:v>2021</c:v>
                </c:pt>
                <c:pt idx="2">
                  <c:v>2022</c:v>
                </c:pt>
                <c:pt idx="3">
                  <c:v>2023</c:v>
                </c:pt>
                <c:pt idx="4">
                  <c:v>2024</c:v>
                </c:pt>
                <c:pt idx="5">
                  <c:v>2025</c:v>
                </c:pt>
              </c:numCache>
            </c:numRef>
          </c:cat>
          <c:val>
            <c:numRef>
              <c:f>Summary!$G$857:$L$857</c:f>
              <c:numCache>
                <c:formatCode>_("$"* #,##0_);_("$"* \(#,##0\);_("$"* "-"??_);_(@_)</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1-5A8F-0344-B2CD-C518500A5542}"/>
            </c:ext>
          </c:extLst>
        </c:ser>
        <c:ser>
          <c:idx val="1"/>
          <c:order val="2"/>
          <c:tx>
            <c:strRef>
              <c:f>Summary!$B$858</c:f>
              <c:strCache>
                <c:ptCount val="1"/>
                <c:pt idx="0">
                  <c:v>2x(400G FR4)_2 km_OSFP, QSFP-DD800</c:v>
                </c:pt>
              </c:strCache>
            </c:strRef>
          </c:tx>
          <c:spPr>
            <a:ln>
              <a:solidFill>
                <a:schemeClr val="accent4"/>
              </a:solidFill>
            </a:ln>
          </c:spPr>
          <c:marker>
            <c:spPr>
              <a:solidFill>
                <a:schemeClr val="accent4"/>
              </a:solidFill>
              <a:ln>
                <a:solidFill>
                  <a:schemeClr val="accent4"/>
                </a:solidFill>
              </a:ln>
            </c:spPr>
          </c:marker>
          <c:cat>
            <c:numRef>
              <c:f>Summary!$G$806:$L$806</c:f>
              <c:numCache>
                <c:formatCode>General</c:formatCode>
                <c:ptCount val="6"/>
                <c:pt idx="0">
                  <c:v>2020</c:v>
                </c:pt>
                <c:pt idx="1">
                  <c:v>2021</c:v>
                </c:pt>
                <c:pt idx="2">
                  <c:v>2022</c:v>
                </c:pt>
                <c:pt idx="3">
                  <c:v>2023</c:v>
                </c:pt>
                <c:pt idx="4">
                  <c:v>2024</c:v>
                </c:pt>
                <c:pt idx="5">
                  <c:v>2025</c:v>
                </c:pt>
              </c:numCache>
            </c:numRef>
          </c:cat>
          <c:val>
            <c:numRef>
              <c:f>Summary!$G$858:$L$858</c:f>
              <c:numCache>
                <c:formatCode>_("$"* #,##0_);_("$"* \(#,##0\);_("$"* "-"??_);_(@_)</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2-5A8F-0344-B2CD-C518500A5542}"/>
            </c:ext>
          </c:extLst>
        </c:ser>
        <c:dLbls>
          <c:showLegendKey val="0"/>
          <c:showVal val="0"/>
          <c:showCatName val="0"/>
          <c:showSerName val="0"/>
          <c:showPercent val="0"/>
          <c:showBubbleSize val="0"/>
        </c:dLbls>
        <c:marker val="1"/>
        <c:smooth val="0"/>
        <c:axId val="170982016"/>
        <c:axId val="171053824"/>
      </c:lineChart>
      <c:catAx>
        <c:axId val="170982016"/>
        <c:scaling>
          <c:orientation val="minMax"/>
        </c:scaling>
        <c:delete val="0"/>
        <c:axPos val="b"/>
        <c:numFmt formatCode="General" sourceLinked="1"/>
        <c:majorTickMark val="out"/>
        <c:minorTickMark val="none"/>
        <c:tickLblPos val="nextTo"/>
        <c:txPr>
          <a:bodyPr/>
          <a:lstStyle/>
          <a:p>
            <a:pPr>
              <a:defRPr sz="1000"/>
            </a:pPr>
            <a:endParaRPr lang="en-US"/>
          </a:p>
        </c:txPr>
        <c:crossAx val="171053824"/>
        <c:crosses val="autoZero"/>
        <c:auto val="1"/>
        <c:lblAlgn val="ctr"/>
        <c:lblOffset val="100"/>
        <c:noMultiLvlLbl val="0"/>
      </c:catAx>
      <c:valAx>
        <c:axId val="171053824"/>
        <c:scaling>
          <c:orientation val="minMax"/>
        </c:scaling>
        <c:delete val="0"/>
        <c:axPos val="l"/>
        <c:majorGridlines/>
        <c:title>
          <c:tx>
            <c:rich>
              <a:bodyPr rot="-5400000" vert="horz"/>
              <a:lstStyle/>
              <a:p>
                <a:pPr>
                  <a:defRPr sz="1400" b="1"/>
                </a:pPr>
                <a:r>
                  <a:rPr lang="en-US" sz="1400" b="1"/>
                  <a:t>Annual sales ($mn)</a:t>
                </a:r>
              </a:p>
            </c:rich>
          </c:tx>
          <c:layout/>
          <c:overlay val="0"/>
        </c:title>
        <c:numFmt formatCode="&quot;$&quot;#,##0" sourceLinked="0"/>
        <c:majorTickMark val="out"/>
        <c:minorTickMark val="none"/>
        <c:tickLblPos val="nextTo"/>
        <c:txPr>
          <a:bodyPr/>
          <a:lstStyle/>
          <a:p>
            <a:pPr>
              <a:defRPr sz="1000"/>
            </a:pPr>
            <a:endParaRPr lang="en-US"/>
          </a:p>
        </c:txPr>
        <c:crossAx val="170982016"/>
        <c:crosses val="autoZero"/>
        <c:crossBetween val="between"/>
      </c:valAx>
    </c:plotArea>
    <c:legend>
      <c:legendPos val="t"/>
      <c:layout>
        <c:manualLayout>
          <c:xMode val="edge"/>
          <c:yMode val="edge"/>
          <c:x val="0.13432250966082437"/>
          <c:y val="4.9710763796812933E-2"/>
          <c:w val="0.54194027747577234"/>
          <c:h val="0.3069051042808598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06512561360372"/>
          <c:y val="3.9619699166240335E-2"/>
          <c:w val="0.80285652295759247"/>
          <c:h val="0.83729438888942231"/>
        </c:manualLayout>
      </c:layout>
      <c:lineChart>
        <c:grouping val="standard"/>
        <c:varyColors val="0"/>
        <c:ser>
          <c:idx val="0"/>
          <c:order val="0"/>
          <c:tx>
            <c:strRef>
              <c:f>Summary!$B$555</c:f>
              <c:strCache>
                <c:ptCount val="1"/>
                <c:pt idx="0">
                  <c:v>100 m  100G CFP</c:v>
                </c:pt>
              </c:strCache>
            </c:strRef>
          </c:tx>
          <c:cat>
            <c:numRef>
              <c:f>Summary!$C$554:$L$554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Summary!$C$555:$F$555</c:f>
              <c:numCache>
                <c:formatCode>_(* #,##0_);_(* \(#,##0\);_(* "-"??_);_(@_)</c:formatCode>
                <c:ptCount val="4"/>
                <c:pt idx="0">
                  <c:v>14816</c:v>
                </c:pt>
                <c:pt idx="1">
                  <c:v>6913</c:v>
                </c:pt>
                <c:pt idx="2">
                  <c:v>5094</c:v>
                </c:pt>
                <c:pt idx="3">
                  <c:v>0</c:v>
                </c:pt>
              </c:numCache>
            </c:numRef>
          </c:val>
          <c:smooth val="0"/>
          <c:extLst xmlns:c16r2="http://schemas.microsoft.com/office/drawing/2015/06/chart">
            <c:ext xmlns:c16="http://schemas.microsoft.com/office/drawing/2014/chart" uri="{C3380CC4-5D6E-409C-BE32-E72D297353CC}">
              <c16:uniqueId val="{00000000-A05F-B34D-8A1F-06B1B81B5E78}"/>
            </c:ext>
          </c:extLst>
        </c:ser>
        <c:ser>
          <c:idx val="1"/>
          <c:order val="1"/>
          <c:tx>
            <c:strRef>
              <c:f>Summary!$B$556</c:f>
              <c:strCache>
                <c:ptCount val="1"/>
                <c:pt idx="0">
                  <c:v>100 m  100G CFP2/CFP4</c:v>
                </c:pt>
              </c:strCache>
            </c:strRef>
          </c:tx>
          <c:cat>
            <c:numRef>
              <c:f>Summary!$C$554:$L$554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Summary!$C$556:$F$556</c:f>
              <c:numCache>
                <c:formatCode>_(* #,##0_);_(* \(#,##0\);_(* "-"??_);_(@_)</c:formatCode>
                <c:ptCount val="4"/>
                <c:pt idx="0">
                  <c:v>4367</c:v>
                </c:pt>
                <c:pt idx="1">
                  <c:v>2269</c:v>
                </c:pt>
                <c:pt idx="2">
                  <c:v>2000</c:v>
                </c:pt>
                <c:pt idx="3">
                  <c:v>0</c:v>
                </c:pt>
              </c:numCache>
            </c:numRef>
          </c:val>
          <c:smooth val="0"/>
          <c:extLst xmlns:c16r2="http://schemas.microsoft.com/office/drawing/2015/06/chart">
            <c:ext xmlns:c16="http://schemas.microsoft.com/office/drawing/2014/chart" uri="{C3380CC4-5D6E-409C-BE32-E72D297353CC}">
              <c16:uniqueId val="{00000001-A05F-B34D-8A1F-06B1B81B5E78}"/>
            </c:ext>
          </c:extLst>
        </c:ser>
        <c:ser>
          <c:idx val="2"/>
          <c:order val="2"/>
          <c:tx>
            <c:strRef>
              <c:f>Summary!$B$557</c:f>
              <c:strCache>
                <c:ptCount val="1"/>
                <c:pt idx="0">
                  <c:v>100 m  100G SR2, SR4  QSFP28</c:v>
                </c:pt>
              </c:strCache>
            </c:strRef>
          </c:tx>
          <c:cat>
            <c:numRef>
              <c:f>Summary!$C$554:$L$554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Summary!$C$557:$L$557</c:f>
              <c:numCache>
                <c:formatCode>_(* #,##0_);_(* \(#,##0\);_(* "-"??_);_(@_)</c:formatCode>
                <c:ptCount val="10"/>
                <c:pt idx="0">
                  <c:v>280058</c:v>
                </c:pt>
                <c:pt idx="1">
                  <c:v>622792</c:v>
                </c:pt>
                <c:pt idx="2">
                  <c:v>1915817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A05F-B34D-8A1F-06B1B81B5E78}"/>
            </c:ext>
          </c:extLst>
        </c:ser>
        <c:ser>
          <c:idx val="3"/>
          <c:order val="3"/>
          <c:tx>
            <c:strRef>
              <c:f>Summary!$B$558</c:f>
              <c:strCache>
                <c:ptCount val="1"/>
                <c:pt idx="0">
                  <c:v>100 m  100G QSFP28 MM Duplex</c:v>
                </c:pt>
              </c:strCache>
            </c:strRef>
          </c:tx>
          <c:cat>
            <c:numRef>
              <c:f>Summary!$C$554:$L$554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Summary!$C$558:$L$558</c:f>
              <c:numCache>
                <c:formatCode>_(* #,##0_);_(* \(#,##0\);_(* "-"??_);_(@_)</c:formatCode>
                <c:ptCount val="10"/>
                <c:pt idx="2">
                  <c:v>150000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A05F-B34D-8A1F-06B1B81B5E78}"/>
            </c:ext>
          </c:extLst>
        </c:ser>
        <c:ser>
          <c:idx val="4"/>
          <c:order val="4"/>
          <c:tx>
            <c:strRef>
              <c:f>Summary!$B$559</c:f>
              <c:strCache>
                <c:ptCount val="1"/>
                <c:pt idx="0">
                  <c:v>300 m  100G QSFP28  eSR4</c:v>
                </c:pt>
              </c:strCache>
            </c:strRef>
          </c:tx>
          <c:cat>
            <c:numRef>
              <c:f>Summary!$C$554:$L$554</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Summary!$C$559:$L$559</c:f>
              <c:numCache>
                <c:formatCode>_(* #,##0_);_(* \(#,##0\);_(* "-"??_);_(@_)</c:formatCode>
                <c:ptCount val="10"/>
                <c:pt idx="2">
                  <c:v>10000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A05F-B34D-8A1F-06B1B81B5E78}"/>
            </c:ext>
          </c:extLst>
        </c:ser>
        <c:dLbls>
          <c:showLegendKey val="0"/>
          <c:showVal val="0"/>
          <c:showCatName val="0"/>
          <c:showSerName val="0"/>
          <c:showPercent val="0"/>
          <c:showBubbleSize val="0"/>
        </c:dLbls>
        <c:marker val="1"/>
        <c:smooth val="0"/>
        <c:axId val="123258752"/>
        <c:axId val="123260288"/>
      </c:lineChart>
      <c:catAx>
        <c:axId val="123258752"/>
        <c:scaling>
          <c:orientation val="minMax"/>
        </c:scaling>
        <c:delete val="0"/>
        <c:axPos val="b"/>
        <c:numFmt formatCode="General" sourceLinked="1"/>
        <c:majorTickMark val="out"/>
        <c:minorTickMark val="none"/>
        <c:tickLblPos val="nextTo"/>
        <c:txPr>
          <a:bodyPr/>
          <a:lstStyle/>
          <a:p>
            <a:pPr>
              <a:defRPr sz="1200"/>
            </a:pPr>
            <a:endParaRPr lang="en-US"/>
          </a:p>
        </c:txPr>
        <c:crossAx val="123260288"/>
        <c:crosses val="autoZero"/>
        <c:auto val="1"/>
        <c:lblAlgn val="ctr"/>
        <c:lblOffset val="100"/>
        <c:noMultiLvlLbl val="0"/>
      </c:catAx>
      <c:valAx>
        <c:axId val="123260288"/>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000"/>
            </a:pPr>
            <a:endParaRPr lang="en-US"/>
          </a:p>
        </c:txPr>
        <c:crossAx val="123258752"/>
        <c:crosses val="autoZero"/>
        <c:crossBetween val="between"/>
        <c:minorUnit val="20000"/>
      </c:valAx>
    </c:plotArea>
    <c:legend>
      <c:legendPos val="t"/>
      <c:layout>
        <c:manualLayout>
          <c:xMode val="edge"/>
          <c:yMode val="edge"/>
          <c:x val="0.20155145092844701"/>
          <c:y val="5.7497847741906416E-2"/>
          <c:w val="0.46559728545610474"/>
          <c:h val="0.32595654438475175"/>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67805605883631"/>
          <c:y val="4.8133783277090364E-2"/>
          <c:w val="0.7911277752870971"/>
          <c:h val="0.86605654293213352"/>
        </c:manualLayout>
      </c:layout>
      <c:lineChart>
        <c:grouping val="standard"/>
        <c:varyColors val="0"/>
        <c:ser>
          <c:idx val="1"/>
          <c:order val="0"/>
          <c:tx>
            <c:strRef>
              <c:f>Summary!$B$696</c:f>
              <c:strCache>
                <c:ptCount val="1"/>
                <c:pt idx="0">
                  <c:v>100G SR4 </c:v>
                </c:pt>
              </c:strCache>
            </c:strRef>
          </c:tx>
          <c:cat>
            <c:numRef>
              <c:f>Summary!$C$695:$L$695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Summary!$C$696:$L$696</c:f>
              <c:numCache>
                <c:formatCode>_(* #,##0_);_(* \(#,##0\);_(* "-"??_);_(@_)</c:formatCode>
                <c:ptCount val="10"/>
                <c:pt idx="0">
                  <c:v>280058</c:v>
                </c:pt>
                <c:pt idx="1">
                  <c:v>622792</c:v>
                </c:pt>
                <c:pt idx="2">
                  <c:v>1915817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74AF-4145-A2BA-302D07AC74A2}"/>
            </c:ext>
          </c:extLst>
        </c:ser>
        <c:ser>
          <c:idx val="2"/>
          <c:order val="1"/>
          <c:tx>
            <c:strRef>
              <c:f>Summary!$B$697</c:f>
              <c:strCache>
                <c:ptCount val="1"/>
                <c:pt idx="0">
                  <c:v>100G PSM4 </c:v>
                </c:pt>
              </c:strCache>
            </c:strRef>
          </c:tx>
          <c:cat>
            <c:numRef>
              <c:f>Summary!$C$695:$L$695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Summary!$C$697:$L$697</c:f>
              <c:numCache>
                <c:formatCode>_(* #,##0_);_(* \(#,##0\);_(* "-"??_);_(@_)</c:formatCode>
                <c:ptCount val="10"/>
                <c:pt idx="0">
                  <c:v>200861</c:v>
                </c:pt>
                <c:pt idx="1">
                  <c:v>710038</c:v>
                </c:pt>
                <c:pt idx="2">
                  <c:v>514311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74AF-4145-A2BA-302D07AC74A2}"/>
            </c:ext>
          </c:extLst>
        </c:ser>
        <c:ser>
          <c:idx val="3"/>
          <c:order val="2"/>
          <c:tx>
            <c:strRef>
              <c:f>Summary!$B$698</c:f>
              <c:strCache>
                <c:ptCount val="1"/>
                <c:pt idx="0">
                  <c:v>100G DR1 and FR1</c:v>
                </c:pt>
              </c:strCache>
            </c:strRef>
          </c:tx>
          <c:marker>
            <c:symbol val="square"/>
            <c:size val="5"/>
          </c:marker>
          <c:cat>
            <c:numRef>
              <c:f>Summary!$C$695:$L$695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Summary!$C$698:$L$698</c:f>
              <c:numCache>
                <c:formatCode>_(* #,##0_);_(* \(#,##0\);_(* "-"??_);_(@_)</c:formatCode>
                <c:ptCount val="10"/>
                <c:pt idx="0">
                  <c:v>0</c:v>
                </c:pt>
                <c:pt idx="1">
                  <c:v>0</c:v>
                </c:pt>
                <c:pt idx="2">
                  <c:v>3000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74AF-4145-A2BA-302D07AC74A2}"/>
            </c:ext>
          </c:extLst>
        </c:ser>
        <c:ser>
          <c:idx val="9"/>
          <c:order val="3"/>
          <c:tx>
            <c:strRef>
              <c:f>Summary!$B$699</c:f>
              <c:strCache>
                <c:ptCount val="1"/>
                <c:pt idx="0">
                  <c:v>100G CWDM4 </c:v>
                </c:pt>
              </c:strCache>
            </c:strRef>
          </c:tx>
          <c:cat>
            <c:numRef>
              <c:f>Summary!$C$695:$L$695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Summary!$C$699:$L$699</c:f>
              <c:numCache>
                <c:formatCode>_(* #,##0_);_(* \(#,##0\);_(* "-"??_);_(@_)</c:formatCode>
                <c:ptCount val="10"/>
                <c:pt idx="0">
                  <c:v>119190</c:v>
                </c:pt>
                <c:pt idx="1">
                  <c:v>976303</c:v>
                </c:pt>
                <c:pt idx="2">
                  <c:v>2966292.6190476189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74AF-4145-A2BA-302D07AC74A2}"/>
            </c:ext>
          </c:extLst>
        </c:ser>
        <c:ser>
          <c:idx val="6"/>
          <c:order val="4"/>
          <c:tx>
            <c:strRef>
              <c:f>Summary!$B$700</c:f>
              <c:strCache>
                <c:ptCount val="1"/>
                <c:pt idx="0">
                  <c:v>100G LR4 and LR1</c:v>
                </c:pt>
              </c:strCache>
            </c:strRef>
          </c:tx>
          <c:cat>
            <c:numRef>
              <c:f>Summary!$C$695:$L$695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Summary!$C$700:$L$700</c:f>
              <c:numCache>
                <c:formatCode>_(* #,##0_);_(* \(#,##0\);_(* "-"??_);_(@_)</c:formatCode>
                <c:ptCount val="10"/>
                <c:pt idx="0">
                  <c:v>90443</c:v>
                </c:pt>
                <c:pt idx="1">
                  <c:v>362352</c:v>
                </c:pt>
                <c:pt idx="2">
                  <c:v>397891.1176470588</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71112320"/>
        <c:axId val="171113856"/>
      </c:lineChart>
      <c:catAx>
        <c:axId val="171112320"/>
        <c:scaling>
          <c:orientation val="minMax"/>
        </c:scaling>
        <c:delete val="0"/>
        <c:axPos val="b"/>
        <c:numFmt formatCode="General" sourceLinked="1"/>
        <c:majorTickMark val="out"/>
        <c:minorTickMark val="none"/>
        <c:tickLblPos val="nextTo"/>
        <c:txPr>
          <a:bodyPr/>
          <a:lstStyle/>
          <a:p>
            <a:pPr>
              <a:defRPr sz="1200"/>
            </a:pPr>
            <a:endParaRPr lang="en-US"/>
          </a:p>
        </c:txPr>
        <c:crossAx val="171113856"/>
        <c:crosses val="autoZero"/>
        <c:auto val="1"/>
        <c:lblAlgn val="ctr"/>
        <c:lblOffset val="100"/>
        <c:noMultiLvlLbl val="0"/>
      </c:catAx>
      <c:valAx>
        <c:axId val="171113856"/>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200"/>
            </a:pPr>
            <a:endParaRPr lang="en-US"/>
          </a:p>
        </c:txPr>
        <c:crossAx val="171112320"/>
        <c:crosses val="autoZero"/>
        <c:crossBetween val="between"/>
        <c:majorUnit val="2000000"/>
      </c:valAx>
    </c:plotArea>
    <c:legend>
      <c:legendPos val="t"/>
      <c:layout>
        <c:manualLayout>
          <c:xMode val="edge"/>
          <c:yMode val="edge"/>
          <c:x val="0.16373415163036184"/>
          <c:y val="5.8675213350734903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Summary!$B$705</c:f>
              <c:strCache>
                <c:ptCount val="1"/>
                <c:pt idx="0">
                  <c:v>100G SR4 </c:v>
                </c:pt>
              </c:strCache>
            </c:strRef>
          </c:tx>
          <c:cat>
            <c:numRef>
              <c:f>Summary!$E$704:$L$704</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Summary!$E$705:$L$705</c:f>
              <c:numCache>
                <c:formatCode>_("$"* #,##0_);_("$"* \(#,##0\);_("$"* "-"??_);_(@_)</c:formatCode>
                <c:ptCount val="8"/>
                <c:pt idx="0">
                  <c:v>113.54682982085136</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74AF-4145-A2BA-302D07AC74A2}"/>
            </c:ext>
          </c:extLst>
        </c:ser>
        <c:ser>
          <c:idx val="2"/>
          <c:order val="1"/>
          <c:tx>
            <c:strRef>
              <c:f>Summary!$B$706</c:f>
              <c:strCache>
                <c:ptCount val="1"/>
                <c:pt idx="0">
                  <c:v>100G PSM4 </c:v>
                </c:pt>
              </c:strCache>
            </c:strRef>
          </c:tx>
          <c:cat>
            <c:numRef>
              <c:f>Summary!$E$704:$L$704</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Summary!$E$706:$L$706</c:f>
              <c:numCache>
                <c:formatCode>_("$"* #,##0_);_("$"* \(#,##0\);_("$"* "-"??_);_(@_)</c:formatCode>
                <c:ptCount val="8"/>
                <c:pt idx="0">
                  <c:v>188.02033788894266</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1-74AF-4145-A2BA-302D07AC74A2}"/>
            </c:ext>
          </c:extLst>
        </c:ser>
        <c:ser>
          <c:idx val="3"/>
          <c:order val="2"/>
          <c:tx>
            <c:strRef>
              <c:f>Summary!$B$707</c:f>
              <c:strCache>
                <c:ptCount val="1"/>
                <c:pt idx="0">
                  <c:v>100G DR1 and FR1</c:v>
                </c:pt>
              </c:strCache>
            </c:strRef>
          </c:tx>
          <c:marker>
            <c:symbol val="square"/>
            <c:size val="5"/>
          </c:marker>
          <c:cat>
            <c:numRef>
              <c:f>Summary!$E$704:$L$704</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Summary!$E$707:$L$707</c:f>
              <c:numCache>
                <c:formatCode>_("$"* #,##0_);_("$"* \(#,##0\);_("$"* "-"??_);_(@_)</c:formatCode>
                <c:ptCount val="8"/>
                <c:pt idx="0">
                  <c:v>400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2-74AF-4145-A2BA-302D07AC74A2}"/>
            </c:ext>
          </c:extLst>
        </c:ser>
        <c:ser>
          <c:idx val="9"/>
          <c:order val="3"/>
          <c:tx>
            <c:strRef>
              <c:f>Summary!$B$708</c:f>
              <c:strCache>
                <c:ptCount val="1"/>
                <c:pt idx="0">
                  <c:v>100G CWDM4 </c:v>
                </c:pt>
              </c:strCache>
            </c:strRef>
          </c:tx>
          <c:cat>
            <c:numRef>
              <c:f>Summary!$E$704:$L$704</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Summary!$E$708:$L$708</c:f>
              <c:numCache>
                <c:formatCode>_("$"* #,##0_);_("$"* \(#,##0\);_("$"* "-"??_);_(@_)</c:formatCode>
                <c:ptCount val="8"/>
                <c:pt idx="0">
                  <c:v>412.12501271227694</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3-74AF-4145-A2BA-302D07AC74A2}"/>
            </c:ext>
          </c:extLst>
        </c:ser>
        <c:ser>
          <c:idx val="6"/>
          <c:order val="4"/>
          <c:tx>
            <c:strRef>
              <c:f>Summary!$B$709</c:f>
              <c:strCache>
                <c:ptCount val="1"/>
                <c:pt idx="0">
                  <c:v>100G LR4 and LR1</c:v>
                </c:pt>
              </c:strCache>
            </c:strRef>
          </c:tx>
          <c:cat>
            <c:numRef>
              <c:f>Summary!$E$704:$L$704</c:f>
              <c:numCache>
                <c:formatCode>General</c:formatCode>
                <c:ptCount val="8"/>
                <c:pt idx="0">
                  <c:v>2018</c:v>
                </c:pt>
                <c:pt idx="1">
                  <c:v>2019</c:v>
                </c:pt>
                <c:pt idx="2">
                  <c:v>2020</c:v>
                </c:pt>
                <c:pt idx="3">
                  <c:v>2021</c:v>
                </c:pt>
                <c:pt idx="4">
                  <c:v>2022</c:v>
                </c:pt>
                <c:pt idx="5">
                  <c:v>2023</c:v>
                </c:pt>
                <c:pt idx="6">
                  <c:v>2024</c:v>
                </c:pt>
                <c:pt idx="7">
                  <c:v>2025</c:v>
                </c:pt>
              </c:numCache>
            </c:numRef>
          </c:cat>
          <c:val>
            <c:numRef>
              <c:f>Summary!$E$709:$L$709</c:f>
              <c:numCache>
                <c:formatCode>_("$"* #,##0_);_("$"* \(#,##0\);_("$"* "-"??_);_(@_)</c:formatCode>
                <c:ptCount val="8"/>
                <c:pt idx="0">
                  <c:v>833.83281288172873</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71238144"/>
        <c:axId val="171239680"/>
      </c:lineChart>
      <c:catAx>
        <c:axId val="171238144"/>
        <c:scaling>
          <c:orientation val="minMax"/>
        </c:scaling>
        <c:delete val="0"/>
        <c:axPos val="b"/>
        <c:numFmt formatCode="General" sourceLinked="1"/>
        <c:majorTickMark val="out"/>
        <c:minorTickMark val="none"/>
        <c:tickLblPos val="nextTo"/>
        <c:txPr>
          <a:bodyPr/>
          <a:lstStyle/>
          <a:p>
            <a:pPr>
              <a:defRPr sz="1200"/>
            </a:pPr>
            <a:endParaRPr lang="en-US"/>
          </a:p>
        </c:txPr>
        <c:crossAx val="171239680"/>
        <c:crosses val="autoZero"/>
        <c:auto val="1"/>
        <c:lblAlgn val="ctr"/>
        <c:lblOffset val="100"/>
        <c:noMultiLvlLbl val="0"/>
      </c:catAx>
      <c:valAx>
        <c:axId val="171239680"/>
        <c:scaling>
          <c:orientation val="minMax"/>
          <c:max val="1000"/>
          <c:min val="0"/>
        </c:scaling>
        <c:delete val="0"/>
        <c:axPos val="l"/>
        <c:majorGridlines/>
        <c:title>
          <c:tx>
            <c:rich>
              <a:bodyPr rot="-5400000" vert="horz"/>
              <a:lstStyle/>
              <a:p>
                <a:pPr>
                  <a:defRPr sz="1400"/>
                </a:pPr>
                <a:r>
                  <a:rPr lang="en-US" sz="1400"/>
                  <a:t>A.S.P.s</a:t>
                </a:r>
              </a:p>
            </c:rich>
          </c:tx>
          <c:layout>
            <c:manualLayout>
              <c:xMode val="edge"/>
              <c:yMode val="edge"/>
              <c:x val="4.1663429101162055E-3"/>
              <c:y val="0.38845680215320644"/>
            </c:manualLayout>
          </c:layout>
          <c:overlay val="0"/>
        </c:title>
        <c:numFmt formatCode="&quot;$&quot;#,##0" sourceLinked="0"/>
        <c:majorTickMark val="out"/>
        <c:minorTickMark val="none"/>
        <c:tickLblPos val="nextTo"/>
        <c:txPr>
          <a:bodyPr/>
          <a:lstStyle/>
          <a:p>
            <a:pPr>
              <a:defRPr sz="1200"/>
            </a:pPr>
            <a:endParaRPr lang="en-US"/>
          </a:p>
        </c:txPr>
        <c:crossAx val="171238144"/>
        <c:crosses val="autoZero"/>
        <c:crossBetween val="between"/>
      </c:valAx>
    </c:plotArea>
    <c:legend>
      <c:legendPos val="t"/>
      <c:layout>
        <c:manualLayout>
          <c:xMode val="edge"/>
          <c:yMode val="edge"/>
          <c:x val="0.71210960078701879"/>
          <c:y val="5.8753239694182773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Summary!$B$714</c:f>
              <c:strCache>
                <c:ptCount val="1"/>
                <c:pt idx="0">
                  <c:v>100G SR4 </c:v>
                </c:pt>
              </c:strCache>
            </c:strRef>
          </c:tx>
          <c:cat>
            <c:numRef>
              <c:f>Summary!$C$713:$L$713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Summary!$C$714:$L$714</c:f>
              <c:numCache>
                <c:formatCode>_("$"* #,##0_);_("$"* \(#,##0\);_("$"* "-"??_);_(@_)</c:formatCode>
                <c:ptCount val="10"/>
                <c:pt idx="0">
                  <c:v>72.281363999999996</c:v>
                </c:pt>
                <c:pt idx="1">
                  <c:v>113.36232738072</c:v>
                </c:pt>
                <c:pt idx="2">
                  <c:v>217.53494686689399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74AF-4145-A2BA-302D07AC74A2}"/>
            </c:ext>
          </c:extLst>
        </c:ser>
        <c:ser>
          <c:idx val="2"/>
          <c:order val="1"/>
          <c:tx>
            <c:strRef>
              <c:f>Summary!$B$715</c:f>
              <c:strCache>
                <c:ptCount val="1"/>
                <c:pt idx="0">
                  <c:v>100G PSM4 </c:v>
                </c:pt>
              </c:strCache>
            </c:strRef>
          </c:tx>
          <c:cat>
            <c:numRef>
              <c:f>Summary!$C$713:$L$713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Summary!$C$715:$L$715</c:f>
              <c:numCache>
                <c:formatCode>_("$"* #,##0_);_("$"* \(#,##0\);_("$"* "-"??_);_(@_)</c:formatCode>
                <c:ptCount val="10"/>
                <c:pt idx="0">
                  <c:v>67.773890240000014</c:v>
                </c:pt>
                <c:pt idx="1">
                  <c:v>158.09400299999999</c:v>
                </c:pt>
                <c:pt idx="2">
                  <c:v>96.70092799999999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74AF-4145-A2BA-302D07AC74A2}"/>
            </c:ext>
          </c:extLst>
        </c:ser>
        <c:ser>
          <c:idx val="3"/>
          <c:order val="2"/>
          <c:tx>
            <c:strRef>
              <c:f>Summary!$B$716</c:f>
              <c:strCache>
                <c:ptCount val="1"/>
                <c:pt idx="0">
                  <c:v>100G DR1 and FR1</c:v>
                </c:pt>
              </c:strCache>
            </c:strRef>
          </c:tx>
          <c:marker>
            <c:symbol val="square"/>
            <c:size val="5"/>
          </c:marker>
          <c:cat>
            <c:numRef>
              <c:f>Summary!$C$713:$L$713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Summary!$C$716:$L$716</c:f>
              <c:numCache>
                <c:formatCode>_("$"* #,##0_);_("$"* \(#,##0\);_("$"* "-"??_);_(@_)</c:formatCode>
                <c:ptCount val="10"/>
                <c:pt idx="0">
                  <c:v>0</c:v>
                </c:pt>
                <c:pt idx="1">
                  <c:v>0</c:v>
                </c:pt>
                <c:pt idx="2">
                  <c:v>1.2</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74AF-4145-A2BA-302D07AC74A2}"/>
            </c:ext>
          </c:extLst>
        </c:ser>
        <c:ser>
          <c:idx val="9"/>
          <c:order val="3"/>
          <c:tx>
            <c:strRef>
              <c:f>Summary!$B$717</c:f>
              <c:strCache>
                <c:ptCount val="1"/>
                <c:pt idx="0">
                  <c:v>100G CWDM4 </c:v>
                </c:pt>
              </c:strCache>
            </c:strRef>
          </c:tx>
          <c:cat>
            <c:numRef>
              <c:f>Summary!$C$713:$L$713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Summary!$C$717:$L$717</c:f>
              <c:numCache>
                <c:formatCode>_("$"* #,##0_);_("$"* \(#,##0\);_("$"* "-"??_);_(@_)</c:formatCode>
                <c:ptCount val="10"/>
                <c:pt idx="0">
                  <c:v>80.691629999999989</c:v>
                </c:pt>
                <c:pt idx="1">
                  <c:v>497.91453000000001</c:v>
                </c:pt>
                <c:pt idx="2">
                  <c:v>1222.4833833333332</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74AF-4145-A2BA-302D07AC74A2}"/>
            </c:ext>
          </c:extLst>
        </c:ser>
        <c:ser>
          <c:idx val="6"/>
          <c:order val="4"/>
          <c:tx>
            <c:strRef>
              <c:f>Summary!$B$718</c:f>
              <c:strCache>
                <c:ptCount val="1"/>
                <c:pt idx="0">
                  <c:v>100G LR4 and LR1</c:v>
                </c:pt>
              </c:strCache>
            </c:strRef>
          </c:tx>
          <c:cat>
            <c:numRef>
              <c:f>Summary!$C$713:$L$713</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Summary!$C$718:$L$718</c:f>
              <c:numCache>
                <c:formatCode>_("$"* #,##0_);_("$"* \(#,##0\);_("$"* "-"??_);_(@_)</c:formatCode>
                <c:ptCount val="10"/>
                <c:pt idx="0">
                  <c:v>175.29210971636297</c:v>
                </c:pt>
                <c:pt idx="1">
                  <c:v>434.82240000000002</c:v>
                </c:pt>
                <c:pt idx="2">
                  <c:v>331.77466984830187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71289984"/>
        <c:axId val="171291776"/>
      </c:lineChart>
      <c:catAx>
        <c:axId val="171289984"/>
        <c:scaling>
          <c:orientation val="minMax"/>
        </c:scaling>
        <c:delete val="0"/>
        <c:axPos val="b"/>
        <c:numFmt formatCode="General" sourceLinked="1"/>
        <c:majorTickMark val="out"/>
        <c:minorTickMark val="none"/>
        <c:tickLblPos val="nextTo"/>
        <c:txPr>
          <a:bodyPr/>
          <a:lstStyle/>
          <a:p>
            <a:pPr>
              <a:defRPr sz="1200"/>
            </a:pPr>
            <a:endParaRPr lang="en-US"/>
          </a:p>
        </c:txPr>
        <c:crossAx val="171291776"/>
        <c:crosses val="autoZero"/>
        <c:auto val="1"/>
        <c:lblAlgn val="ctr"/>
        <c:lblOffset val="100"/>
        <c:noMultiLvlLbl val="0"/>
      </c:catAx>
      <c:valAx>
        <c:axId val="171291776"/>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mn)</a:t>
                </a:r>
                <a:endParaRPr lang="en-US" sz="1400"/>
              </a:p>
            </c:rich>
          </c:tx>
          <c:layout>
            <c:manualLayout>
              <c:xMode val="edge"/>
              <c:yMode val="edge"/>
              <c:x val="1.0075156952235971E-2"/>
              <c:y val="0.26658162727267359"/>
            </c:manualLayout>
          </c:layout>
          <c:overlay val="0"/>
        </c:title>
        <c:numFmt formatCode="&quot;$&quot;#,##0" sourceLinked="0"/>
        <c:majorTickMark val="out"/>
        <c:minorTickMark val="none"/>
        <c:tickLblPos val="nextTo"/>
        <c:txPr>
          <a:bodyPr/>
          <a:lstStyle/>
          <a:p>
            <a:pPr>
              <a:defRPr sz="1200"/>
            </a:pPr>
            <a:endParaRPr lang="en-US"/>
          </a:p>
        </c:txPr>
        <c:crossAx val="171289984"/>
        <c:crosses val="autoZero"/>
        <c:crossBetween val="between"/>
      </c:valAx>
    </c:plotArea>
    <c:legend>
      <c:legendPos val="t"/>
      <c:layout>
        <c:manualLayout>
          <c:xMode val="edge"/>
          <c:yMode val="edge"/>
          <c:x val="0.71210960078701879"/>
          <c:y val="4.4779436723704359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a:p>
            <a:pPr>
              <a:defRPr/>
            </a:pPr>
            <a:endParaRPr lang="en-US"/>
          </a:p>
        </c:rich>
      </c:tx>
      <c:layout/>
      <c:overlay val="0"/>
    </c:title>
    <c:autoTitleDeleted val="0"/>
    <c:plotArea>
      <c:layout>
        <c:manualLayout>
          <c:layoutTarget val="inner"/>
          <c:xMode val="edge"/>
          <c:yMode val="edge"/>
          <c:x val="0.116231710590494"/>
          <c:y val="0.18478262334525"/>
          <c:w val="0.812586609085302"/>
          <c:h val="0.71918548750340705"/>
        </c:manualLayout>
      </c:layout>
      <c:barChart>
        <c:barDir val="col"/>
        <c:grouping val="clustered"/>
        <c:varyColors val="0"/>
        <c:ser>
          <c:idx val="1"/>
          <c:order val="0"/>
          <c:tx>
            <c:strRef>
              <c:f>Dashboard!$D$31</c:f>
              <c:strCache>
                <c:ptCount val="1"/>
                <c:pt idx="0">
                  <c:v>Shipments (devices)</c:v>
                </c:pt>
              </c:strCache>
            </c:strRef>
          </c:tx>
          <c:spPr>
            <a:solidFill>
              <a:schemeClr val="accent1"/>
            </a:solidFill>
          </c:spPr>
          <c:invertIfNegative val="0"/>
          <c:cat>
            <c:numRef>
              <c:f>Dashboard!$E$30:$N$30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Dashboard!$E$31:$N$31</c:f>
              <c:numCache>
                <c:formatCode>_(* #,##0_);_(* \(#,##0\);_(* "-"??_);_(@_)</c:formatCode>
                <c:ptCount val="10"/>
                <c:pt idx="0">
                  <c:v>0</c:v>
                </c:pt>
                <c:pt idx="1">
                  <c:v>89</c:v>
                </c:pt>
                <c:pt idx="2">
                  <c:v>39000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B7B-5640-977F-64B4885FA3CE}"/>
            </c:ext>
          </c:extLst>
        </c:ser>
        <c:dLbls>
          <c:showLegendKey val="0"/>
          <c:showVal val="0"/>
          <c:showCatName val="0"/>
          <c:showSerName val="0"/>
          <c:showPercent val="0"/>
          <c:showBubbleSize val="0"/>
        </c:dLbls>
        <c:gapWidth val="150"/>
        <c:axId val="171448192"/>
        <c:axId val="171449728"/>
      </c:barChart>
      <c:catAx>
        <c:axId val="171448192"/>
        <c:scaling>
          <c:orientation val="minMax"/>
        </c:scaling>
        <c:delete val="0"/>
        <c:axPos val="b"/>
        <c:numFmt formatCode="General" sourceLinked="1"/>
        <c:majorTickMark val="out"/>
        <c:minorTickMark val="none"/>
        <c:tickLblPos val="nextTo"/>
        <c:txPr>
          <a:bodyPr/>
          <a:lstStyle/>
          <a:p>
            <a:pPr>
              <a:defRPr sz="1100"/>
            </a:pPr>
            <a:endParaRPr lang="en-US"/>
          </a:p>
        </c:txPr>
        <c:crossAx val="171449728"/>
        <c:crosses val="autoZero"/>
        <c:auto val="1"/>
        <c:lblAlgn val="ctr"/>
        <c:lblOffset val="100"/>
        <c:noMultiLvlLbl val="0"/>
      </c:catAx>
      <c:valAx>
        <c:axId val="171449728"/>
        <c:scaling>
          <c:orientation val="minMax"/>
        </c:scaling>
        <c:delete val="0"/>
        <c:axPos val="l"/>
        <c:majorGridlines/>
        <c:numFmt formatCode="_(* #,##0_);_(* \(#,##0\);_(* &quot;-&quot;??_);_(@_)" sourceLinked="1"/>
        <c:majorTickMark val="out"/>
        <c:minorTickMark val="none"/>
        <c:tickLblPos val="nextTo"/>
        <c:crossAx val="1714481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a:p>
            <a:pPr>
              <a:defRPr/>
            </a:pPr>
            <a:endParaRPr lang="en-US"/>
          </a:p>
        </c:rich>
      </c:tx>
      <c:layout/>
      <c:overlay val="0"/>
    </c:title>
    <c:autoTitleDeleted val="0"/>
    <c:plotArea>
      <c:layout>
        <c:manualLayout>
          <c:layoutTarget val="inner"/>
          <c:xMode val="edge"/>
          <c:yMode val="edge"/>
          <c:x val="0.121590669333536"/>
          <c:y val="0.192825713193919"/>
          <c:w val="0.81231907908617496"/>
          <c:h val="0.71908853436156694"/>
        </c:manualLayout>
      </c:layout>
      <c:barChart>
        <c:barDir val="col"/>
        <c:grouping val="clustered"/>
        <c:varyColors val="0"/>
        <c:ser>
          <c:idx val="1"/>
          <c:order val="0"/>
          <c:tx>
            <c:strRef>
              <c:f>Dashboard!$D$32</c:f>
              <c:strCache>
                <c:ptCount val="1"/>
                <c:pt idx="0">
                  <c:v>A.S.P. ($)</c:v>
                </c:pt>
              </c:strCache>
            </c:strRef>
          </c:tx>
          <c:invertIfNegative val="0"/>
          <c:cat>
            <c:numRef>
              <c:f>Dashboard!$E$30:$N$30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Dashboard!$E$32:$N$32</c:f>
              <c:numCache>
                <c:formatCode>_("$"* #,##0_);_("$"* \(#,##0\);_("$"* "-"??_);_(@_)</c:formatCode>
                <c:ptCount val="10"/>
                <c:pt idx="0">
                  <c:v>0</c:v>
                </c:pt>
                <c:pt idx="1">
                  <c:v>15149.438202247189</c:v>
                </c:pt>
                <c:pt idx="2">
                  <c:v>1261.8461538461536</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4A6-2F43-A902-FD1B1BED9433}"/>
            </c:ext>
          </c:extLst>
        </c:ser>
        <c:dLbls>
          <c:showLegendKey val="0"/>
          <c:showVal val="0"/>
          <c:showCatName val="0"/>
          <c:showSerName val="0"/>
          <c:showPercent val="0"/>
          <c:showBubbleSize val="0"/>
        </c:dLbls>
        <c:gapWidth val="150"/>
        <c:axId val="171504384"/>
        <c:axId val="171505920"/>
      </c:barChart>
      <c:catAx>
        <c:axId val="171504384"/>
        <c:scaling>
          <c:orientation val="minMax"/>
        </c:scaling>
        <c:delete val="0"/>
        <c:axPos val="b"/>
        <c:numFmt formatCode="General" sourceLinked="1"/>
        <c:majorTickMark val="out"/>
        <c:minorTickMark val="none"/>
        <c:tickLblPos val="nextTo"/>
        <c:txPr>
          <a:bodyPr/>
          <a:lstStyle/>
          <a:p>
            <a:pPr>
              <a:defRPr sz="1100"/>
            </a:pPr>
            <a:endParaRPr lang="en-US"/>
          </a:p>
        </c:txPr>
        <c:crossAx val="171505920"/>
        <c:crosses val="autoZero"/>
        <c:auto val="1"/>
        <c:lblAlgn val="ctr"/>
        <c:lblOffset val="100"/>
        <c:noMultiLvlLbl val="0"/>
      </c:catAx>
      <c:valAx>
        <c:axId val="171505920"/>
        <c:scaling>
          <c:orientation val="minMax"/>
        </c:scaling>
        <c:delete val="0"/>
        <c:axPos val="l"/>
        <c:majorGridlines/>
        <c:numFmt formatCode="_(&quot;$&quot;* #,##0_);_(&quot;$&quot;* \(#,##0\);_(&quot;$&quot;* &quot;-&quot;??_);_(@_)" sourceLinked="1"/>
        <c:majorTickMark val="out"/>
        <c:minorTickMark val="none"/>
        <c:tickLblPos val="nextTo"/>
        <c:txPr>
          <a:bodyPr/>
          <a:lstStyle/>
          <a:p>
            <a:pPr>
              <a:defRPr sz="1100"/>
            </a:pPr>
            <a:endParaRPr lang="en-US"/>
          </a:p>
        </c:txPr>
        <c:crossAx val="17150438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a:p>
            <a:pPr>
              <a:defRPr/>
            </a:pPr>
            <a:endParaRPr lang="en-US"/>
          </a:p>
        </c:rich>
      </c:tx>
      <c:layout/>
      <c:overlay val="0"/>
    </c:title>
    <c:autoTitleDeleted val="0"/>
    <c:plotArea>
      <c:layout>
        <c:manualLayout>
          <c:layoutTarget val="inner"/>
          <c:xMode val="edge"/>
          <c:yMode val="edge"/>
          <c:x val="0.116231686635501"/>
          <c:y val="0.19959169376439101"/>
          <c:w val="0.81767818013574001"/>
          <c:h val="0.71232234350845103"/>
        </c:manualLayout>
      </c:layout>
      <c:barChart>
        <c:barDir val="col"/>
        <c:grouping val="clustered"/>
        <c:varyColors val="0"/>
        <c:ser>
          <c:idx val="1"/>
          <c:order val="0"/>
          <c:tx>
            <c:strRef>
              <c:f>Dashboard!$D$33</c:f>
              <c:strCache>
                <c:ptCount val="1"/>
                <c:pt idx="0">
                  <c:v>Revenues ($ million)</c:v>
                </c:pt>
              </c:strCache>
            </c:strRef>
          </c:tx>
          <c:invertIfNegative val="0"/>
          <c:cat>
            <c:numRef>
              <c:f>Dashboard!$E$30:$N$30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Dashboard!$E$33:$N$33</c:f>
              <c:numCache>
                <c:formatCode>_("$"* #,##0_);_("$"* \(#,##0\);_("$"* "-"??_);_(@_)</c:formatCode>
                <c:ptCount val="10"/>
                <c:pt idx="0">
                  <c:v>0</c:v>
                </c:pt>
                <c:pt idx="1">
                  <c:v>1.3482999999999998</c:v>
                </c:pt>
                <c:pt idx="2">
                  <c:v>49.211999999999996</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8EF-A746-9D94-DF4DD933684D}"/>
            </c:ext>
          </c:extLst>
        </c:ser>
        <c:dLbls>
          <c:showLegendKey val="0"/>
          <c:showVal val="0"/>
          <c:showCatName val="0"/>
          <c:showSerName val="0"/>
          <c:showPercent val="0"/>
          <c:showBubbleSize val="0"/>
        </c:dLbls>
        <c:gapWidth val="150"/>
        <c:axId val="171637376"/>
        <c:axId val="171905408"/>
      </c:barChart>
      <c:catAx>
        <c:axId val="171637376"/>
        <c:scaling>
          <c:orientation val="minMax"/>
        </c:scaling>
        <c:delete val="0"/>
        <c:axPos val="b"/>
        <c:numFmt formatCode="General" sourceLinked="1"/>
        <c:majorTickMark val="out"/>
        <c:minorTickMark val="none"/>
        <c:tickLblPos val="nextTo"/>
        <c:txPr>
          <a:bodyPr/>
          <a:lstStyle/>
          <a:p>
            <a:pPr>
              <a:defRPr sz="1100"/>
            </a:pPr>
            <a:endParaRPr lang="en-US"/>
          </a:p>
        </c:txPr>
        <c:crossAx val="171905408"/>
        <c:crosses val="autoZero"/>
        <c:auto val="1"/>
        <c:lblAlgn val="ctr"/>
        <c:lblOffset val="100"/>
        <c:noMultiLvlLbl val="0"/>
      </c:catAx>
      <c:valAx>
        <c:axId val="171905408"/>
        <c:scaling>
          <c:orientation val="minMax"/>
        </c:scaling>
        <c:delete val="0"/>
        <c:axPos val="l"/>
        <c:majorGridlines/>
        <c:numFmt formatCode="_(&quot;$&quot;* #,##0_);_(&quot;$&quot;* \(#,##0\);_(&quot;$&quot;* &quot;-&quot;??_);_(@_)" sourceLinked="1"/>
        <c:majorTickMark val="out"/>
        <c:minorTickMark val="none"/>
        <c:tickLblPos val="nextTo"/>
        <c:txPr>
          <a:bodyPr/>
          <a:lstStyle/>
          <a:p>
            <a:pPr>
              <a:defRPr sz="1100"/>
            </a:pPr>
            <a:endParaRPr lang="en-US"/>
          </a:p>
        </c:txPr>
        <c:crossAx val="171637376"/>
        <c:crosses val="autoZero"/>
        <c:crossBetween val="between"/>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66909917581493"/>
          <c:y val="8.2581983937649331E-2"/>
          <c:w val="0.80056916459295702"/>
          <c:h val="0.83145695333175107"/>
        </c:manualLayout>
      </c:layout>
      <c:barChart>
        <c:barDir val="col"/>
        <c:grouping val="stacked"/>
        <c:varyColors val="0"/>
        <c:ser>
          <c:idx val="0"/>
          <c:order val="0"/>
          <c:tx>
            <c:strRef>
              <c:f>'112 Adoption'!$B$28</c:f>
              <c:strCache>
                <c:ptCount val="1"/>
                <c:pt idx="0">
                  <c:v>100G QSFP28</c:v>
                </c:pt>
              </c:strCache>
            </c:strRef>
          </c:tx>
          <c:spPr>
            <a:solidFill>
              <a:schemeClr val="accent1"/>
            </a:solidFill>
            <a:ln>
              <a:noFill/>
            </a:ln>
            <a:effectLst/>
          </c:spPr>
          <c:invertIfNegative val="0"/>
          <c:cat>
            <c:numRef>
              <c:f>'112 Adoption'!$C$27:$L$27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'112 Adoption'!$C$28:$L$28</c:f>
              <c:numCache>
                <c:formatCode>_(* #,##0_);_(* \(#,##0\);_(* "-"??_);_(@_)</c:formatCode>
                <c:ptCount val="10"/>
                <c:pt idx="0">
                  <c:v>370501</c:v>
                </c:pt>
                <c:pt idx="1">
                  <c:v>985144</c:v>
                </c:pt>
                <c:pt idx="2">
                  <c:v>2316708.1176470588</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B57-9941-B42E-300DD673EA5D}"/>
            </c:ext>
          </c:extLst>
        </c:ser>
        <c:ser>
          <c:idx val="1"/>
          <c:order val="1"/>
          <c:tx>
            <c:strRef>
              <c:f>'112 Adoption'!$B$29</c:f>
              <c:strCache>
                <c:ptCount val="1"/>
                <c:pt idx="0">
                  <c:v>100G SFP112</c:v>
                </c:pt>
              </c:strCache>
            </c:strRef>
          </c:tx>
          <c:spPr>
            <a:solidFill>
              <a:schemeClr val="accent2"/>
            </a:solidFill>
            <a:ln>
              <a:noFill/>
            </a:ln>
            <a:effectLst/>
          </c:spPr>
          <c:invertIfNegative val="0"/>
          <c:cat>
            <c:numRef>
              <c:f>'112 Adoption'!$C$27:$L$27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'112 Adoption'!$C$29:$L$29</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B57-9941-B42E-300DD673EA5D}"/>
            </c:ext>
          </c:extLst>
        </c:ser>
        <c:dLbls>
          <c:showLegendKey val="0"/>
          <c:showVal val="0"/>
          <c:showCatName val="0"/>
          <c:showSerName val="0"/>
          <c:showPercent val="0"/>
          <c:showBubbleSize val="0"/>
        </c:dLbls>
        <c:gapWidth val="150"/>
        <c:overlap val="100"/>
        <c:axId val="172298240"/>
        <c:axId val="172299776"/>
      </c:barChart>
      <c:catAx>
        <c:axId val="17229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72299776"/>
        <c:crosses val="autoZero"/>
        <c:auto val="1"/>
        <c:lblAlgn val="ctr"/>
        <c:lblOffset val="100"/>
        <c:noMultiLvlLbl val="0"/>
      </c:catAx>
      <c:valAx>
        <c:axId val="172299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Shipments (Units)</a:t>
                </a:r>
              </a:p>
            </c:rich>
          </c:tx>
          <c:layout>
            <c:manualLayout>
              <c:xMode val="edge"/>
              <c:yMode val="edge"/>
              <c:x val="1.4763473006121557E-2"/>
              <c:y val="0.29415371837820481"/>
            </c:manualLayout>
          </c:layout>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72298240"/>
        <c:crosses val="autoZero"/>
        <c:crossBetween val="between"/>
        <c:majorUnit val="5000000"/>
      </c:valAx>
      <c:spPr>
        <a:noFill/>
        <a:ln>
          <a:noFill/>
        </a:ln>
        <a:effectLst/>
      </c:spPr>
    </c:plotArea>
    <c:legend>
      <c:legendPos val="b"/>
      <c:layout>
        <c:manualLayout>
          <c:xMode val="edge"/>
          <c:yMode val="edge"/>
          <c:x val="0.18984843551388503"/>
          <c:y val="0.12775113019022094"/>
          <c:w val="0.46237687010590256"/>
          <c:h val="9.584500891675289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99455050571854"/>
          <c:y val="7.8421321916405162E-2"/>
          <c:w val="0.80524360070074441"/>
          <c:h val="0.83561762868904732"/>
        </c:manualLayout>
      </c:layout>
      <c:barChart>
        <c:barDir val="col"/>
        <c:grouping val="stacked"/>
        <c:varyColors val="0"/>
        <c:ser>
          <c:idx val="0"/>
          <c:order val="0"/>
          <c:tx>
            <c:strRef>
              <c:f>'112 Adoption'!$N$28</c:f>
              <c:strCache>
                <c:ptCount val="1"/>
                <c:pt idx="0">
                  <c:v>400G QSFP-DD/OSFP</c:v>
                </c:pt>
              </c:strCache>
            </c:strRef>
          </c:tx>
          <c:spPr>
            <a:solidFill>
              <a:schemeClr val="accent1"/>
            </a:solidFill>
            <a:ln>
              <a:noFill/>
            </a:ln>
            <a:effectLst/>
          </c:spPr>
          <c:invertIfNegative val="0"/>
          <c:cat>
            <c:numRef>
              <c:f>'112 Adoption'!$O$27:$X$27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'112 Adoption'!$O$28:$X$28</c:f>
              <c:numCache>
                <c:formatCode>_(* #,##0_);_(* \(#,##0\);_(* "-"??_);_(@_)</c:formatCode>
                <c:ptCount val="10"/>
                <c:pt idx="0">
                  <c:v>0</c:v>
                </c:pt>
                <c:pt idx="1">
                  <c:v>89</c:v>
                </c:pt>
                <c:pt idx="2">
                  <c:v>39000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441-D04E-AC2F-F514AB5AB329}"/>
            </c:ext>
          </c:extLst>
        </c:ser>
        <c:ser>
          <c:idx val="1"/>
          <c:order val="1"/>
          <c:tx>
            <c:strRef>
              <c:f>'112 Adoption'!$N$29</c:f>
              <c:strCache>
                <c:ptCount val="1"/>
                <c:pt idx="0">
                  <c:v>400G QSFP112</c:v>
                </c:pt>
              </c:strCache>
            </c:strRef>
          </c:tx>
          <c:spPr>
            <a:solidFill>
              <a:schemeClr val="accent2"/>
            </a:solidFill>
            <a:ln>
              <a:noFill/>
            </a:ln>
            <a:effectLst/>
          </c:spPr>
          <c:invertIfNegative val="0"/>
          <c:cat>
            <c:numRef>
              <c:f>'112 Adoption'!$O$27:$X$27</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'112 Adoption'!$O$29:$X$29</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441-D04E-AC2F-F514AB5AB329}"/>
            </c:ext>
          </c:extLst>
        </c:ser>
        <c:dLbls>
          <c:showLegendKey val="0"/>
          <c:showVal val="0"/>
          <c:showCatName val="0"/>
          <c:showSerName val="0"/>
          <c:showPercent val="0"/>
          <c:showBubbleSize val="0"/>
        </c:dLbls>
        <c:gapWidth val="150"/>
        <c:overlap val="100"/>
        <c:axId val="172354944"/>
        <c:axId val="172373120"/>
      </c:barChart>
      <c:catAx>
        <c:axId val="17235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72373120"/>
        <c:crosses val="autoZero"/>
        <c:auto val="1"/>
        <c:lblAlgn val="ctr"/>
        <c:lblOffset val="100"/>
        <c:noMultiLvlLbl val="0"/>
      </c:catAx>
      <c:valAx>
        <c:axId val="172373120"/>
        <c:scaling>
          <c:orientation val="minMax"/>
          <c:max val="10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Shipments (Units)</a:t>
                </a:r>
              </a:p>
            </c:rich>
          </c:tx>
          <c:layout>
            <c:manualLayout>
              <c:xMode val="edge"/>
              <c:yMode val="edge"/>
              <c:x val="1.8733305876996963E-2"/>
              <c:y val="0.28345673683355288"/>
            </c:manualLayout>
          </c:layout>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72354944"/>
        <c:crosses val="autoZero"/>
        <c:crossBetween val="between"/>
        <c:majorUnit val="2000000"/>
      </c:valAx>
      <c:spPr>
        <a:noFill/>
        <a:ln>
          <a:noFill/>
        </a:ln>
        <a:effectLst/>
      </c:spPr>
    </c:plotArea>
    <c:legend>
      <c:legendPos val="b"/>
      <c:layout>
        <c:manualLayout>
          <c:xMode val="edge"/>
          <c:yMode val="edge"/>
          <c:x val="0.17626273340659526"/>
          <c:y val="0.12413337051698345"/>
          <c:w val="0.5493001622789454"/>
          <c:h val="8.149683782975879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a:t>
            </a:r>
          </a:p>
          <a:p>
            <a:pPr>
              <a:defRPr/>
            </a:pPr>
            <a:r>
              <a:rPr lang="en-US" sz="1600" b="0"/>
              <a:t>(linear scale)</a:t>
            </a:r>
          </a:p>
        </c:rich>
      </c:tx>
      <c:layout/>
      <c:overlay val="0"/>
    </c:title>
    <c:autoTitleDeleted val="0"/>
    <c:plotArea>
      <c:layout/>
      <c:lineChart>
        <c:grouping val="standard"/>
        <c:varyColors val="0"/>
        <c:ser>
          <c:idx val="1"/>
          <c:order val="0"/>
          <c:tx>
            <c:strRef>
              <c:f>'Cost per Gbps'!$D$35</c:f>
              <c:strCache>
                <c:ptCount val="1"/>
                <c:pt idx="0">
                  <c:v>1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Gbps'!$E$35:$T$35</c:f>
              <c:numCache>
                <c:formatCode>_("$"* #,##0_);_("$"* \(#,##0\);_("$"* "-"??_);_(@_)</c:formatCode>
                <c:ptCount val="16"/>
                <c:pt idx="0">
                  <c:v>22.693702827821532</c:v>
                </c:pt>
                <c:pt idx="1">
                  <c:v>19.293096563473824</c:v>
                </c:pt>
                <c:pt idx="2">
                  <c:v>18.103114071743498</c:v>
                </c:pt>
                <c:pt idx="3">
                  <c:v>16.178886053917275</c:v>
                </c:pt>
                <c:pt idx="4">
                  <c:v>14.755270803079455</c:v>
                </c:pt>
                <c:pt idx="5">
                  <c:v>14.157915068774409</c:v>
                </c:pt>
                <c:pt idx="6">
                  <c:v>11.362900504713087</c:v>
                </c:pt>
                <c:pt idx="7">
                  <c:v>9.8128791971601554</c:v>
                </c:pt>
                <c:pt idx="8" formatCode="_(&quot;$&quot;* #,##0.0_);_(&quot;$&quot;* \(#,##0.0\);_(&quot;$&quot;* &quot;-&quot;??_);_(@_)">
                  <c:v>9.1996642661233263</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0-476F-BB45-9EB4-52EF862F6C10}"/>
            </c:ext>
          </c:extLst>
        </c:ser>
        <c:ser>
          <c:idx val="2"/>
          <c:order val="1"/>
          <c:tx>
            <c:strRef>
              <c:f>'Cost per Gbps'!$D$36</c:f>
              <c:strCache>
                <c:ptCount val="1"/>
                <c:pt idx="0">
                  <c:v>10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Gbps'!$E$36:$T$36</c:f>
              <c:numCache>
                <c:formatCode>_("$"* #,##0_);_("$"* \(#,##0\);_("$"* "-"??_);_(@_)</c:formatCode>
                <c:ptCount val="16"/>
                <c:pt idx="0">
                  <c:v>9.8825247570260242</c:v>
                </c:pt>
                <c:pt idx="1">
                  <c:v>7.5412691899358517</c:v>
                </c:pt>
                <c:pt idx="2">
                  <c:v>6.7189149239794101</c:v>
                </c:pt>
                <c:pt idx="3">
                  <c:v>5.2861169818853488</c:v>
                </c:pt>
                <c:pt idx="4">
                  <c:v>4.5280339113800467</c:v>
                </c:pt>
                <c:pt idx="5">
                  <c:v>3.897031950093071</c:v>
                </c:pt>
                <c:pt idx="6">
                  <c:v>3.1803504158563904</c:v>
                </c:pt>
                <c:pt idx="7">
                  <c:v>2.439730741307288</c:v>
                </c:pt>
                <c:pt idx="8" formatCode="_(&quot;$&quot;* #,##0.0_);_(&quot;$&quot;* \(#,##0.0\);_(&quot;$&quot;* &quot;-&quot;??_);_(@_)">
                  <c:v>2.1411624078637841</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1-476F-BB45-9EB4-52EF862F6C10}"/>
            </c:ext>
          </c:extLst>
        </c:ser>
        <c:ser>
          <c:idx val="5"/>
          <c:order val="2"/>
          <c:tx>
            <c:strRef>
              <c:f>'Cost per Gbps'!$D$37</c:f>
              <c:strCache>
                <c:ptCount val="1"/>
                <c:pt idx="0">
                  <c:v>25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Gbps'!$E$37:$T$37</c:f>
              <c:numCache>
                <c:formatCode>_("$"* #,##0_);_("$"* \(#,##0\);_("$"* "-"??_);_(@_)</c:formatCode>
                <c:ptCount val="16"/>
                <c:pt idx="6">
                  <c:v>11.671989054215837</c:v>
                </c:pt>
                <c:pt idx="7">
                  <c:v>6.7722873832058497</c:v>
                </c:pt>
                <c:pt idx="8" formatCode="_(&quot;$&quot;* #,##0.0_);_(&quot;$&quot;* \(#,##0.0\);_(&quot;$&quot;* &quot;-&quot;??_);_(@_)">
                  <c:v>4.1399047739208452</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2-476F-BB45-9EB4-52EF862F6C10}"/>
            </c:ext>
          </c:extLst>
        </c:ser>
        <c:ser>
          <c:idx val="3"/>
          <c:order val="3"/>
          <c:tx>
            <c:strRef>
              <c:f>'Cost per Gbps'!$D$38</c:f>
              <c:strCache>
                <c:ptCount val="1"/>
                <c:pt idx="0">
                  <c:v>40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Gbps'!$E$38:$S$38</c:f>
              <c:numCache>
                <c:formatCode>_("$"* #,##0_);_("$"* \(#,##0\);_("$"* "-"??_);_(@_)</c:formatCode>
                <c:ptCount val="15"/>
                <c:pt idx="0">
                  <c:v>46.557521763382681</c:v>
                </c:pt>
                <c:pt idx="1">
                  <c:v>11.176711108652357</c:v>
                </c:pt>
                <c:pt idx="2">
                  <c:v>12.879950952573868</c:v>
                </c:pt>
                <c:pt idx="3">
                  <c:v>11.167363674734627</c:v>
                </c:pt>
                <c:pt idx="4">
                  <c:v>7.3590573700709259</c:v>
                </c:pt>
                <c:pt idx="5">
                  <c:v>6.2327425657156015</c:v>
                </c:pt>
                <c:pt idx="6">
                  <c:v>6.2473515491273455</c:v>
                </c:pt>
                <c:pt idx="7">
                  <c:v>5.850414550912757</c:v>
                </c:pt>
                <c:pt idx="8" formatCode="_(&quot;$&quot;* #,##0.0_);_(&quot;$&quot;* \(#,##0.0\);_(&quot;$&quot;* &quot;-&quot;??_);_(@_)">
                  <c:v>4.3533121656520768</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1.9186071924958388</c:v>
                </c:pt>
              </c:numCache>
            </c:numRef>
          </c:val>
          <c:smooth val="0"/>
          <c:extLst xmlns:c16r2="http://schemas.microsoft.com/office/drawing/2015/06/chart">
            <c:ext xmlns:c16="http://schemas.microsoft.com/office/drawing/2014/chart" uri="{C3380CC4-5D6E-409C-BE32-E72D297353CC}">
              <c16:uniqueId val="{00000003-476F-BB45-9EB4-52EF862F6C10}"/>
            </c:ext>
          </c:extLst>
        </c:ser>
        <c:ser>
          <c:idx val="7"/>
          <c:order val="4"/>
          <c:tx>
            <c:strRef>
              <c:f>'Cost per Gbps'!$D$39</c:f>
              <c:strCache>
                <c:ptCount val="1"/>
                <c:pt idx="0">
                  <c:v>50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Gbps'!$E$39:$S$39</c:f>
              <c:numCache>
                <c:formatCode>_("$"* #,##0_);_("$"* \(#,##0\);_("$"* "-"??_);_(@_)</c:formatCode>
                <c:ptCount val="15"/>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1.5348857539966712</c:v>
                </c:pt>
              </c:numCache>
            </c:numRef>
          </c:val>
          <c:smooth val="0"/>
          <c:extLst xmlns:c16r2="http://schemas.microsoft.com/office/drawing/2015/06/chart">
            <c:ext xmlns:c16="http://schemas.microsoft.com/office/drawing/2014/chart" uri="{C3380CC4-5D6E-409C-BE32-E72D297353CC}">
              <c16:uniqueId val="{00000004-476F-BB45-9EB4-52EF862F6C10}"/>
            </c:ext>
          </c:extLst>
        </c:ser>
        <c:ser>
          <c:idx val="4"/>
          <c:order val="5"/>
          <c:tx>
            <c:strRef>
              <c:f>'Cost per Gbps'!$D$40</c:f>
              <c:strCache>
                <c:ptCount val="1"/>
                <c:pt idx="0">
                  <c:v>100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Gbps'!$E$40:$T$40</c:f>
              <c:numCache>
                <c:formatCode>_("$"* #,##0_);_("$"* \(#,##0\);_("$"* "-"??_);_(@_)</c:formatCode>
                <c:ptCount val="16"/>
                <c:pt idx="0">
                  <c:v>262.22519083969468</c:v>
                </c:pt>
                <c:pt idx="1">
                  <c:v>223.61202964182792</c:v>
                </c:pt>
                <c:pt idx="2">
                  <c:v>118.45667534287716</c:v>
                </c:pt>
                <c:pt idx="3">
                  <c:v>80.594856591909462</c:v>
                </c:pt>
                <c:pt idx="4">
                  <c:v>55.871254639091049</c:v>
                </c:pt>
                <c:pt idx="5">
                  <c:v>31.55152277583019</c:v>
                </c:pt>
                <c:pt idx="6">
                  <c:v>12.434155608075619</c:v>
                </c:pt>
                <c:pt idx="7">
                  <c:v>5.7395765341319205</c:v>
                </c:pt>
                <c:pt idx="8" formatCode="_(&quot;$&quot;* #,##0.0_);_(&quot;$&quot;* \(#,##0.0\);_(&quot;$&quot;* &quot;-&quot;??_);_(@_)">
                  <c:v>3.486041058192479</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5-476F-BB45-9EB4-52EF862F6C10}"/>
            </c:ext>
          </c:extLst>
        </c:ser>
        <c:ser>
          <c:idx val="8"/>
          <c:order val="6"/>
          <c:tx>
            <c:strRef>
              <c:f>'Cost per Gbps'!$D$41</c:f>
              <c:strCache>
                <c:ptCount val="1"/>
                <c:pt idx="0">
                  <c:v>200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Gbps'!$E$41:$T$41</c:f>
              <c:numCache>
                <c:formatCode>_("$"* #,##0_);_("$"* \(#,##0\);_("$"* "-"??_);_(@_)</c:formatCode>
                <c:ptCount val="16"/>
                <c:pt idx="8" formatCode="_(&quot;$&quot;* #,##0.0_);_(&quot;$&quot;* \(#,##0.0\);_(&quot;$&quot;* &quot;-&quot;??_);_(@_)">
                  <c:v>5.5</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6-476F-BB45-9EB4-52EF862F6C10}"/>
            </c:ext>
          </c:extLst>
        </c:ser>
        <c:ser>
          <c:idx val="0"/>
          <c:order val="7"/>
          <c:tx>
            <c:strRef>
              <c:f>'Cost per Gbps'!$D$42</c:f>
              <c:strCache>
                <c:ptCount val="1"/>
                <c:pt idx="0">
                  <c:v>400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Gbps'!$E$42:$T$42</c:f>
              <c:numCache>
                <c:formatCode>_("$"* #,##0_);_("$"* \(#,##0\);_("$"* "-"??_);_(@_)</c:formatCode>
                <c:ptCount val="16"/>
                <c:pt idx="8" formatCode="_(&quot;$&quot;* #,##0.0_);_(&quot;$&quot;* \(#,##0.0\);_(&quot;$&quot;* &quot;-&quot;??_);_(@_)">
                  <c:v>3.1546153846153842</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0-84A9-1B4A-9B5E-0BCCAF04E2DC}"/>
            </c:ext>
          </c:extLst>
        </c:ser>
        <c:ser>
          <c:idx val="6"/>
          <c:order val="8"/>
          <c:tx>
            <c:v>2x400G</c:v>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Gbps'!$E$43:$T$43</c:f>
              <c:numCache>
                <c:formatCode>_("$"* #,##0_);_("$"* \(#,##0\);_("$"* "-"??_);_(@_)</c:formatCode>
                <c:ptCount val="16"/>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0-D9F2-7E40-947D-B4389C7322BD}"/>
            </c:ext>
          </c:extLst>
        </c:ser>
        <c:dLbls>
          <c:showLegendKey val="0"/>
          <c:showVal val="0"/>
          <c:showCatName val="0"/>
          <c:showSerName val="0"/>
          <c:showPercent val="0"/>
          <c:showBubbleSize val="0"/>
        </c:dLbls>
        <c:marker val="1"/>
        <c:smooth val="0"/>
        <c:axId val="172506496"/>
        <c:axId val="172520576"/>
      </c:lineChart>
      <c:catAx>
        <c:axId val="172506496"/>
        <c:scaling>
          <c:orientation val="minMax"/>
        </c:scaling>
        <c:delete val="0"/>
        <c:axPos val="b"/>
        <c:numFmt formatCode="General" sourceLinked="1"/>
        <c:majorTickMark val="out"/>
        <c:minorTickMark val="none"/>
        <c:tickLblPos val="nextTo"/>
        <c:crossAx val="172520576"/>
        <c:crosses val="autoZero"/>
        <c:auto val="1"/>
        <c:lblAlgn val="ctr"/>
        <c:lblOffset val="100"/>
        <c:noMultiLvlLbl val="0"/>
      </c:catAx>
      <c:valAx>
        <c:axId val="172520576"/>
        <c:scaling>
          <c:orientation val="minMax"/>
          <c:max val="30"/>
        </c:scaling>
        <c:delete val="0"/>
        <c:axPos val="l"/>
        <c:majorGridlines/>
        <c:numFmt formatCode="_(&quot;$&quot;* #,##0_);_(&quot;$&quot;* \(#,##0\);_(&quot;$&quot;* &quot;-&quot;??_);_(@_)" sourceLinked="1"/>
        <c:majorTickMark val="out"/>
        <c:minorTickMark val="none"/>
        <c:tickLblPos val="nextTo"/>
        <c:crossAx val="1725064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 </a:t>
            </a:r>
          </a:p>
          <a:p>
            <a:pPr>
              <a:defRPr/>
            </a:pPr>
            <a:r>
              <a:rPr lang="en-US" sz="1400" b="0"/>
              <a:t>(average of all data rates)</a:t>
            </a:r>
          </a:p>
        </c:rich>
      </c:tx>
      <c:layout/>
      <c:overlay val="0"/>
    </c:title>
    <c:autoTitleDeleted val="0"/>
    <c:plotArea>
      <c:layout/>
      <c:lineChart>
        <c:grouping val="standard"/>
        <c:varyColors val="0"/>
        <c:ser>
          <c:idx val="0"/>
          <c:order val="0"/>
          <c:tx>
            <c:strRef>
              <c:f>'Cost per Gbps'!$D$44</c:f>
              <c:strCache>
                <c:ptCount val="1"/>
                <c:pt idx="0">
                  <c:v>Grand average</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Gbps'!$E$44:$T$44</c:f>
              <c:numCache>
                <c:formatCode>_("$"* #,##0.0_);_("$"* \(#,##0.0\);_("$"* "-"??_);_(@_)</c:formatCode>
                <c:ptCount val="16"/>
                <c:pt idx="0" formatCode="_(&quot;$&quot;* #,##0_);_(&quot;$&quot;* \(#,##0\);_(&quot;$&quot;* &quot;-&quot;??_);_(@_)">
                  <c:v>18.659177244454714</c:v>
                </c:pt>
                <c:pt idx="1">
                  <c:v>12.491157998353826</c:v>
                </c:pt>
                <c:pt idx="2">
                  <c:v>11.206910619233915</c:v>
                </c:pt>
                <c:pt idx="3">
                  <c:v>9.2919679279757297</c:v>
                </c:pt>
                <c:pt idx="4">
                  <c:v>7.2488549734174947</c:v>
                </c:pt>
                <c:pt idx="5">
                  <c:v>6.6238891591280309</c:v>
                </c:pt>
                <c:pt idx="6">
                  <c:v>6.4437661562837079</c:v>
                </c:pt>
                <c:pt idx="7">
                  <c:v>4.842530790323706</c:v>
                </c:pt>
                <c:pt idx="8">
                  <c:v>3.3813605974540195</c:v>
                </c:pt>
                <c:pt idx="9">
                  <c:v>0</c:v>
                </c:pt>
                <c:pt idx="10">
                  <c:v>0</c:v>
                </c:pt>
                <c:pt idx="11">
                  <c:v>0</c:v>
                </c:pt>
                <c:pt idx="12">
                  <c:v>0</c:v>
                </c:pt>
                <c:pt idx="13">
                  <c:v>0</c:v>
                </c:pt>
                <c:pt idx="14">
                  <c:v>0</c:v>
                </c:pt>
                <c:pt idx="15">
                  <c:v>0</c:v>
                </c:pt>
              </c:numCache>
            </c:numRef>
          </c:val>
          <c:smooth val="0"/>
          <c:extLst xmlns:c16r2="http://schemas.microsoft.com/office/drawing/2015/06/chart">
            <c:ext xmlns:c16="http://schemas.microsoft.com/office/drawing/2014/chart" uri="{C3380CC4-5D6E-409C-BE32-E72D297353CC}">
              <c16:uniqueId val="{00000000-7BF3-A94D-AA6A-44EFFFB8AC0C}"/>
            </c:ext>
          </c:extLst>
        </c:ser>
        <c:dLbls>
          <c:showLegendKey val="0"/>
          <c:showVal val="0"/>
          <c:showCatName val="0"/>
          <c:showSerName val="0"/>
          <c:showPercent val="0"/>
          <c:showBubbleSize val="0"/>
        </c:dLbls>
        <c:marker val="1"/>
        <c:smooth val="0"/>
        <c:axId val="172553728"/>
        <c:axId val="172555264"/>
      </c:lineChart>
      <c:catAx>
        <c:axId val="172553728"/>
        <c:scaling>
          <c:orientation val="minMax"/>
        </c:scaling>
        <c:delete val="0"/>
        <c:axPos val="b"/>
        <c:numFmt formatCode="General" sourceLinked="1"/>
        <c:majorTickMark val="out"/>
        <c:minorTickMark val="none"/>
        <c:tickLblPos val="nextTo"/>
        <c:crossAx val="172555264"/>
        <c:crosses val="autoZero"/>
        <c:auto val="1"/>
        <c:lblAlgn val="ctr"/>
        <c:lblOffset val="100"/>
        <c:noMultiLvlLbl val="0"/>
      </c:catAx>
      <c:valAx>
        <c:axId val="172555264"/>
        <c:scaling>
          <c:orientation val="minMax"/>
        </c:scaling>
        <c:delete val="0"/>
        <c:axPos val="l"/>
        <c:majorGridlines/>
        <c:numFmt formatCode="_(&quot;$&quot;* #,##0_);_(&quot;$&quot;* \(#,##0\);_(&quot;$&quot;* &quot;-&quot;_);_(@_)" sourceLinked="0"/>
        <c:majorTickMark val="out"/>
        <c:minorTickMark val="none"/>
        <c:tickLblPos val="nextTo"/>
        <c:crossAx val="172553728"/>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66115212177465"/>
          <c:y val="5.9278041872113545E-2"/>
          <c:w val="0.84443625584947379"/>
          <c:h val="0.84387870259969489"/>
        </c:manualLayout>
      </c:layout>
      <c:lineChart>
        <c:grouping val="standard"/>
        <c:varyColors val="0"/>
        <c:ser>
          <c:idx val="0"/>
          <c:order val="0"/>
          <c:tx>
            <c:strRef>
              <c:f>Summary!$B$406</c:f>
              <c:strCache>
                <c:ptCount val="1"/>
                <c:pt idx="0">
                  <c:v>100 m  40G QSFP+</c:v>
                </c:pt>
              </c:strCache>
            </c:strRef>
          </c:tx>
          <c:cat>
            <c:numRef>
              <c:f>Summary!$C$405:$L$405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Summary!$C$406:$L$406</c:f>
              <c:numCache>
                <c:formatCode>_("$"* #,##0.0_);_("$"* \(#,##0.0\);_("$"* "-"??_);_(@_)</c:formatCode>
                <c:ptCount val="10"/>
                <c:pt idx="0">
                  <c:v>61.814562208888887</c:v>
                </c:pt>
                <c:pt idx="1">
                  <c:v>63.806447873340716</c:v>
                </c:pt>
                <c:pt idx="2">
                  <c:v>56.351367198170891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2A1F-7040-96D1-DBBB2C2273F7}"/>
            </c:ext>
          </c:extLst>
        </c:ser>
        <c:ser>
          <c:idx val="2"/>
          <c:order val="1"/>
          <c:tx>
            <c:strRef>
              <c:f>Summary!$B$407</c:f>
              <c:strCache>
                <c:ptCount val="1"/>
                <c:pt idx="0">
                  <c:v>100 m  40G MM duplex</c:v>
                </c:pt>
              </c:strCache>
            </c:strRef>
          </c:tx>
          <c:cat>
            <c:numRef>
              <c:f>Summary!$C$405:$L$405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Summary!$C$407:$L$407</c:f>
              <c:numCache>
                <c:formatCode>_("$"* #,##0.0_);_("$"* \(#,##0.0\);_("$"* "-"??_);_(@_)</c:formatCode>
                <c:ptCount val="10"/>
                <c:pt idx="0">
                  <c:v>153.5735</c:v>
                </c:pt>
                <c:pt idx="1">
                  <c:v>180.12456</c:v>
                </c:pt>
                <c:pt idx="2">
                  <c:v>134.912229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2A1F-7040-96D1-DBBB2C2273F7}"/>
            </c:ext>
          </c:extLst>
        </c:ser>
        <c:ser>
          <c:idx val="1"/>
          <c:order val="2"/>
          <c:tx>
            <c:strRef>
              <c:f>Summary!$B$398</c:f>
              <c:strCache>
                <c:ptCount val="1"/>
                <c:pt idx="0">
                  <c:v>300 m  40 G eSR QSFP+</c:v>
                </c:pt>
              </c:strCache>
            </c:strRef>
          </c:tx>
          <c:cat>
            <c:numRef>
              <c:f>Summary!$C$405:$L$405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Summary!$C$408:$L$408</c:f>
              <c:numCache>
                <c:formatCode>_("$"* #,##0.0_);_("$"* \(#,##0.0\);_("$"* "-"??_);_(@_)</c:formatCode>
                <c:ptCount val="10"/>
                <c:pt idx="0">
                  <c:v>29.361883310000003</c:v>
                </c:pt>
                <c:pt idx="1">
                  <c:v>37.789000000000001</c:v>
                </c:pt>
                <c:pt idx="2">
                  <c:v>31.355079991532847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2A1F-7040-96D1-DBBB2C2273F7}"/>
            </c:ext>
          </c:extLst>
        </c:ser>
        <c:dLbls>
          <c:showLegendKey val="0"/>
          <c:showVal val="0"/>
          <c:showCatName val="0"/>
          <c:showSerName val="0"/>
          <c:showPercent val="0"/>
          <c:showBubbleSize val="0"/>
        </c:dLbls>
        <c:marker val="1"/>
        <c:smooth val="0"/>
        <c:axId val="123508992"/>
        <c:axId val="123514880"/>
      </c:lineChart>
      <c:catAx>
        <c:axId val="123508992"/>
        <c:scaling>
          <c:orientation val="minMax"/>
        </c:scaling>
        <c:delete val="0"/>
        <c:axPos val="b"/>
        <c:numFmt formatCode="General" sourceLinked="1"/>
        <c:majorTickMark val="out"/>
        <c:minorTickMark val="none"/>
        <c:tickLblPos val="nextTo"/>
        <c:txPr>
          <a:bodyPr/>
          <a:lstStyle/>
          <a:p>
            <a:pPr>
              <a:defRPr sz="1000"/>
            </a:pPr>
            <a:endParaRPr lang="en-US"/>
          </a:p>
        </c:txPr>
        <c:crossAx val="123514880"/>
        <c:crosses val="autoZero"/>
        <c:auto val="1"/>
        <c:lblAlgn val="ctr"/>
        <c:lblOffset val="100"/>
        <c:noMultiLvlLbl val="0"/>
      </c:catAx>
      <c:valAx>
        <c:axId val="123514880"/>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7.9851818019081346E-3"/>
              <c:y val="0.22182210339423408"/>
            </c:manualLayout>
          </c:layout>
          <c:overlay val="0"/>
        </c:title>
        <c:numFmt formatCode="&quot;$&quot;#,##0" sourceLinked="0"/>
        <c:majorTickMark val="out"/>
        <c:minorTickMark val="none"/>
        <c:tickLblPos val="nextTo"/>
        <c:txPr>
          <a:bodyPr/>
          <a:lstStyle/>
          <a:p>
            <a:pPr>
              <a:defRPr sz="1200"/>
            </a:pPr>
            <a:endParaRPr lang="en-US"/>
          </a:p>
        </c:txPr>
        <c:crossAx val="123508992"/>
        <c:crosses val="autoZero"/>
        <c:crossBetween val="between"/>
      </c:valAx>
    </c:plotArea>
    <c:legend>
      <c:legendPos val="t"/>
      <c:layout>
        <c:manualLayout>
          <c:xMode val="edge"/>
          <c:yMode val="edge"/>
          <c:x val="0.61988535203373774"/>
          <c:y val="8.9101899917213789E-2"/>
          <c:w val="0.33111871584780544"/>
          <c:h val="0.33917251550288713"/>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Cost/Gbps: Ethernet Short Reach (MMF) by Data Rate</a:t>
            </a:r>
          </a:p>
          <a:p>
            <a:pPr>
              <a:defRPr sz="1600"/>
            </a:pPr>
            <a:r>
              <a:rPr lang="en-US" sz="1400" b="0"/>
              <a:t>(all form factors included)</a:t>
            </a:r>
          </a:p>
        </c:rich>
      </c:tx>
      <c:layout/>
      <c:overlay val="0"/>
    </c:title>
    <c:autoTitleDeleted val="0"/>
    <c:plotArea>
      <c:layout>
        <c:manualLayout>
          <c:layoutTarget val="inner"/>
          <c:xMode val="edge"/>
          <c:yMode val="edge"/>
          <c:x val="0.11352885740846669"/>
          <c:y val="0.13452250829404996"/>
          <c:w val="0.71784689411287295"/>
          <c:h val="0.78009037507171497"/>
        </c:manualLayout>
      </c:layout>
      <c:lineChart>
        <c:grouping val="standard"/>
        <c:varyColors val="0"/>
        <c:ser>
          <c:idx val="1"/>
          <c:order val="0"/>
          <c:tx>
            <c:strRef>
              <c:f>'Cost per Gbps'!$D$73</c:f>
              <c:strCache>
                <c:ptCount val="1"/>
                <c:pt idx="0">
                  <c:v>10 G</c:v>
                </c:pt>
              </c:strCache>
            </c:strRef>
          </c:tx>
          <c:marker>
            <c:symbol val="none"/>
          </c:marker>
          <c:cat>
            <c:numRef>
              <c:f>'Cost per Gbps'!$E$71:$T$71</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Gbps'!$E$73:$T$73</c:f>
              <c:numCache>
                <c:formatCode>_("$"* #,##0.0_);_("$"* \(#,##0.0\);_("$"* "-"??_);_(@_)</c:formatCode>
                <c:ptCount val="16"/>
                <c:pt idx="0">
                  <c:v>7.2693971450474013</c:v>
                </c:pt>
                <c:pt idx="1">
                  <c:v>5.6225638648096545</c:v>
                </c:pt>
                <c:pt idx="2">
                  <c:v>4.7234436834010181</c:v>
                </c:pt>
                <c:pt idx="3">
                  <c:v>3.5859981642836827</c:v>
                </c:pt>
                <c:pt idx="4">
                  <c:v>2.7640696017573658</c:v>
                </c:pt>
                <c:pt idx="5">
                  <c:v>2.1809560564685277</c:v>
                </c:pt>
                <c:pt idx="6">
                  <c:v>1.8308628817969292</c:v>
                </c:pt>
                <c:pt idx="7">
                  <c:v>1.5256493367606148</c:v>
                </c:pt>
                <c:pt idx="8">
                  <c:v>1.294694247720833</c:v>
                </c:pt>
                <c:pt idx="9">
                  <c:v>0</c:v>
                </c:pt>
                <c:pt idx="10">
                  <c:v>0</c:v>
                </c:pt>
                <c:pt idx="11">
                  <c:v>0</c:v>
                </c:pt>
                <c:pt idx="12">
                  <c:v>0</c:v>
                </c:pt>
                <c:pt idx="13">
                  <c:v>0</c:v>
                </c:pt>
                <c:pt idx="14">
                  <c:v>0</c:v>
                </c:pt>
                <c:pt idx="15">
                  <c:v>0</c:v>
                </c:pt>
              </c:numCache>
            </c:numRef>
          </c:val>
          <c:smooth val="0"/>
          <c:extLst xmlns:c16r2="http://schemas.microsoft.com/office/drawing/2015/06/chart">
            <c:ext xmlns:c16="http://schemas.microsoft.com/office/drawing/2014/chart" uri="{C3380CC4-5D6E-409C-BE32-E72D297353CC}">
              <c16:uniqueId val="{00000001-4933-654E-A155-6C3CE82B255E}"/>
            </c:ext>
          </c:extLst>
        </c:ser>
        <c:ser>
          <c:idx val="2"/>
          <c:order val="1"/>
          <c:tx>
            <c:strRef>
              <c:f>'Cost per Gbps'!$D$74</c:f>
              <c:strCache>
                <c:ptCount val="1"/>
                <c:pt idx="0">
                  <c:v>25 G</c:v>
                </c:pt>
              </c:strCache>
            </c:strRef>
          </c:tx>
          <c:marker>
            <c:symbol val="none"/>
          </c:marker>
          <c:cat>
            <c:numRef>
              <c:f>'Cost per Gbps'!$E$71:$T$71</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Gbps'!$E$74:$T$74</c:f>
              <c:numCache>
                <c:formatCode>_("$"* #,##0_);_("$"* \(#,##0\);_("$"* "-"??_);_(@_)</c:formatCode>
                <c:ptCount val="16"/>
                <c:pt idx="6">
                  <c:v>7.4857262804366078</c:v>
                </c:pt>
                <c:pt idx="7">
                  <c:v>5.6444287278986067</c:v>
                </c:pt>
                <c:pt idx="8">
                  <c:v>3.4918688536513516</c:v>
                </c:pt>
                <c:pt idx="9">
                  <c:v>0</c:v>
                </c:pt>
                <c:pt idx="10">
                  <c:v>0</c:v>
                </c:pt>
                <c:pt idx="11">
                  <c:v>0</c:v>
                </c:pt>
                <c:pt idx="12">
                  <c:v>0</c:v>
                </c:pt>
                <c:pt idx="13">
                  <c:v>0</c:v>
                </c:pt>
                <c:pt idx="14">
                  <c:v>0</c:v>
                </c:pt>
                <c:pt idx="15">
                  <c:v>0</c:v>
                </c:pt>
              </c:numCache>
            </c:numRef>
          </c:val>
          <c:smooth val="0"/>
          <c:extLst xmlns:c16r2="http://schemas.microsoft.com/office/drawing/2015/06/chart">
            <c:ext xmlns:c16="http://schemas.microsoft.com/office/drawing/2014/chart" uri="{C3380CC4-5D6E-409C-BE32-E72D297353CC}">
              <c16:uniqueId val="{00000002-4933-654E-A155-6C3CE82B255E}"/>
            </c:ext>
          </c:extLst>
        </c:ser>
        <c:ser>
          <c:idx val="6"/>
          <c:order val="2"/>
          <c:tx>
            <c:strRef>
              <c:f>'Cost per Gbps'!$D$76</c:f>
              <c:strCache>
                <c:ptCount val="1"/>
                <c:pt idx="0">
                  <c:v>50 G</c:v>
                </c:pt>
              </c:strCache>
            </c:strRef>
          </c:tx>
          <c:marker>
            <c:symbol val="none"/>
          </c:marker>
          <c:cat>
            <c:numRef>
              <c:f>'Cost per Gbps'!$E$71:$T$71</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Gbps'!$E$76:$T$76</c:f>
              <c:numCache>
                <c:formatCode>_("$"* #,##0.0_);_("$"* \(#,##0.0\);_("$"* "-"??_);_(@_)</c:formatCode>
                <c:ptCount val="16"/>
                <c:pt idx="10">
                  <c:v>0</c:v>
                </c:pt>
                <c:pt idx="11">
                  <c:v>0</c:v>
                </c:pt>
                <c:pt idx="12">
                  <c:v>0</c:v>
                </c:pt>
                <c:pt idx="13">
                  <c:v>0</c:v>
                </c:pt>
                <c:pt idx="14">
                  <c:v>0</c:v>
                </c:pt>
                <c:pt idx="15">
                  <c:v>0</c:v>
                </c:pt>
              </c:numCache>
            </c:numRef>
          </c:val>
          <c:smooth val="0"/>
          <c:extLst xmlns:c16r2="http://schemas.microsoft.com/office/drawing/2015/06/chart">
            <c:ext xmlns:c16="http://schemas.microsoft.com/office/drawing/2014/chart" uri="{C3380CC4-5D6E-409C-BE32-E72D297353CC}">
              <c16:uniqueId val="{00000004-4933-654E-A155-6C3CE82B255E}"/>
            </c:ext>
          </c:extLst>
        </c:ser>
        <c:ser>
          <c:idx val="3"/>
          <c:order val="3"/>
          <c:tx>
            <c:strRef>
              <c:f>'Cost per Gbps'!$D$77</c:f>
              <c:strCache>
                <c:ptCount val="1"/>
                <c:pt idx="0">
                  <c:v>100 G</c:v>
                </c:pt>
              </c:strCache>
            </c:strRef>
          </c:tx>
          <c:marker>
            <c:symbol val="none"/>
          </c:marker>
          <c:cat>
            <c:numRef>
              <c:f>'Cost per Gbps'!$E$71:$T$71</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Gbps'!$E$77:$T$77</c:f>
              <c:numCache>
                <c:formatCode>_("$"* #,##0.0_);_("$"* \(#,##0.0\);_("$"* "-"??_);_(@_)</c:formatCode>
                <c:ptCount val="16"/>
                <c:pt idx="2">
                  <c:v>23.897826358525922</c:v>
                </c:pt>
                <c:pt idx="3">
                  <c:v>18.815171215351814</c:v>
                </c:pt>
                <c:pt idx="4">
                  <c:v>17.880221269073317</c:v>
                </c:pt>
                <c:pt idx="5">
                  <c:v>13.672506526121772</c:v>
                </c:pt>
                <c:pt idx="6">
                  <c:v>3.2957163623968637</c:v>
                </c:pt>
                <c:pt idx="7">
                  <c:v>1.9723036134511864</c:v>
                </c:pt>
                <c:pt idx="8">
                  <c:v>1.2095252871913105</c:v>
                </c:pt>
                <c:pt idx="9" formatCode="_(&quot;$&quot;* #,##0.00_);_(&quot;$&quot;* \(#,##0.00\);_(&quot;$&quot;* &quot;-&quot;??_);_(@_)">
                  <c:v>0</c:v>
                </c:pt>
                <c:pt idx="10">
                  <c:v>0</c:v>
                </c:pt>
                <c:pt idx="11">
                  <c:v>0</c:v>
                </c:pt>
                <c:pt idx="12">
                  <c:v>0</c:v>
                </c:pt>
                <c:pt idx="13">
                  <c:v>0</c:v>
                </c:pt>
                <c:pt idx="14">
                  <c:v>0</c:v>
                </c:pt>
                <c:pt idx="15" formatCode="_(&quot;$&quot;* #,##0.00_);_(&quot;$&quot;* \(#,##0.00\);_(&quot;$&quot;* &quot;-&quot;??_);_(@_)">
                  <c:v>0</c:v>
                </c:pt>
              </c:numCache>
            </c:numRef>
          </c:val>
          <c:smooth val="0"/>
          <c:extLst xmlns:c16r2="http://schemas.microsoft.com/office/drawing/2015/06/chart">
            <c:ext xmlns:c16="http://schemas.microsoft.com/office/drawing/2014/chart" uri="{C3380CC4-5D6E-409C-BE32-E72D297353CC}">
              <c16:uniqueId val="{00000005-4933-654E-A155-6C3CE82B255E}"/>
            </c:ext>
          </c:extLst>
        </c:ser>
        <c:ser>
          <c:idx val="7"/>
          <c:order val="4"/>
          <c:tx>
            <c:strRef>
              <c:f>'Cost per Gbps'!$D$78</c:f>
              <c:strCache>
                <c:ptCount val="1"/>
                <c:pt idx="0">
                  <c:v>200 G</c:v>
                </c:pt>
              </c:strCache>
            </c:strRef>
          </c:tx>
          <c:marker>
            <c:symbol val="none"/>
          </c:marker>
          <c:cat>
            <c:numRef>
              <c:f>'Cost per Gbps'!$E$71:$T$71</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Gbps'!$E$78:$T$78</c:f>
              <c:numCache>
                <c:formatCode>_("$"* #,##0_);_("$"* \(#,##0\);_("$"* "-"??_);_(@_)</c:formatCode>
                <c:ptCount val="16"/>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6-4933-654E-A155-6C3CE82B255E}"/>
            </c:ext>
          </c:extLst>
        </c:ser>
        <c:ser>
          <c:idx val="4"/>
          <c:order val="5"/>
          <c:tx>
            <c:strRef>
              <c:f>'Cost per Gbps'!$D$79</c:f>
              <c:strCache>
                <c:ptCount val="1"/>
                <c:pt idx="0">
                  <c:v>400 G</c:v>
                </c:pt>
              </c:strCache>
            </c:strRef>
          </c:tx>
          <c:marker>
            <c:symbol val="none"/>
          </c:marker>
          <c:cat>
            <c:numRef>
              <c:f>'Cost per Gbps'!$E$71:$T$71</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Gbps'!$E$79:$T$79</c:f>
              <c:numCache>
                <c:formatCode>_("$"* #,##0_);_("$"* \(#,##0\);_("$"* "-"??_);_(@_)</c:formatCode>
                <c:ptCount val="16"/>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7-4933-654E-A155-6C3CE82B255E}"/>
            </c:ext>
          </c:extLst>
        </c:ser>
        <c:ser>
          <c:idx val="8"/>
          <c:order val="6"/>
          <c:tx>
            <c:strRef>
              <c:f>'Cost per Gbps'!$D$80</c:f>
              <c:strCache>
                <c:ptCount val="1"/>
                <c:pt idx="0">
                  <c:v>800 G</c:v>
                </c:pt>
              </c:strCache>
            </c:strRef>
          </c:tx>
          <c:marker>
            <c:symbol val="none"/>
          </c:marker>
          <c:cat>
            <c:numRef>
              <c:f>'Cost per Gbps'!$E$71:$T$71</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Gbps'!$E$80:$T$80</c:f>
              <c:numCache>
                <c:formatCode>_("$"* #,##0_);_("$"* \(#,##0\);_("$"* "-"??_);_(@_)</c:formatCode>
                <c:ptCount val="16"/>
              </c:numCache>
            </c:numRef>
          </c:val>
          <c:smooth val="0"/>
          <c:extLst xmlns:c16r2="http://schemas.microsoft.com/office/drawing/2015/06/chart">
            <c:ext xmlns:c16="http://schemas.microsoft.com/office/drawing/2014/chart" uri="{C3380CC4-5D6E-409C-BE32-E72D297353CC}">
              <c16:uniqueId val="{00000000-B42F-C44F-99F1-C64419DCC12A}"/>
            </c:ext>
          </c:extLst>
        </c:ser>
        <c:dLbls>
          <c:showLegendKey val="0"/>
          <c:showVal val="0"/>
          <c:showCatName val="0"/>
          <c:showSerName val="0"/>
          <c:showPercent val="0"/>
          <c:showBubbleSize val="0"/>
        </c:dLbls>
        <c:marker val="1"/>
        <c:smooth val="0"/>
        <c:axId val="172684032"/>
        <c:axId val="172685568"/>
      </c:lineChart>
      <c:catAx>
        <c:axId val="172684032"/>
        <c:scaling>
          <c:orientation val="minMax"/>
        </c:scaling>
        <c:delete val="0"/>
        <c:axPos val="b"/>
        <c:numFmt formatCode="General" sourceLinked="1"/>
        <c:majorTickMark val="out"/>
        <c:minorTickMark val="none"/>
        <c:tickLblPos val="nextTo"/>
        <c:txPr>
          <a:bodyPr/>
          <a:lstStyle/>
          <a:p>
            <a:pPr>
              <a:defRPr sz="1100"/>
            </a:pPr>
            <a:endParaRPr lang="en-US"/>
          </a:p>
        </c:txPr>
        <c:crossAx val="172685568"/>
        <c:crosses val="autoZero"/>
        <c:auto val="1"/>
        <c:lblAlgn val="ctr"/>
        <c:lblOffset val="100"/>
        <c:noMultiLvlLbl val="0"/>
      </c:catAx>
      <c:valAx>
        <c:axId val="172685568"/>
        <c:scaling>
          <c:orientation val="minMax"/>
          <c:max val="8"/>
          <c:min val="0"/>
        </c:scaling>
        <c:delete val="0"/>
        <c:axPos val="l"/>
        <c:majorGridlines/>
        <c:title>
          <c:tx>
            <c:rich>
              <a:bodyPr rot="-5400000" vert="horz"/>
              <a:lstStyle/>
              <a:p>
                <a:pPr>
                  <a:defRPr sz="1400"/>
                </a:pPr>
                <a:r>
                  <a:rPr lang="en-US" sz="1400"/>
                  <a:t>$ per Gb/s</a:t>
                </a:r>
              </a:p>
            </c:rich>
          </c:tx>
          <c:layout/>
          <c:overlay val="0"/>
        </c:title>
        <c:numFmt formatCode="&quot;$&quot;#,##0" sourceLinked="0"/>
        <c:majorTickMark val="out"/>
        <c:minorTickMark val="none"/>
        <c:tickLblPos val="nextTo"/>
        <c:txPr>
          <a:bodyPr/>
          <a:lstStyle/>
          <a:p>
            <a:pPr>
              <a:defRPr sz="1200"/>
            </a:pPr>
            <a:endParaRPr lang="en-US"/>
          </a:p>
        </c:txPr>
        <c:crossAx val="172684032"/>
        <c:crosses val="autoZero"/>
        <c:crossBetween val="between"/>
      </c:valAx>
    </c:plotArea>
    <c:legend>
      <c:legendPos val="r"/>
      <c:layout>
        <c:manualLayout>
          <c:xMode val="edge"/>
          <c:yMode val="edge"/>
          <c:x val="0.837706401610808"/>
          <c:y val="0.172794630008099"/>
          <c:w val="0.12954351867310265"/>
          <c:h val="0.56422531888154315"/>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a:pPr>
            <a:r>
              <a:rPr lang="en-US" sz="1600"/>
              <a:t>Cost/Gbps: Ethernet 0.5-10km Reach by Data Rate</a:t>
            </a:r>
          </a:p>
          <a:p>
            <a:pPr algn="ctr">
              <a:defRPr sz="1600"/>
            </a:pPr>
            <a:r>
              <a:rPr lang="en-US" sz="1400" b="0"/>
              <a:t>(all form factors</a:t>
            </a:r>
            <a:r>
              <a:rPr lang="en-US" sz="1400" b="0" baseline="0"/>
              <a:t> included)</a:t>
            </a:r>
            <a:endParaRPr lang="en-US" sz="1400" b="0"/>
          </a:p>
        </c:rich>
      </c:tx>
      <c:layout/>
      <c:overlay val="1"/>
    </c:title>
    <c:autoTitleDeleted val="0"/>
    <c:plotArea>
      <c:layout>
        <c:manualLayout>
          <c:layoutTarget val="inner"/>
          <c:xMode val="edge"/>
          <c:yMode val="edge"/>
          <c:x val="0.1184368945361"/>
          <c:y val="0.13704906814284301"/>
          <c:w val="0.70731561157496403"/>
          <c:h val="0.78979216160152099"/>
        </c:manualLayout>
      </c:layout>
      <c:lineChart>
        <c:grouping val="standard"/>
        <c:varyColors val="0"/>
        <c:ser>
          <c:idx val="0"/>
          <c:order val="0"/>
          <c:tx>
            <c:strRef>
              <c:f>'Cost per Gbps'!$D$83</c:f>
              <c:strCache>
                <c:ptCount val="1"/>
                <c:pt idx="0">
                  <c:v>1 G</c:v>
                </c:pt>
              </c:strCache>
            </c:strRef>
          </c:tx>
          <c:marker>
            <c:symbol val="none"/>
          </c:marker>
          <c:cat>
            <c:numRef>
              <c:f>'Cost per Gbps'!$E$82:$T$82</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Gbps'!$E$83:$T$83</c:f>
              <c:numCache>
                <c:formatCode>_("$"* #,##0.0_);_("$"* \(#,##0.0\);_("$"* "-"??_);_(@_)</c:formatCode>
                <c:ptCount val="16"/>
                <c:pt idx="0">
                  <c:v>25.149205126655112</c:v>
                </c:pt>
                <c:pt idx="1">
                  <c:v>22.542686548685776</c:v>
                </c:pt>
                <c:pt idx="2">
                  <c:v>20.494201491669465</c:v>
                </c:pt>
                <c:pt idx="3">
                  <c:v>17.059287862972699</c:v>
                </c:pt>
                <c:pt idx="4">
                  <c:v>15.209922341136267</c:v>
                </c:pt>
                <c:pt idx="5">
                  <c:v>14.316550029685587</c:v>
                </c:pt>
                <c:pt idx="6">
                  <c:v>11.313150064475876</c:v>
                </c:pt>
                <c:pt idx="7">
                  <c:v>9.7279618337487541</c:v>
                </c:pt>
                <c:pt idx="8">
                  <c:v>7.9991133376783168</c:v>
                </c:pt>
                <c:pt idx="9">
                  <c:v>0</c:v>
                </c:pt>
                <c:pt idx="10">
                  <c:v>0</c:v>
                </c:pt>
                <c:pt idx="11">
                  <c:v>0</c:v>
                </c:pt>
                <c:pt idx="12">
                  <c:v>0</c:v>
                </c:pt>
                <c:pt idx="13">
                  <c:v>0</c:v>
                </c:pt>
                <c:pt idx="14">
                  <c:v>0</c:v>
                </c:pt>
                <c:pt idx="15">
                  <c:v>0</c:v>
                </c:pt>
              </c:numCache>
            </c:numRef>
          </c:val>
          <c:smooth val="0"/>
          <c:extLst xmlns:c16r2="http://schemas.microsoft.com/office/drawing/2015/06/chart">
            <c:ext xmlns:c16="http://schemas.microsoft.com/office/drawing/2014/chart" uri="{C3380CC4-5D6E-409C-BE32-E72D297353CC}">
              <c16:uniqueId val="{00000000-7135-3142-A118-62422BC6C4FF}"/>
            </c:ext>
          </c:extLst>
        </c:ser>
        <c:ser>
          <c:idx val="1"/>
          <c:order val="1"/>
          <c:tx>
            <c:strRef>
              <c:f>'Cost per Gbps'!$D$84</c:f>
              <c:strCache>
                <c:ptCount val="1"/>
                <c:pt idx="0">
                  <c:v>10 G</c:v>
                </c:pt>
              </c:strCache>
            </c:strRef>
          </c:tx>
          <c:marker>
            <c:symbol val="none"/>
          </c:marker>
          <c:cat>
            <c:numRef>
              <c:f>'Cost per Gbps'!$E$82:$T$82</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Gbps'!$E$84:$T$84</c:f>
              <c:numCache>
                <c:formatCode>_("$"* #,##0.0_);_("$"* \(#,##0.0\);_("$"* "-"??_);_(@_)</c:formatCode>
                <c:ptCount val="16"/>
                <c:pt idx="0">
                  <c:v>20.083089586633925</c:v>
                </c:pt>
                <c:pt idx="1">
                  <c:v>15.192387099264787</c:v>
                </c:pt>
                <c:pt idx="2">
                  <c:v>12.606537702368776</c:v>
                </c:pt>
                <c:pt idx="3">
                  <c:v>9.5723766997270552</c:v>
                </c:pt>
                <c:pt idx="4">
                  <c:v>6.7015289167061241</c:v>
                </c:pt>
                <c:pt idx="5">
                  <c:v>5.5401360004392348</c:v>
                </c:pt>
                <c:pt idx="6">
                  <c:v>3.9011693498104392</c:v>
                </c:pt>
                <c:pt idx="7">
                  <c:v>3.0703885502204229</c:v>
                </c:pt>
                <c:pt idx="8">
                  <c:v>2.4729885950225219</c:v>
                </c:pt>
                <c:pt idx="9">
                  <c:v>0</c:v>
                </c:pt>
                <c:pt idx="10">
                  <c:v>0</c:v>
                </c:pt>
                <c:pt idx="11">
                  <c:v>0</c:v>
                </c:pt>
                <c:pt idx="12">
                  <c:v>0</c:v>
                </c:pt>
                <c:pt idx="13">
                  <c:v>0</c:v>
                </c:pt>
                <c:pt idx="14">
                  <c:v>0</c:v>
                </c:pt>
                <c:pt idx="15">
                  <c:v>0</c:v>
                </c:pt>
              </c:numCache>
            </c:numRef>
          </c:val>
          <c:smooth val="0"/>
          <c:extLst xmlns:c16r2="http://schemas.microsoft.com/office/drawing/2015/06/chart">
            <c:ext xmlns:c16="http://schemas.microsoft.com/office/drawing/2014/chart" uri="{C3380CC4-5D6E-409C-BE32-E72D297353CC}">
              <c16:uniqueId val="{00000001-7135-3142-A118-62422BC6C4FF}"/>
            </c:ext>
          </c:extLst>
        </c:ser>
        <c:ser>
          <c:idx val="2"/>
          <c:order val="2"/>
          <c:tx>
            <c:strRef>
              <c:f>'Cost per Gbps'!$D$85</c:f>
              <c:strCache>
                <c:ptCount val="1"/>
                <c:pt idx="0">
                  <c:v>25 G</c:v>
                </c:pt>
              </c:strCache>
            </c:strRef>
          </c:tx>
          <c:marker>
            <c:symbol val="none"/>
          </c:marker>
          <c:cat>
            <c:numRef>
              <c:f>'Cost per Gbps'!$E$82:$T$82</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Gbps'!$E$85:$T$85</c:f>
              <c:numCache>
                <c:formatCode>_("$"* #,##0.0_);_("$"* \(#,##0.0\);_("$"* "-"??_);_(@_)</c:formatCode>
                <c:ptCount val="16"/>
                <c:pt idx="6">
                  <c:v>18.249613016710644</c:v>
                </c:pt>
                <c:pt idx="7">
                  <c:v>12.964142267585002</c:v>
                </c:pt>
                <c:pt idx="8">
                  <c:v>7.7849911231021514</c:v>
                </c:pt>
                <c:pt idx="9">
                  <c:v>0</c:v>
                </c:pt>
                <c:pt idx="10">
                  <c:v>0</c:v>
                </c:pt>
                <c:pt idx="11">
                  <c:v>0</c:v>
                </c:pt>
                <c:pt idx="12">
                  <c:v>0</c:v>
                </c:pt>
                <c:pt idx="13">
                  <c:v>0</c:v>
                </c:pt>
                <c:pt idx="14">
                  <c:v>0</c:v>
                </c:pt>
                <c:pt idx="15">
                  <c:v>0</c:v>
                </c:pt>
              </c:numCache>
            </c:numRef>
          </c:val>
          <c:smooth val="0"/>
          <c:extLst xmlns:c16r2="http://schemas.microsoft.com/office/drawing/2015/06/chart">
            <c:ext xmlns:c16="http://schemas.microsoft.com/office/drawing/2014/chart" uri="{C3380CC4-5D6E-409C-BE32-E72D297353CC}">
              <c16:uniqueId val="{00000002-7135-3142-A118-62422BC6C4FF}"/>
            </c:ext>
          </c:extLst>
        </c:ser>
        <c:ser>
          <c:idx val="6"/>
          <c:order val="3"/>
          <c:tx>
            <c:strRef>
              <c:f>'Cost per Gbps'!$D$87</c:f>
              <c:strCache>
                <c:ptCount val="1"/>
                <c:pt idx="0">
                  <c:v>50 G</c:v>
                </c:pt>
              </c:strCache>
            </c:strRef>
          </c:tx>
          <c:marker>
            <c:symbol val="none"/>
          </c:marker>
          <c:cat>
            <c:numRef>
              <c:f>'Cost per Gbps'!$E$82:$T$82</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Gbps'!$E$87:$T$87</c:f>
              <c:numCache>
                <c:formatCode>_("$"* #,##0.0_);_("$"* \(#,##0.0\);_("$"* "-"??_);_(@_)</c:formatCode>
                <c:ptCount val="16"/>
              </c:numCache>
            </c:numRef>
          </c:val>
          <c:smooth val="0"/>
          <c:extLst xmlns:c16r2="http://schemas.microsoft.com/office/drawing/2015/06/chart">
            <c:ext xmlns:c16="http://schemas.microsoft.com/office/drawing/2014/chart" uri="{C3380CC4-5D6E-409C-BE32-E72D297353CC}">
              <c16:uniqueId val="{00000004-7135-3142-A118-62422BC6C4FF}"/>
            </c:ext>
          </c:extLst>
        </c:ser>
        <c:ser>
          <c:idx val="3"/>
          <c:order val="4"/>
          <c:tx>
            <c:strRef>
              <c:f>'Cost per Gbps'!$D$88</c:f>
              <c:strCache>
                <c:ptCount val="1"/>
                <c:pt idx="0">
                  <c:v>100 G</c:v>
                </c:pt>
              </c:strCache>
            </c:strRef>
          </c:tx>
          <c:marker>
            <c:symbol val="none"/>
          </c:marker>
          <c:cat>
            <c:numRef>
              <c:f>'Cost per Gbps'!$E$82:$T$82</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Gbps'!$E$88:$T$88</c:f>
              <c:numCache>
                <c:formatCode>_("$"* #,##0.0_);_("$"* \(#,##0.0\);_("$"* "-"??_);_(@_)</c:formatCode>
                <c:ptCount val="16"/>
                <c:pt idx="0">
                  <c:v>262.22519083969468</c:v>
                </c:pt>
                <c:pt idx="1">
                  <c:v>223.61202964182792</c:v>
                </c:pt>
                <c:pt idx="2">
                  <c:v>136.50492489270385</c:v>
                </c:pt>
                <c:pt idx="3">
                  <c:v>102.5432875674652</c:v>
                </c:pt>
                <c:pt idx="4">
                  <c:v>65.878548873851983</c:v>
                </c:pt>
                <c:pt idx="5">
                  <c:v>36.595237268483366</c:v>
                </c:pt>
                <c:pt idx="6">
                  <c:v>15.954523504961168</c:v>
                </c:pt>
                <c:pt idx="7">
                  <c:v>6.5519248022538541</c:v>
                </c:pt>
                <c:pt idx="8">
                  <c:v>4.5550227461298292</c:v>
                </c:pt>
                <c:pt idx="9" formatCode="_(&quot;$&quot;* #,##0.00_);_(&quot;$&quot;* \(#,##0.00\);_(&quot;$&quot;* &quot;-&quot;??_);_(@_)">
                  <c:v>0</c:v>
                </c:pt>
                <c:pt idx="10">
                  <c:v>0</c:v>
                </c:pt>
                <c:pt idx="11">
                  <c:v>0</c:v>
                </c:pt>
                <c:pt idx="12">
                  <c:v>0</c:v>
                </c:pt>
                <c:pt idx="13">
                  <c:v>0</c:v>
                </c:pt>
                <c:pt idx="14">
                  <c:v>0</c:v>
                </c:pt>
                <c:pt idx="15" formatCode="_(&quot;$&quot;* #,##0.00_);_(&quot;$&quot;* \(#,##0.00\);_(&quot;$&quot;* &quot;-&quot;??_);_(@_)">
                  <c:v>0</c:v>
                </c:pt>
              </c:numCache>
            </c:numRef>
          </c:val>
          <c:smooth val="0"/>
          <c:extLst xmlns:c16r2="http://schemas.microsoft.com/office/drawing/2015/06/chart">
            <c:ext xmlns:c16="http://schemas.microsoft.com/office/drawing/2014/chart" uri="{C3380CC4-5D6E-409C-BE32-E72D297353CC}">
              <c16:uniqueId val="{00000005-7135-3142-A118-62422BC6C4FF}"/>
            </c:ext>
          </c:extLst>
        </c:ser>
        <c:ser>
          <c:idx val="7"/>
          <c:order val="5"/>
          <c:tx>
            <c:strRef>
              <c:f>'Cost per Gbps'!$D$89</c:f>
              <c:strCache>
                <c:ptCount val="1"/>
                <c:pt idx="0">
                  <c:v>200 G</c:v>
                </c:pt>
              </c:strCache>
            </c:strRef>
          </c:tx>
          <c:marker>
            <c:symbol val="none"/>
          </c:marker>
          <c:cat>
            <c:numRef>
              <c:f>'Cost per Gbps'!$E$82:$T$82</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Gbps'!$E$89:$T$89</c:f>
              <c:numCache>
                <c:formatCode>General</c:formatCode>
                <c:ptCount val="16"/>
                <c:pt idx="8" formatCode="_(&quot;$&quot;* #,##0.0_);_(&quot;$&quot;* \(#,##0.0\);_(&quot;$&quot;* &quot;-&quot;??_);_(@_)">
                  <c:v>5.3185915492957747</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6-7135-3142-A118-62422BC6C4FF}"/>
            </c:ext>
          </c:extLst>
        </c:ser>
        <c:ser>
          <c:idx val="4"/>
          <c:order val="6"/>
          <c:tx>
            <c:strRef>
              <c:f>'Cost per Gbps'!$D$90</c:f>
              <c:strCache>
                <c:ptCount val="1"/>
                <c:pt idx="0">
                  <c:v>400 G</c:v>
                </c:pt>
              </c:strCache>
            </c:strRef>
          </c:tx>
          <c:marker>
            <c:symbol val="none"/>
          </c:marker>
          <c:cat>
            <c:numRef>
              <c:f>'Cost per Gbps'!$E$82:$T$82</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Gbps'!$E$90:$T$90</c:f>
              <c:numCache>
                <c:formatCode>General</c:formatCode>
                <c:ptCount val="16"/>
                <c:pt idx="8" formatCode="_(&quot;$&quot;* #,##0.0_);_(&quot;$&quot;* \(#,##0.0\);_(&quot;$&quot;* &quot;-&quot;??_);_(@_)">
                  <c:v>7.625</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7-7135-3142-A118-62422BC6C4FF}"/>
            </c:ext>
          </c:extLst>
        </c:ser>
        <c:dLbls>
          <c:showLegendKey val="0"/>
          <c:showVal val="0"/>
          <c:showCatName val="0"/>
          <c:showSerName val="0"/>
          <c:showPercent val="0"/>
          <c:showBubbleSize val="0"/>
        </c:dLbls>
        <c:marker val="1"/>
        <c:smooth val="0"/>
        <c:axId val="184040832"/>
        <c:axId val="184059008"/>
      </c:lineChart>
      <c:catAx>
        <c:axId val="184040832"/>
        <c:scaling>
          <c:orientation val="minMax"/>
        </c:scaling>
        <c:delete val="0"/>
        <c:axPos val="b"/>
        <c:numFmt formatCode="General" sourceLinked="1"/>
        <c:majorTickMark val="out"/>
        <c:minorTickMark val="none"/>
        <c:tickLblPos val="nextTo"/>
        <c:txPr>
          <a:bodyPr/>
          <a:lstStyle/>
          <a:p>
            <a:pPr>
              <a:defRPr sz="1100"/>
            </a:pPr>
            <a:endParaRPr lang="en-US"/>
          </a:p>
        </c:txPr>
        <c:crossAx val="184059008"/>
        <c:crosses val="autoZero"/>
        <c:auto val="1"/>
        <c:lblAlgn val="ctr"/>
        <c:lblOffset val="100"/>
        <c:noMultiLvlLbl val="0"/>
      </c:catAx>
      <c:valAx>
        <c:axId val="184059008"/>
        <c:scaling>
          <c:orientation val="minMax"/>
          <c:max val="20"/>
          <c:min val="0"/>
        </c:scaling>
        <c:delete val="0"/>
        <c:axPos val="l"/>
        <c:majorGridlines/>
        <c:minorGridlines/>
        <c:title>
          <c:tx>
            <c:rich>
              <a:bodyPr rot="-5400000" vert="horz"/>
              <a:lstStyle/>
              <a:p>
                <a:pPr>
                  <a:defRPr sz="1400"/>
                </a:pPr>
                <a:r>
                  <a:rPr lang="en-US" sz="1400"/>
                  <a:t>$ per Gb/s</a:t>
                </a:r>
              </a:p>
            </c:rich>
          </c:tx>
          <c:layout>
            <c:manualLayout>
              <c:xMode val="edge"/>
              <c:yMode val="edge"/>
              <c:x val="9.9354166624291192E-3"/>
              <c:y val="0.44785531412730101"/>
            </c:manualLayout>
          </c:layout>
          <c:overlay val="0"/>
        </c:title>
        <c:numFmt formatCode="&quot;$&quot;#,##0" sourceLinked="0"/>
        <c:majorTickMark val="out"/>
        <c:minorTickMark val="none"/>
        <c:tickLblPos val="nextTo"/>
        <c:txPr>
          <a:bodyPr/>
          <a:lstStyle/>
          <a:p>
            <a:pPr>
              <a:defRPr sz="1200"/>
            </a:pPr>
            <a:endParaRPr lang="en-US"/>
          </a:p>
        </c:txPr>
        <c:crossAx val="184040832"/>
        <c:crosses val="autoZero"/>
        <c:crossBetween val="between"/>
        <c:majorUnit val="5"/>
        <c:minorUnit val="5"/>
      </c:valAx>
    </c:plotArea>
    <c:legend>
      <c:legendPos val="r"/>
      <c:layout>
        <c:manualLayout>
          <c:xMode val="edge"/>
          <c:yMode val="edge"/>
          <c:x val="0.83575230541553103"/>
          <c:y val="0.198129908536294"/>
          <c:w val="0.143772923836851"/>
          <c:h val="0.71348412036306796"/>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a:t>
            </a:r>
          </a:p>
          <a:p>
            <a:pPr>
              <a:defRPr/>
            </a:pPr>
            <a:r>
              <a:rPr lang="en-US" sz="1600" b="0"/>
              <a:t>(log scale)</a:t>
            </a:r>
          </a:p>
        </c:rich>
      </c:tx>
      <c:layout/>
      <c:overlay val="0"/>
    </c:title>
    <c:autoTitleDeleted val="0"/>
    <c:plotArea>
      <c:layout>
        <c:manualLayout>
          <c:layoutTarget val="inner"/>
          <c:xMode val="edge"/>
          <c:yMode val="edge"/>
          <c:x val="0.106307228176796"/>
          <c:y val="0.147174844113585"/>
          <c:w val="0.73686453004104002"/>
          <c:h val="0.79013925959768305"/>
        </c:manualLayout>
      </c:layout>
      <c:lineChart>
        <c:grouping val="standard"/>
        <c:varyColors val="0"/>
        <c:ser>
          <c:idx val="1"/>
          <c:order val="0"/>
          <c:tx>
            <c:strRef>
              <c:f>'Cost per Gbps'!$D$35</c:f>
              <c:strCache>
                <c:ptCount val="1"/>
                <c:pt idx="0">
                  <c:v>1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Gbps'!$E$35:$T$35</c:f>
              <c:numCache>
                <c:formatCode>_("$"* #,##0_);_("$"* \(#,##0\);_("$"* "-"??_);_(@_)</c:formatCode>
                <c:ptCount val="16"/>
                <c:pt idx="0">
                  <c:v>22.693702827821532</c:v>
                </c:pt>
                <c:pt idx="1">
                  <c:v>19.293096563473824</c:v>
                </c:pt>
                <c:pt idx="2">
                  <c:v>18.103114071743498</c:v>
                </c:pt>
                <c:pt idx="3">
                  <c:v>16.178886053917275</c:v>
                </c:pt>
                <c:pt idx="4">
                  <c:v>14.755270803079455</c:v>
                </c:pt>
                <c:pt idx="5">
                  <c:v>14.157915068774409</c:v>
                </c:pt>
                <c:pt idx="6">
                  <c:v>11.362900504713087</c:v>
                </c:pt>
                <c:pt idx="7">
                  <c:v>9.8128791971601554</c:v>
                </c:pt>
                <c:pt idx="8" formatCode="_(&quot;$&quot;* #,##0.0_);_(&quot;$&quot;* \(#,##0.0\);_(&quot;$&quot;* &quot;-&quot;??_);_(@_)">
                  <c:v>9.1996642661233263</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0-673A-FE4F-897D-247DF3A365D0}"/>
            </c:ext>
          </c:extLst>
        </c:ser>
        <c:ser>
          <c:idx val="2"/>
          <c:order val="1"/>
          <c:tx>
            <c:strRef>
              <c:f>'Cost per Gbps'!$D$36</c:f>
              <c:strCache>
                <c:ptCount val="1"/>
                <c:pt idx="0">
                  <c:v>10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Gbps'!$E$36:$T$36</c:f>
              <c:numCache>
                <c:formatCode>_("$"* #,##0_);_("$"* \(#,##0\);_("$"* "-"??_);_(@_)</c:formatCode>
                <c:ptCount val="16"/>
                <c:pt idx="0">
                  <c:v>9.8825247570260242</c:v>
                </c:pt>
                <c:pt idx="1">
                  <c:v>7.5412691899358517</c:v>
                </c:pt>
                <c:pt idx="2">
                  <c:v>6.7189149239794101</c:v>
                </c:pt>
                <c:pt idx="3">
                  <c:v>5.2861169818853488</c:v>
                </c:pt>
                <c:pt idx="4">
                  <c:v>4.5280339113800467</c:v>
                </c:pt>
                <c:pt idx="5">
                  <c:v>3.897031950093071</c:v>
                </c:pt>
                <c:pt idx="6">
                  <c:v>3.1803504158563904</c:v>
                </c:pt>
                <c:pt idx="7">
                  <c:v>2.439730741307288</c:v>
                </c:pt>
                <c:pt idx="8" formatCode="_(&quot;$&quot;* #,##0.0_);_(&quot;$&quot;* \(#,##0.0\);_(&quot;$&quot;* &quot;-&quot;??_);_(@_)">
                  <c:v>2.1411624078637841</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1-673A-FE4F-897D-247DF3A365D0}"/>
            </c:ext>
          </c:extLst>
        </c:ser>
        <c:ser>
          <c:idx val="5"/>
          <c:order val="2"/>
          <c:tx>
            <c:strRef>
              <c:f>'Cost per Gbps'!$D$37</c:f>
              <c:strCache>
                <c:ptCount val="1"/>
                <c:pt idx="0">
                  <c:v>25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Gbps'!$E$37:$T$37</c:f>
              <c:numCache>
                <c:formatCode>_("$"* #,##0_);_("$"* \(#,##0\);_("$"* "-"??_);_(@_)</c:formatCode>
                <c:ptCount val="16"/>
                <c:pt idx="6">
                  <c:v>11.671989054215837</c:v>
                </c:pt>
                <c:pt idx="7">
                  <c:v>6.7722873832058497</c:v>
                </c:pt>
                <c:pt idx="8" formatCode="_(&quot;$&quot;* #,##0.0_);_(&quot;$&quot;* \(#,##0.0\);_(&quot;$&quot;* &quot;-&quot;??_);_(@_)">
                  <c:v>4.1399047739208452</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2-673A-FE4F-897D-247DF3A365D0}"/>
            </c:ext>
          </c:extLst>
        </c:ser>
        <c:ser>
          <c:idx val="3"/>
          <c:order val="3"/>
          <c:tx>
            <c:strRef>
              <c:f>'Cost per Gbps'!$D$38</c:f>
              <c:strCache>
                <c:ptCount val="1"/>
                <c:pt idx="0">
                  <c:v>40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Gbps'!$E$38:$T$38</c:f>
              <c:numCache>
                <c:formatCode>_("$"* #,##0_);_("$"* \(#,##0\);_("$"* "-"??_);_(@_)</c:formatCode>
                <c:ptCount val="16"/>
                <c:pt idx="0">
                  <c:v>46.557521763382681</c:v>
                </c:pt>
                <c:pt idx="1">
                  <c:v>11.176711108652357</c:v>
                </c:pt>
                <c:pt idx="2">
                  <c:v>12.879950952573868</c:v>
                </c:pt>
                <c:pt idx="3">
                  <c:v>11.167363674734627</c:v>
                </c:pt>
                <c:pt idx="4">
                  <c:v>7.3590573700709259</c:v>
                </c:pt>
                <c:pt idx="5">
                  <c:v>6.2327425657156015</c:v>
                </c:pt>
                <c:pt idx="6">
                  <c:v>6.2473515491273455</c:v>
                </c:pt>
                <c:pt idx="7">
                  <c:v>5.850414550912757</c:v>
                </c:pt>
                <c:pt idx="8" formatCode="_(&quot;$&quot;* #,##0.0_);_(&quot;$&quot;* \(#,##0.0\);_(&quot;$&quot;* &quot;-&quot;??_);_(@_)">
                  <c:v>4.3533121656520768</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1.9186071924958388</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3-673A-FE4F-897D-247DF3A365D0}"/>
            </c:ext>
          </c:extLst>
        </c:ser>
        <c:ser>
          <c:idx val="7"/>
          <c:order val="4"/>
          <c:tx>
            <c:strRef>
              <c:f>'Cost per Gbps'!$D$39</c:f>
              <c:strCache>
                <c:ptCount val="1"/>
                <c:pt idx="0">
                  <c:v>50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Gbps'!$E$39:$T$39</c:f>
              <c:numCache>
                <c:formatCode>_("$"* #,##0_);_("$"* \(#,##0\);_("$"* "-"??_);_(@_)</c:formatCode>
                <c:ptCount val="16"/>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1.5348857539966712</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4-673A-FE4F-897D-247DF3A365D0}"/>
            </c:ext>
          </c:extLst>
        </c:ser>
        <c:ser>
          <c:idx val="4"/>
          <c:order val="5"/>
          <c:tx>
            <c:strRef>
              <c:f>'Cost per Gbps'!$D$40</c:f>
              <c:strCache>
                <c:ptCount val="1"/>
                <c:pt idx="0">
                  <c:v>100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Gbps'!$E$40:$T$40</c:f>
              <c:numCache>
                <c:formatCode>_("$"* #,##0_);_("$"* \(#,##0\);_("$"* "-"??_);_(@_)</c:formatCode>
                <c:ptCount val="16"/>
                <c:pt idx="0">
                  <c:v>262.22519083969468</c:v>
                </c:pt>
                <c:pt idx="1">
                  <c:v>223.61202964182792</c:v>
                </c:pt>
                <c:pt idx="2">
                  <c:v>118.45667534287716</c:v>
                </c:pt>
                <c:pt idx="3">
                  <c:v>80.594856591909462</c:v>
                </c:pt>
                <c:pt idx="4">
                  <c:v>55.871254639091049</c:v>
                </c:pt>
                <c:pt idx="5">
                  <c:v>31.55152277583019</c:v>
                </c:pt>
                <c:pt idx="6">
                  <c:v>12.434155608075619</c:v>
                </c:pt>
                <c:pt idx="7">
                  <c:v>5.7395765341319205</c:v>
                </c:pt>
                <c:pt idx="8" formatCode="_(&quot;$&quot;* #,##0.0_);_(&quot;$&quot;* \(#,##0.0\);_(&quot;$&quot;* &quot;-&quot;??_);_(@_)">
                  <c:v>3.486041058192479</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5-673A-FE4F-897D-247DF3A365D0}"/>
            </c:ext>
          </c:extLst>
        </c:ser>
        <c:ser>
          <c:idx val="8"/>
          <c:order val="6"/>
          <c:tx>
            <c:strRef>
              <c:f>'Cost per Gbps'!$D$41</c:f>
              <c:strCache>
                <c:ptCount val="1"/>
                <c:pt idx="0">
                  <c:v>200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Gbps'!$E$41:$T$41</c:f>
              <c:numCache>
                <c:formatCode>_("$"* #,##0_);_("$"* \(#,##0\);_("$"* "-"??_);_(@_)</c:formatCode>
                <c:ptCount val="16"/>
                <c:pt idx="8" formatCode="_(&quot;$&quot;* #,##0.0_);_(&quot;$&quot;* \(#,##0.0\);_(&quot;$&quot;* &quot;-&quot;??_);_(@_)">
                  <c:v>5.5</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6-673A-FE4F-897D-247DF3A365D0}"/>
            </c:ext>
          </c:extLst>
        </c:ser>
        <c:ser>
          <c:idx val="6"/>
          <c:order val="7"/>
          <c:tx>
            <c:strRef>
              <c:f>'Cost per Gbps'!$D$42</c:f>
              <c:strCache>
                <c:ptCount val="1"/>
                <c:pt idx="0">
                  <c:v>400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Gbps'!$E$42:$T$42</c:f>
              <c:numCache>
                <c:formatCode>_("$"* #,##0_);_("$"* \(#,##0\);_("$"* "-"??_);_(@_)</c:formatCode>
                <c:ptCount val="16"/>
                <c:pt idx="8" formatCode="_(&quot;$&quot;* #,##0.0_);_(&quot;$&quot;* \(#,##0.0\);_(&quot;$&quot;* &quot;-&quot;??_);_(@_)">
                  <c:v>3.1546153846153842</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7-673A-FE4F-897D-247DF3A365D0}"/>
            </c:ext>
          </c:extLst>
        </c:ser>
        <c:ser>
          <c:idx val="0"/>
          <c:order val="8"/>
          <c:tx>
            <c:strRef>
              <c:f>'Cost per Gbps'!$D$43</c:f>
              <c:strCache>
                <c:ptCount val="1"/>
                <c:pt idx="0">
                  <c:v>800 G</c:v>
                </c:pt>
              </c:strCache>
            </c:strRef>
          </c:tx>
          <c:cat>
            <c:numRef>
              <c:f>'Cost per Gbps'!$E$34:$T$34</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'Cost per Gbps'!$E$43:$T$43</c:f>
              <c:numCache>
                <c:formatCode>_("$"* #,##0_);_("$"* \(#,##0\);_("$"* "-"??_);_(@_)</c:formatCode>
                <c:ptCount val="16"/>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numCache>
            </c:numRef>
          </c:val>
          <c:smooth val="0"/>
          <c:extLst xmlns:c16r2="http://schemas.microsoft.com/office/drawing/2015/06/chart">
            <c:ext xmlns:c16="http://schemas.microsoft.com/office/drawing/2014/chart" uri="{C3380CC4-5D6E-409C-BE32-E72D297353CC}">
              <c16:uniqueId val="{00000000-371C-7A4A-B475-7A8A68F500AD}"/>
            </c:ext>
          </c:extLst>
        </c:ser>
        <c:dLbls>
          <c:showLegendKey val="0"/>
          <c:showVal val="0"/>
          <c:showCatName val="0"/>
          <c:showSerName val="0"/>
          <c:showPercent val="0"/>
          <c:showBubbleSize val="0"/>
        </c:dLbls>
        <c:marker val="1"/>
        <c:smooth val="0"/>
        <c:axId val="184634752"/>
        <c:axId val="184648832"/>
      </c:lineChart>
      <c:catAx>
        <c:axId val="184634752"/>
        <c:scaling>
          <c:orientation val="minMax"/>
        </c:scaling>
        <c:delete val="0"/>
        <c:axPos val="b"/>
        <c:numFmt formatCode="General" sourceLinked="1"/>
        <c:majorTickMark val="out"/>
        <c:minorTickMark val="none"/>
        <c:tickLblPos val="nextTo"/>
        <c:crossAx val="184648832"/>
        <c:crosses val="autoZero"/>
        <c:auto val="1"/>
        <c:lblAlgn val="ctr"/>
        <c:lblOffset val="100"/>
        <c:noMultiLvlLbl val="0"/>
      </c:catAx>
      <c:valAx>
        <c:axId val="184648832"/>
        <c:scaling>
          <c:logBase val="10"/>
          <c:orientation val="minMax"/>
        </c:scaling>
        <c:delete val="0"/>
        <c:axPos val="l"/>
        <c:majorGridlines/>
        <c:numFmt formatCode="_(&quot;$&quot;* #,##0_);_(&quot;$&quot;* \(#,##0\);_(&quot;$&quot;* &quot;-&quot;??_);_(@_)" sourceLinked="1"/>
        <c:majorTickMark val="out"/>
        <c:minorTickMark val="none"/>
        <c:tickLblPos val="nextTo"/>
        <c:crossAx val="18463475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93183253562663"/>
          <c:y val="6.1043671624380277E-2"/>
          <c:w val="0.75667207522978308"/>
          <c:h val="0.82297645086030913"/>
        </c:manualLayout>
      </c:layout>
      <c:lineChart>
        <c:grouping val="standard"/>
        <c:varyColors val="0"/>
        <c:ser>
          <c:idx val="0"/>
          <c:order val="0"/>
          <c:tx>
            <c:strRef>
              <c:f>'Figures for Report'!$B$71:$C$71</c:f>
              <c:strCache>
                <c:ptCount val="1"/>
                <c:pt idx="0">
                  <c:v>200G QSFP56</c:v>
                </c:pt>
              </c:strCache>
            </c:strRef>
          </c:tx>
          <c:cat>
            <c:numRef>
              <c:f>'Figures for Report'!$F$70:$M$70</c:f>
              <c:numCache>
                <c:formatCode>General</c:formatCode>
                <c:ptCount val="8"/>
                <c:pt idx="0">
                  <c:v>2018</c:v>
                </c:pt>
                <c:pt idx="1">
                  <c:v>2019</c:v>
                </c:pt>
                <c:pt idx="2">
                  <c:v>2020</c:v>
                </c:pt>
                <c:pt idx="3">
                  <c:v>2021</c:v>
                </c:pt>
                <c:pt idx="4">
                  <c:v>2022</c:v>
                </c:pt>
                <c:pt idx="5">
                  <c:v>2023</c:v>
                </c:pt>
                <c:pt idx="6">
                  <c:v>2024</c:v>
                </c:pt>
                <c:pt idx="7">
                  <c:v>2025</c:v>
                </c:pt>
              </c:numCache>
            </c:numRef>
          </c:cat>
          <c:val>
            <c:numRef>
              <c:f>'Figures for Report'!$F$71:$M$71</c:f>
              <c:numCache>
                <c:formatCode>_(* #,##0_);_(* \(#,##0\);_(* "-"??_);_(@_)</c:formatCode>
                <c:ptCount val="8"/>
                <c:pt idx="0">
                  <c:v>1000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0-D489-A949-B1CD-CF00F2F9D84A}"/>
            </c:ext>
          </c:extLst>
        </c:ser>
        <c:ser>
          <c:idx val="1"/>
          <c:order val="1"/>
          <c:tx>
            <c:strRef>
              <c:f>'Figures for Report'!$B$72:$C$72</c:f>
              <c:strCache>
                <c:ptCount val="1"/>
                <c:pt idx="0">
                  <c:v>2x200G OSFP</c:v>
                </c:pt>
              </c:strCache>
            </c:strRef>
          </c:tx>
          <c:cat>
            <c:numRef>
              <c:f>'Figures for Report'!$F$70:$M$70</c:f>
              <c:numCache>
                <c:formatCode>General</c:formatCode>
                <c:ptCount val="8"/>
                <c:pt idx="0">
                  <c:v>2018</c:v>
                </c:pt>
                <c:pt idx="1">
                  <c:v>2019</c:v>
                </c:pt>
                <c:pt idx="2">
                  <c:v>2020</c:v>
                </c:pt>
                <c:pt idx="3">
                  <c:v>2021</c:v>
                </c:pt>
                <c:pt idx="4">
                  <c:v>2022</c:v>
                </c:pt>
                <c:pt idx="5">
                  <c:v>2023</c:v>
                </c:pt>
                <c:pt idx="6">
                  <c:v>2024</c:v>
                </c:pt>
                <c:pt idx="7">
                  <c:v>2025</c:v>
                </c:pt>
              </c:numCache>
            </c:numRef>
          </c:cat>
          <c:val>
            <c:numRef>
              <c:f>'Figures for Report'!$F$72:$M$72</c:f>
              <c:numCache>
                <c:formatCode>_(* #,##0_);_(* \(#,##0\);_(* "-"??_);_(@_)</c:formatCode>
                <c:ptCount val="8"/>
                <c:pt idx="0">
                  <c:v>35000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1-D489-A949-B1CD-CF00F2F9D84A}"/>
            </c:ext>
          </c:extLst>
        </c:ser>
        <c:ser>
          <c:idx val="2"/>
          <c:order val="2"/>
          <c:tx>
            <c:strRef>
              <c:f>'Figures for Report'!$B$73:$C$73</c:f>
              <c:strCache>
                <c:ptCount val="1"/>
                <c:pt idx="0">
                  <c:v>400G (all)</c:v>
                </c:pt>
              </c:strCache>
            </c:strRef>
          </c:tx>
          <c:cat>
            <c:numRef>
              <c:f>'Figures for Report'!$F$70:$M$70</c:f>
              <c:numCache>
                <c:formatCode>General</c:formatCode>
                <c:ptCount val="8"/>
                <c:pt idx="0">
                  <c:v>2018</c:v>
                </c:pt>
                <c:pt idx="1">
                  <c:v>2019</c:v>
                </c:pt>
                <c:pt idx="2">
                  <c:v>2020</c:v>
                </c:pt>
                <c:pt idx="3">
                  <c:v>2021</c:v>
                </c:pt>
                <c:pt idx="4">
                  <c:v>2022</c:v>
                </c:pt>
                <c:pt idx="5">
                  <c:v>2023</c:v>
                </c:pt>
                <c:pt idx="6">
                  <c:v>2024</c:v>
                </c:pt>
                <c:pt idx="7">
                  <c:v>2025</c:v>
                </c:pt>
              </c:numCache>
            </c:numRef>
          </c:cat>
          <c:val>
            <c:numRef>
              <c:f>'Figures for Report'!$F$73:$M$73</c:f>
              <c:numCache>
                <c:formatCode>_(* #,##0_);_(* \(#,##0\);_(* "-"??_);_(@_)</c:formatCode>
                <c:ptCount val="8"/>
                <c:pt idx="0">
                  <c:v>4000</c:v>
                </c:pt>
                <c:pt idx="1">
                  <c:v>0</c:v>
                </c:pt>
                <c:pt idx="2">
                  <c:v>0</c:v>
                </c:pt>
                <c:pt idx="3">
                  <c:v>0</c:v>
                </c:pt>
                <c:pt idx="4">
                  <c:v>0</c:v>
                </c:pt>
                <c:pt idx="5">
                  <c:v>0</c:v>
                </c:pt>
                <c:pt idx="6">
                  <c:v>0</c:v>
                </c:pt>
                <c:pt idx="7">
                  <c:v>0</c:v>
                </c:pt>
              </c:numCache>
            </c:numRef>
          </c:val>
          <c:smooth val="0"/>
          <c:extLst xmlns:c16r2="http://schemas.microsoft.com/office/drawing/2015/06/chart">
            <c:ext xmlns:c16="http://schemas.microsoft.com/office/drawing/2014/chart" uri="{C3380CC4-5D6E-409C-BE32-E72D297353CC}">
              <c16:uniqueId val="{00000002-D489-A949-B1CD-CF00F2F9D84A}"/>
            </c:ext>
          </c:extLst>
        </c:ser>
        <c:ser>
          <c:idx val="3"/>
          <c:order val="3"/>
          <c:tx>
            <c:strRef>
              <c:f>'Figures for Report'!$B$74:$C$74</c:f>
              <c:strCache>
                <c:ptCount val="1"/>
                <c:pt idx="0">
                  <c:v>800G (all)</c:v>
                </c:pt>
              </c:strCache>
            </c:strRef>
          </c:tx>
          <c:cat>
            <c:numRef>
              <c:f>'Figures for Report'!$F$70:$M$70</c:f>
              <c:numCache>
                <c:formatCode>General</c:formatCode>
                <c:ptCount val="8"/>
                <c:pt idx="0">
                  <c:v>2018</c:v>
                </c:pt>
                <c:pt idx="1">
                  <c:v>2019</c:v>
                </c:pt>
                <c:pt idx="2">
                  <c:v>2020</c:v>
                </c:pt>
                <c:pt idx="3">
                  <c:v>2021</c:v>
                </c:pt>
                <c:pt idx="4">
                  <c:v>2022</c:v>
                </c:pt>
                <c:pt idx="5">
                  <c:v>2023</c:v>
                </c:pt>
                <c:pt idx="6">
                  <c:v>2024</c:v>
                </c:pt>
                <c:pt idx="7">
                  <c:v>2025</c:v>
                </c:pt>
              </c:numCache>
            </c:numRef>
          </c:cat>
          <c:val>
            <c:numRef>
              <c:f>'Figures for Report'!$F$74:$M$74</c:f>
              <c:numCache>
                <c:formatCode>General</c:formatCode>
                <c:ptCount val="8"/>
                <c:pt idx="2" formatCode="_(* #,##0_);_(* \(#,##0\);_(* &quot;-&quot;??_);_(@_)">
                  <c:v>0</c:v>
                </c:pt>
                <c:pt idx="3" formatCode="_(* #,##0_);_(* \(#,##0\);_(* &quot;-&quot;??_);_(@_)">
                  <c:v>0</c:v>
                </c:pt>
                <c:pt idx="4" formatCode="_(* #,##0_);_(* \(#,##0\);_(* &quot;-&quot;??_);_(@_)">
                  <c:v>0</c:v>
                </c:pt>
                <c:pt idx="5" formatCode="_(* #,##0_);_(* \(#,##0\);_(* &quot;-&quot;??_);_(@_)">
                  <c:v>0</c:v>
                </c:pt>
                <c:pt idx="6" formatCode="_(* #,##0_);_(* \(#,##0\);_(* &quot;-&quot;??_);_(@_)">
                  <c:v>0</c:v>
                </c:pt>
                <c:pt idx="7" formatCode="_(* #,##0_);_(* \(#,##0\);_(* &quot;-&quot;??_);_(@_)">
                  <c:v>0</c:v>
                </c:pt>
              </c:numCache>
            </c:numRef>
          </c:val>
          <c:smooth val="0"/>
          <c:extLst xmlns:c16r2="http://schemas.microsoft.com/office/drawing/2015/06/chart">
            <c:ext xmlns:c16="http://schemas.microsoft.com/office/drawing/2014/chart" uri="{C3380CC4-5D6E-409C-BE32-E72D297353CC}">
              <c16:uniqueId val="{00000000-AD43-C14F-8144-CE3536D36ACA}"/>
            </c:ext>
          </c:extLst>
        </c:ser>
        <c:dLbls>
          <c:showLegendKey val="0"/>
          <c:showVal val="0"/>
          <c:showCatName val="0"/>
          <c:showSerName val="0"/>
          <c:showPercent val="0"/>
          <c:showBubbleSize val="0"/>
        </c:dLbls>
        <c:marker val="1"/>
        <c:smooth val="0"/>
        <c:axId val="184739712"/>
        <c:axId val="184741248"/>
      </c:lineChart>
      <c:catAx>
        <c:axId val="184739712"/>
        <c:scaling>
          <c:orientation val="minMax"/>
        </c:scaling>
        <c:delete val="0"/>
        <c:axPos val="b"/>
        <c:numFmt formatCode="General" sourceLinked="1"/>
        <c:majorTickMark val="out"/>
        <c:minorTickMark val="none"/>
        <c:tickLblPos val="nextTo"/>
        <c:txPr>
          <a:bodyPr/>
          <a:lstStyle/>
          <a:p>
            <a:pPr>
              <a:defRPr sz="1000"/>
            </a:pPr>
            <a:endParaRPr lang="en-US"/>
          </a:p>
        </c:txPr>
        <c:crossAx val="184741248"/>
        <c:crosses val="autoZero"/>
        <c:auto val="1"/>
        <c:lblAlgn val="ctr"/>
        <c:lblOffset val="100"/>
        <c:noMultiLvlLbl val="0"/>
      </c:catAx>
      <c:valAx>
        <c:axId val="184741248"/>
        <c:scaling>
          <c:orientation val="minMax"/>
        </c:scaling>
        <c:delete val="0"/>
        <c:axPos val="l"/>
        <c:majorGridlines/>
        <c:title>
          <c:tx>
            <c:rich>
              <a:bodyPr rot="-5400000" vert="horz"/>
              <a:lstStyle/>
              <a:p>
                <a:pPr>
                  <a:defRPr sz="1200"/>
                </a:pPr>
                <a:r>
                  <a:rPr lang="en-US" sz="1200"/>
                  <a:t>Annual shipments (Units)</a:t>
                </a:r>
              </a:p>
            </c:rich>
          </c:tx>
          <c:layout>
            <c:manualLayout>
              <c:xMode val="edge"/>
              <c:yMode val="edge"/>
              <c:x val="1.9388306471932945E-2"/>
              <c:y val="0.14852837095662924"/>
            </c:manualLayout>
          </c:layout>
          <c:overlay val="0"/>
        </c:title>
        <c:numFmt formatCode="_(* #,##0_);_(* \(#,##0\);_(* &quot;-&quot;??_);_(@_)" sourceLinked="1"/>
        <c:majorTickMark val="out"/>
        <c:minorTickMark val="none"/>
        <c:tickLblPos val="nextTo"/>
        <c:txPr>
          <a:bodyPr/>
          <a:lstStyle/>
          <a:p>
            <a:pPr>
              <a:defRPr sz="1000"/>
            </a:pPr>
            <a:endParaRPr lang="en-US"/>
          </a:p>
        </c:txPr>
        <c:crossAx val="184739712"/>
        <c:crosses val="autoZero"/>
        <c:crossBetween val="between"/>
      </c:valAx>
    </c:plotArea>
    <c:legend>
      <c:legendPos val="t"/>
      <c:layout>
        <c:manualLayout>
          <c:xMode val="edge"/>
          <c:yMode val="edge"/>
          <c:x val="0.22158628624904447"/>
          <c:y val="8.7962962962962965E-2"/>
          <c:w val="0.30326005997194533"/>
          <c:h val="0.34518968547305534"/>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95975104171402"/>
          <c:y val="4.5783050703567724E-2"/>
          <c:w val="0.77991029816880386"/>
          <c:h val="0.75020862958167966"/>
        </c:manualLayout>
      </c:layout>
      <c:barChart>
        <c:barDir val="col"/>
        <c:grouping val="stacked"/>
        <c:varyColors val="0"/>
        <c:ser>
          <c:idx val="0"/>
          <c:order val="0"/>
          <c:tx>
            <c:strRef>
              <c:f>'Figures for Report'!$B$96</c:f>
              <c:strCache>
                <c:ptCount val="1"/>
                <c:pt idx="0">
                  <c:v>CFP</c:v>
                </c:pt>
              </c:strCache>
            </c:strRef>
          </c:tx>
          <c:invertIfNegative val="0"/>
          <c:cat>
            <c:strRef>
              <c:f>'Figures for Report'!$C$95:$T$95</c:f>
              <c:strCache>
                <c:ptCount val="1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strCache>
            </c:strRef>
          </c:cat>
          <c:val>
            <c:numRef>
              <c:f>'Figures for Report'!$C$96:$T$96</c:f>
              <c:numCache>
                <c:formatCode>General</c:formatCode>
                <c:ptCount val="18"/>
                <c:pt idx="0">
                  <c:v>28067</c:v>
                </c:pt>
                <c:pt idx="1">
                  <c:v>32818</c:v>
                </c:pt>
                <c:pt idx="2">
                  <c:v>35314</c:v>
                </c:pt>
                <c:pt idx="3">
                  <c:v>35999</c:v>
                </c:pt>
                <c:pt idx="4">
                  <c:v>23661</c:v>
                </c:pt>
              </c:numCache>
            </c:numRef>
          </c:val>
          <c:extLst xmlns:c16r2="http://schemas.microsoft.com/office/drawing/2015/06/chart">
            <c:ext xmlns:c16="http://schemas.microsoft.com/office/drawing/2014/chart" uri="{C3380CC4-5D6E-409C-BE32-E72D297353CC}">
              <c16:uniqueId val="{00000000-37F5-3243-83AD-1A9EB3CE90C0}"/>
            </c:ext>
          </c:extLst>
        </c:ser>
        <c:ser>
          <c:idx val="1"/>
          <c:order val="1"/>
          <c:tx>
            <c:strRef>
              <c:f>'Figures for Report'!$B$97</c:f>
              <c:strCache>
                <c:ptCount val="1"/>
                <c:pt idx="0">
                  <c:v>CFP2</c:v>
                </c:pt>
              </c:strCache>
            </c:strRef>
          </c:tx>
          <c:invertIfNegative val="0"/>
          <c:cat>
            <c:strRef>
              <c:f>'Figures for Report'!$C$95:$T$95</c:f>
              <c:strCache>
                <c:ptCount val="1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strCache>
            </c:strRef>
          </c:cat>
          <c:val>
            <c:numRef>
              <c:f>'Figures for Report'!$C$97:$T$97</c:f>
              <c:numCache>
                <c:formatCode>General</c:formatCode>
                <c:ptCount val="18"/>
                <c:pt idx="0">
                  <c:v>15919</c:v>
                </c:pt>
                <c:pt idx="1">
                  <c:v>19326</c:v>
                </c:pt>
                <c:pt idx="2">
                  <c:v>18177</c:v>
                </c:pt>
                <c:pt idx="3">
                  <c:v>28224</c:v>
                </c:pt>
                <c:pt idx="4">
                  <c:v>13780</c:v>
                </c:pt>
              </c:numCache>
            </c:numRef>
          </c:val>
          <c:extLst xmlns:c16r2="http://schemas.microsoft.com/office/drawing/2015/06/chart">
            <c:ext xmlns:c16="http://schemas.microsoft.com/office/drawing/2014/chart" uri="{C3380CC4-5D6E-409C-BE32-E72D297353CC}">
              <c16:uniqueId val="{00000001-37F5-3243-83AD-1A9EB3CE90C0}"/>
            </c:ext>
          </c:extLst>
        </c:ser>
        <c:ser>
          <c:idx val="2"/>
          <c:order val="2"/>
          <c:tx>
            <c:strRef>
              <c:f>'Figures for Report'!$B$98</c:f>
              <c:strCache>
                <c:ptCount val="1"/>
                <c:pt idx="0">
                  <c:v>CFP4</c:v>
                </c:pt>
              </c:strCache>
            </c:strRef>
          </c:tx>
          <c:invertIfNegative val="0"/>
          <c:cat>
            <c:strRef>
              <c:f>'Figures for Report'!$C$95:$T$95</c:f>
              <c:strCache>
                <c:ptCount val="18"/>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strCache>
            </c:strRef>
          </c:cat>
          <c:val>
            <c:numRef>
              <c:f>'Figures for Report'!$C$98:$T$98</c:f>
              <c:numCache>
                <c:formatCode>General</c:formatCode>
                <c:ptCount val="18"/>
                <c:pt idx="0">
                  <c:v>1836</c:v>
                </c:pt>
                <c:pt idx="1">
                  <c:v>2935</c:v>
                </c:pt>
                <c:pt idx="2">
                  <c:v>3930</c:v>
                </c:pt>
                <c:pt idx="3">
                  <c:v>6263</c:v>
                </c:pt>
                <c:pt idx="4">
                  <c:v>6107</c:v>
                </c:pt>
              </c:numCache>
            </c:numRef>
          </c:val>
          <c:extLst xmlns:c16r2="http://schemas.microsoft.com/office/drawing/2015/06/chart">
            <c:ext xmlns:c16="http://schemas.microsoft.com/office/drawing/2014/chart" uri="{C3380CC4-5D6E-409C-BE32-E72D297353CC}">
              <c16:uniqueId val="{00000002-37F5-3243-83AD-1A9EB3CE90C0}"/>
            </c:ext>
          </c:extLst>
        </c:ser>
        <c:dLbls>
          <c:showLegendKey val="0"/>
          <c:showVal val="0"/>
          <c:showCatName val="0"/>
          <c:showSerName val="0"/>
          <c:showPercent val="0"/>
          <c:showBubbleSize val="0"/>
        </c:dLbls>
        <c:gapWidth val="150"/>
        <c:overlap val="100"/>
        <c:axId val="184858880"/>
        <c:axId val="184868864"/>
      </c:barChart>
      <c:catAx>
        <c:axId val="184858880"/>
        <c:scaling>
          <c:orientation val="minMax"/>
        </c:scaling>
        <c:delete val="0"/>
        <c:axPos val="b"/>
        <c:numFmt formatCode="General" sourceLinked="0"/>
        <c:majorTickMark val="out"/>
        <c:minorTickMark val="none"/>
        <c:tickLblPos val="nextTo"/>
        <c:txPr>
          <a:bodyPr/>
          <a:lstStyle/>
          <a:p>
            <a:pPr>
              <a:defRPr sz="1100"/>
            </a:pPr>
            <a:endParaRPr lang="en-US"/>
          </a:p>
        </c:txPr>
        <c:crossAx val="184868864"/>
        <c:crosses val="autoZero"/>
        <c:auto val="1"/>
        <c:lblAlgn val="ctr"/>
        <c:lblOffset val="100"/>
        <c:noMultiLvlLbl val="0"/>
      </c:catAx>
      <c:valAx>
        <c:axId val="184868864"/>
        <c:scaling>
          <c:orientation val="minMax"/>
        </c:scaling>
        <c:delete val="0"/>
        <c:axPos val="l"/>
        <c:majorGridlines/>
        <c:title>
          <c:tx>
            <c:rich>
              <a:bodyPr rot="-5400000" vert="horz"/>
              <a:lstStyle/>
              <a:p>
                <a:pPr>
                  <a:defRPr sz="1100"/>
                </a:pPr>
                <a:r>
                  <a:rPr lang="en-US" sz="1100"/>
                  <a:t>Shipments (units)</a:t>
                </a:r>
              </a:p>
            </c:rich>
          </c:tx>
          <c:layout>
            <c:manualLayout>
              <c:xMode val="edge"/>
              <c:yMode val="edge"/>
              <c:x val="9.2758668651275571E-3"/>
              <c:y val="0.28989027314981852"/>
            </c:manualLayout>
          </c:layout>
          <c:overlay val="0"/>
        </c:title>
        <c:numFmt formatCode="#,##0" sourceLinked="0"/>
        <c:majorTickMark val="out"/>
        <c:minorTickMark val="none"/>
        <c:tickLblPos val="nextTo"/>
        <c:crossAx val="184858880"/>
        <c:crosses val="autoZero"/>
        <c:crossBetween val="between"/>
      </c:valAx>
    </c:plotArea>
    <c:legend>
      <c:legendPos val="t"/>
      <c:layout>
        <c:manualLayout>
          <c:xMode val="edge"/>
          <c:yMode val="edge"/>
          <c:x val="0.81433667673256638"/>
          <c:y val="7.0080862533692723E-2"/>
          <c:w val="0.14441522362658518"/>
          <c:h val="0.2830379693104399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48080523836655"/>
          <c:y val="7.2643385614557826E-2"/>
          <c:w val="0.83578328402007152"/>
          <c:h val="0.82725857833003746"/>
        </c:manualLayout>
      </c:layout>
      <c:lineChart>
        <c:grouping val="standard"/>
        <c:varyColors val="0"/>
        <c:ser>
          <c:idx val="0"/>
          <c:order val="0"/>
          <c:tx>
            <c:strRef>
              <c:f>Summary!$B$571</c:f>
              <c:strCache>
                <c:ptCount val="1"/>
                <c:pt idx="0">
                  <c:v>100 m  100G CFP</c:v>
                </c:pt>
              </c:strCache>
            </c:strRef>
          </c:tx>
          <c:cat>
            <c:numRef>
              <c:f>Summary!$C$570:$L$570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Summary!$C$571:$F$571</c:f>
              <c:numCache>
                <c:formatCode>_("$"* #,##0.0_);_("$"* \(#,##0.0\);_("$"* "-"??_);_(@_)</c:formatCode>
                <c:ptCount val="4"/>
                <c:pt idx="0">
                  <c:v>21.078782</c:v>
                </c:pt>
                <c:pt idx="1">
                  <c:v>8.8030050000000024</c:v>
                </c:pt>
                <c:pt idx="2">
                  <c:v>5.1903120000000031</c:v>
                </c:pt>
                <c:pt idx="3">
                  <c:v>0</c:v>
                </c:pt>
              </c:numCache>
            </c:numRef>
          </c:val>
          <c:smooth val="0"/>
          <c:extLst xmlns:c16r2="http://schemas.microsoft.com/office/drawing/2015/06/chart">
            <c:ext xmlns:c16="http://schemas.microsoft.com/office/drawing/2014/chart" uri="{C3380CC4-5D6E-409C-BE32-E72D297353CC}">
              <c16:uniqueId val="{00000000-BC0D-A946-A03E-62CF997F9E3D}"/>
            </c:ext>
          </c:extLst>
        </c:ser>
        <c:ser>
          <c:idx val="1"/>
          <c:order val="1"/>
          <c:tx>
            <c:strRef>
              <c:f>Summary!$B$572</c:f>
              <c:strCache>
                <c:ptCount val="1"/>
                <c:pt idx="0">
                  <c:v>100 m  100G CFP2/CFP4</c:v>
                </c:pt>
              </c:strCache>
            </c:strRef>
          </c:tx>
          <c:cat>
            <c:numRef>
              <c:f>Summary!$C$570:$L$570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Summary!$C$572:$F$572</c:f>
              <c:numCache>
                <c:formatCode>_("$"* #,##0.0_);_("$"* \(#,##0.0\);_("$"* "-"??_);_(@_)</c:formatCode>
                <c:ptCount val="4"/>
                <c:pt idx="0">
                  <c:v>5.2611999999999997</c:v>
                </c:pt>
                <c:pt idx="1">
                  <c:v>2.4791280000000007</c:v>
                </c:pt>
                <c:pt idx="2">
                  <c:v>2.0080936800000004</c:v>
                </c:pt>
                <c:pt idx="3">
                  <c:v>0</c:v>
                </c:pt>
              </c:numCache>
            </c:numRef>
          </c:val>
          <c:smooth val="0"/>
          <c:extLst xmlns:c16r2="http://schemas.microsoft.com/office/drawing/2015/06/chart">
            <c:ext xmlns:c16="http://schemas.microsoft.com/office/drawing/2014/chart" uri="{C3380CC4-5D6E-409C-BE32-E72D297353CC}">
              <c16:uniqueId val="{00000001-BC0D-A946-A03E-62CF997F9E3D}"/>
            </c:ext>
          </c:extLst>
        </c:ser>
        <c:ser>
          <c:idx val="2"/>
          <c:order val="2"/>
          <c:tx>
            <c:strRef>
              <c:f>Summary!$B$573</c:f>
              <c:strCache>
                <c:ptCount val="1"/>
                <c:pt idx="0">
                  <c:v>100 m  100G SR2, SR4  QSFP28</c:v>
                </c:pt>
              </c:strCache>
            </c:strRef>
          </c:tx>
          <c:cat>
            <c:numRef>
              <c:f>Summary!$C$570:$L$570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Summary!$C$573:$L$573</c:f>
              <c:numCache>
                <c:formatCode>_("$"* #,##0.0_);_("$"* \(#,##0.0\);_("$"* "-"??_);_(@_)</c:formatCode>
                <c:ptCount val="10"/>
                <c:pt idx="0">
                  <c:v>72.281363999999996</c:v>
                </c:pt>
                <c:pt idx="1">
                  <c:v>113.36232738072</c:v>
                </c:pt>
                <c:pt idx="2">
                  <c:v>217.53494686689399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BC0D-A946-A03E-62CF997F9E3D}"/>
            </c:ext>
          </c:extLst>
        </c:ser>
        <c:ser>
          <c:idx val="3"/>
          <c:order val="3"/>
          <c:tx>
            <c:strRef>
              <c:f>Summary!$B$574</c:f>
              <c:strCache>
                <c:ptCount val="1"/>
                <c:pt idx="0">
                  <c:v>100 m  100G QSFP28 MM Duplex</c:v>
                </c:pt>
              </c:strCache>
            </c:strRef>
          </c:tx>
          <c:cat>
            <c:numRef>
              <c:f>Summary!$C$570:$L$570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Summary!$C$574:$L$574</c:f>
              <c:numCache>
                <c:formatCode>_("$"* #,##0.0_);_("$"* \(#,##0.0\);_("$"* "-"??_);_(@_)</c:formatCode>
                <c:ptCount val="10"/>
                <c:pt idx="2">
                  <c:v>25.5</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BC0D-A946-A03E-62CF997F9E3D}"/>
            </c:ext>
          </c:extLst>
        </c:ser>
        <c:ser>
          <c:idx val="4"/>
          <c:order val="4"/>
          <c:tx>
            <c:strRef>
              <c:f>Summary!$B$575</c:f>
              <c:strCache>
                <c:ptCount val="1"/>
                <c:pt idx="0">
                  <c:v>300 m  100G QSFP28  eSR4</c:v>
                </c:pt>
              </c:strCache>
            </c:strRef>
          </c:tx>
          <c:cat>
            <c:numRef>
              <c:f>Summary!$C$570:$L$570</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Summary!$C$575:$L$575</c:f>
              <c:numCache>
                <c:formatCode>_("$"* #,##0.0_);_("$"* \(#,##0.0\);_("$"* "-"??_);_(@_)</c:formatCode>
                <c:ptCount val="10"/>
                <c:pt idx="2">
                  <c:v>1.7</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BC0D-A946-A03E-62CF997F9E3D}"/>
            </c:ext>
          </c:extLst>
        </c:ser>
        <c:dLbls>
          <c:showLegendKey val="0"/>
          <c:showVal val="0"/>
          <c:showCatName val="0"/>
          <c:showSerName val="0"/>
          <c:showPercent val="0"/>
          <c:showBubbleSize val="0"/>
        </c:dLbls>
        <c:marker val="1"/>
        <c:smooth val="0"/>
        <c:axId val="127488768"/>
        <c:axId val="127490304"/>
      </c:lineChart>
      <c:catAx>
        <c:axId val="127488768"/>
        <c:scaling>
          <c:orientation val="minMax"/>
        </c:scaling>
        <c:delete val="0"/>
        <c:axPos val="b"/>
        <c:numFmt formatCode="General" sourceLinked="1"/>
        <c:majorTickMark val="out"/>
        <c:minorTickMark val="none"/>
        <c:tickLblPos val="nextTo"/>
        <c:txPr>
          <a:bodyPr/>
          <a:lstStyle/>
          <a:p>
            <a:pPr>
              <a:defRPr sz="1000"/>
            </a:pPr>
            <a:endParaRPr lang="en-US"/>
          </a:p>
        </c:txPr>
        <c:crossAx val="127490304"/>
        <c:crosses val="autoZero"/>
        <c:auto val="1"/>
        <c:lblAlgn val="ctr"/>
        <c:lblOffset val="100"/>
        <c:noMultiLvlLbl val="0"/>
      </c:catAx>
      <c:valAx>
        <c:axId val="127490304"/>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7.7523889404114482E-3"/>
              <c:y val="0.22120318607869369"/>
            </c:manualLayout>
          </c:layout>
          <c:overlay val="0"/>
        </c:title>
        <c:numFmt formatCode="&quot;$&quot;#,##0" sourceLinked="0"/>
        <c:majorTickMark val="out"/>
        <c:minorTickMark val="none"/>
        <c:tickLblPos val="nextTo"/>
        <c:txPr>
          <a:bodyPr/>
          <a:lstStyle/>
          <a:p>
            <a:pPr>
              <a:defRPr sz="1200"/>
            </a:pPr>
            <a:endParaRPr lang="en-US"/>
          </a:p>
        </c:txPr>
        <c:crossAx val="127488768"/>
        <c:crosses val="autoZero"/>
        <c:crossBetween val="between"/>
      </c:valAx>
    </c:plotArea>
    <c:legend>
      <c:legendPos val="t"/>
      <c:layout>
        <c:manualLayout>
          <c:xMode val="edge"/>
          <c:yMode val="edge"/>
          <c:x val="0.15730957905859053"/>
          <c:y val="4.1787605831989046E-2"/>
          <c:w val="0.39366770542199675"/>
          <c:h val="0.3792691934134346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20444220965404"/>
          <c:y val="4.2576823283780083E-2"/>
          <c:w val="0.82990573043615401"/>
          <c:h val="0.86369945362657075"/>
        </c:manualLayout>
      </c:layout>
      <c:lineChart>
        <c:grouping val="standard"/>
        <c:varyColors val="0"/>
        <c:ser>
          <c:idx val="0"/>
          <c:order val="0"/>
          <c:tx>
            <c:strRef>
              <c:f>Summary!$B$516</c:f>
              <c:strCache>
                <c:ptCount val="1"/>
                <c:pt idx="0">
                  <c:v>100-300 m</c:v>
                </c:pt>
              </c:strCache>
            </c:strRef>
          </c:tx>
          <c:cat>
            <c:numRef>
              <c:f>Summary!$C$515:$L$515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Summary!$C$516:$L$516</c:f>
              <c:numCache>
                <c:formatCode>_(* #,##0_);_(* \(#,##0\);_(* "-"??_);_(@_)</c:formatCode>
                <c:ptCount val="10"/>
                <c:pt idx="0">
                  <c:v>299241</c:v>
                </c:pt>
                <c:pt idx="1">
                  <c:v>631974</c:v>
                </c:pt>
                <c:pt idx="2">
                  <c:v>2082911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0-9E04-0644-8AC4-A7C4A005F587}"/>
            </c:ext>
          </c:extLst>
        </c:ser>
        <c:ser>
          <c:idx val="1"/>
          <c:order val="1"/>
          <c:tx>
            <c:strRef>
              <c:f>Summary!$B$517</c:f>
              <c:strCache>
                <c:ptCount val="1"/>
                <c:pt idx="0">
                  <c:v>500 m</c:v>
                </c:pt>
              </c:strCache>
            </c:strRef>
          </c:tx>
          <c:spPr>
            <a:ln>
              <a:solidFill>
                <a:schemeClr val="accent4"/>
              </a:solidFill>
            </a:ln>
          </c:spPr>
          <c:marker>
            <c:symbol val="square"/>
            <c:size val="5"/>
            <c:spPr>
              <a:solidFill>
                <a:schemeClr val="accent4"/>
              </a:solidFill>
              <a:ln>
                <a:solidFill>
                  <a:schemeClr val="accent4"/>
                </a:solidFill>
              </a:ln>
            </c:spPr>
          </c:marker>
          <c:cat>
            <c:numRef>
              <c:f>Summary!$C$515:$L$515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Summary!$C$517:$L$517</c:f>
              <c:numCache>
                <c:formatCode>_(* #,##0_);_(* \(#,##0\);_(* "-"??_);_(@_)</c:formatCode>
                <c:ptCount val="10"/>
                <c:pt idx="0">
                  <c:v>289061.59999999998</c:v>
                </c:pt>
                <c:pt idx="1">
                  <c:v>1393450.1</c:v>
                </c:pt>
                <c:pt idx="2">
                  <c:v>1617311</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9E04-0644-8AC4-A7C4A005F587}"/>
            </c:ext>
          </c:extLst>
        </c:ser>
        <c:ser>
          <c:idx val="4"/>
          <c:order val="2"/>
          <c:tx>
            <c:strRef>
              <c:f>Summary!$B$518</c:f>
              <c:strCache>
                <c:ptCount val="1"/>
                <c:pt idx="0">
                  <c:v>2 km</c:v>
                </c:pt>
              </c:strCache>
            </c:strRef>
          </c:tx>
          <c:cat>
            <c:numRef>
              <c:f>Summary!$C$515:$L$515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Summary!$C$518:$L$518</c:f>
              <c:numCache>
                <c:formatCode>_(* #,##0_);_(* \(#,##0\);_(* "-"??_);_(@_)</c:formatCode>
                <c:ptCount val="10"/>
                <c:pt idx="0">
                  <c:v>30989.399999999994</c:v>
                </c:pt>
                <c:pt idx="1">
                  <c:v>292890.90000000002</c:v>
                </c:pt>
                <c:pt idx="2">
                  <c:v>1866292.6190476189</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2-9E04-0644-8AC4-A7C4A005F587}"/>
            </c:ext>
          </c:extLst>
        </c:ser>
        <c:ser>
          <c:idx val="2"/>
          <c:order val="3"/>
          <c:tx>
            <c:strRef>
              <c:f>Summary!$B$519</c:f>
              <c:strCache>
                <c:ptCount val="1"/>
                <c:pt idx="0">
                  <c:v>10-20 km</c:v>
                </c:pt>
              </c:strCache>
            </c:strRef>
          </c:tx>
          <c:spPr>
            <a:ln>
              <a:solidFill>
                <a:schemeClr val="accent2"/>
              </a:solidFill>
            </a:ln>
          </c:spPr>
          <c:marker>
            <c:spPr>
              <a:solidFill>
                <a:schemeClr val="accent2"/>
              </a:solidFill>
              <a:ln>
                <a:solidFill>
                  <a:schemeClr val="accent2"/>
                </a:solidFill>
              </a:ln>
            </c:spPr>
          </c:marker>
          <c:cat>
            <c:numRef>
              <c:f>Summary!$C$515:$L$515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Summary!$C$519:$L$519</c:f>
              <c:numCache>
                <c:formatCode>_(* #,##0_);_(* \(#,##0\);_(* "-"??_);_(@_)</c:formatCode>
                <c:ptCount val="10"/>
                <c:pt idx="0">
                  <c:v>292622</c:v>
                </c:pt>
                <c:pt idx="1">
                  <c:v>552903</c:v>
                </c:pt>
                <c:pt idx="2">
                  <c:v>610404.1176470588</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3-9E04-0644-8AC4-A7C4A005F587}"/>
            </c:ext>
          </c:extLst>
        </c:ser>
        <c:ser>
          <c:idx val="3"/>
          <c:order val="4"/>
          <c:tx>
            <c:strRef>
              <c:f>Summary!$B$520</c:f>
              <c:strCache>
                <c:ptCount val="1"/>
                <c:pt idx="0">
                  <c:v>40 km</c:v>
                </c:pt>
              </c:strCache>
            </c:strRef>
          </c:tx>
          <c:spPr>
            <a:ln>
              <a:solidFill>
                <a:schemeClr val="accent3"/>
              </a:solidFill>
            </a:ln>
          </c:spPr>
          <c:marker>
            <c:spPr>
              <a:solidFill>
                <a:schemeClr val="accent3"/>
              </a:solidFill>
              <a:ln>
                <a:solidFill>
                  <a:schemeClr val="accent3"/>
                </a:solidFill>
              </a:ln>
            </c:spPr>
          </c:marker>
          <c:cat>
            <c:numRef>
              <c:f>Summary!$C$515:$L$515</c:f>
              <c:numCache>
                <c:formatCode>General</c:formatCode>
                <c:ptCount val="10"/>
                <c:pt idx="0">
                  <c:v>2016</c:v>
                </c:pt>
                <c:pt idx="1">
                  <c:v>2017</c:v>
                </c:pt>
                <c:pt idx="2">
                  <c:v>2018</c:v>
                </c:pt>
                <c:pt idx="3">
                  <c:v>2019</c:v>
                </c:pt>
                <c:pt idx="4">
                  <c:v>2020</c:v>
                </c:pt>
                <c:pt idx="5">
                  <c:v>2021</c:v>
                </c:pt>
                <c:pt idx="6">
                  <c:v>2022</c:v>
                </c:pt>
                <c:pt idx="7">
                  <c:v>2023</c:v>
                </c:pt>
                <c:pt idx="8">
                  <c:v>2024</c:v>
                </c:pt>
                <c:pt idx="9">
                  <c:v>2025</c:v>
                </c:pt>
              </c:numCache>
            </c:numRef>
          </c:cat>
          <c:val>
            <c:numRef>
              <c:f>Summary!$C$520:$L$520</c:f>
              <c:numCache>
                <c:formatCode>_(* #,##0_);_(* \(#,##0\);_(* "-"??_);_(@_)</c:formatCode>
                <c:ptCount val="10"/>
                <c:pt idx="0">
                  <c:v>7456</c:v>
                </c:pt>
                <c:pt idx="1">
                  <c:v>10272</c:v>
                </c:pt>
                <c:pt idx="2">
                  <c:v>10106</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9E04-0644-8AC4-A7C4A005F587}"/>
            </c:ext>
          </c:extLst>
        </c:ser>
        <c:dLbls>
          <c:showLegendKey val="0"/>
          <c:showVal val="0"/>
          <c:showCatName val="0"/>
          <c:showSerName val="0"/>
          <c:showPercent val="0"/>
          <c:showBubbleSize val="0"/>
        </c:dLbls>
        <c:marker val="1"/>
        <c:smooth val="0"/>
        <c:axId val="129960960"/>
        <c:axId val="129963136"/>
      </c:lineChart>
      <c:catAx>
        <c:axId val="129960960"/>
        <c:scaling>
          <c:orientation val="minMax"/>
        </c:scaling>
        <c:delete val="0"/>
        <c:axPos val="b"/>
        <c:numFmt formatCode="General" sourceLinked="1"/>
        <c:majorTickMark val="out"/>
        <c:minorTickMark val="none"/>
        <c:tickLblPos val="nextTo"/>
        <c:txPr>
          <a:bodyPr/>
          <a:lstStyle/>
          <a:p>
            <a:pPr>
              <a:defRPr sz="1200"/>
            </a:pPr>
            <a:endParaRPr lang="en-US"/>
          </a:p>
        </c:txPr>
        <c:crossAx val="129963136"/>
        <c:crosses val="autoZero"/>
        <c:auto val="1"/>
        <c:lblAlgn val="ctr"/>
        <c:lblOffset val="100"/>
        <c:noMultiLvlLbl val="0"/>
      </c:catAx>
      <c:valAx>
        <c:axId val="129963136"/>
        <c:scaling>
          <c:orientation val="minMax"/>
          <c:min val="0"/>
        </c:scaling>
        <c:delete val="0"/>
        <c:axPos val="l"/>
        <c:majorGridlines/>
        <c:title>
          <c:tx>
            <c:rich>
              <a:bodyPr rot="-5400000" vert="horz"/>
              <a:lstStyle/>
              <a:p>
                <a:pPr>
                  <a:defRPr sz="1400"/>
                </a:pPr>
                <a:r>
                  <a:rPr lang="en-US" sz="1400"/>
                  <a:t>Annual shipments</a:t>
                </a:r>
              </a:p>
            </c:rich>
          </c:tx>
          <c:layout>
            <c:manualLayout>
              <c:xMode val="edge"/>
              <c:yMode val="edge"/>
              <c:x val="5.5104941984517476E-3"/>
              <c:y val="0.25582951509513407"/>
            </c:manualLayout>
          </c:layout>
          <c:overlay val="0"/>
        </c:title>
        <c:numFmt formatCode="_(* #,##0_);_(* \(#,##0\);_(* &quot;-&quot;??_);_(@_)" sourceLinked="1"/>
        <c:majorTickMark val="out"/>
        <c:minorTickMark val="none"/>
        <c:tickLblPos val="nextTo"/>
        <c:txPr>
          <a:bodyPr/>
          <a:lstStyle/>
          <a:p>
            <a:pPr>
              <a:defRPr sz="1100"/>
            </a:pPr>
            <a:endParaRPr lang="en-US"/>
          </a:p>
        </c:txPr>
        <c:crossAx val="129960960"/>
        <c:crosses val="autoZero"/>
        <c:crossBetween val="between"/>
        <c:minorUnit val="40000"/>
      </c:valAx>
    </c:plotArea>
    <c:legend>
      <c:legendPos val="t"/>
      <c:layout>
        <c:manualLayout>
          <c:xMode val="edge"/>
          <c:yMode val="edge"/>
          <c:x val="0.17928129305815713"/>
          <c:y val="7.9943114359348505E-2"/>
          <c:w val="0.22142727421019531"/>
          <c:h val="0.39017012222916386"/>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chart" Target="../charts/chart68.xml"/><Relationship Id="rId6" Type="http://schemas.openxmlformats.org/officeDocument/2006/relationships/image" Target="../media/image1.png"/><Relationship Id="rId5" Type="http://schemas.openxmlformats.org/officeDocument/2006/relationships/chart" Target="../charts/chart72.xml"/><Relationship Id="rId4" Type="http://schemas.openxmlformats.org/officeDocument/2006/relationships/chart" Target="../charts/chart7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5.png"/><Relationship Id="rId2" Type="http://schemas.openxmlformats.org/officeDocument/2006/relationships/chart" Target="../charts/chart74.xml"/><Relationship Id="rId1" Type="http://schemas.openxmlformats.org/officeDocument/2006/relationships/chart" Target="../charts/chart73.xm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9" Type="http://schemas.openxmlformats.org/officeDocument/2006/relationships/chart" Target="../charts/chart41.xml"/><Relationship Id="rId21" Type="http://schemas.openxmlformats.org/officeDocument/2006/relationships/chart" Target="../charts/chart23.xml"/><Relationship Id="rId34" Type="http://schemas.openxmlformats.org/officeDocument/2006/relationships/chart" Target="../charts/chart36.xml"/><Relationship Id="rId42" Type="http://schemas.openxmlformats.org/officeDocument/2006/relationships/chart" Target="../charts/chart43.xml"/><Relationship Id="rId47" Type="http://schemas.openxmlformats.org/officeDocument/2006/relationships/chart" Target="../charts/chart48.xml"/><Relationship Id="rId50" Type="http://schemas.openxmlformats.org/officeDocument/2006/relationships/chart" Target="../charts/chart51.xml"/><Relationship Id="rId55" Type="http://schemas.openxmlformats.org/officeDocument/2006/relationships/chart" Target="../charts/chart56.xml"/><Relationship Id="rId7" Type="http://schemas.openxmlformats.org/officeDocument/2006/relationships/chart" Target="../charts/chart9.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29" Type="http://schemas.openxmlformats.org/officeDocument/2006/relationships/chart" Target="../charts/chart31.xml"/><Relationship Id="rId41" Type="http://schemas.openxmlformats.org/officeDocument/2006/relationships/chart" Target="../charts/chart42.xml"/><Relationship Id="rId54" Type="http://schemas.openxmlformats.org/officeDocument/2006/relationships/chart" Target="../charts/chart55.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4.xml"/><Relationship Id="rId37" Type="http://schemas.openxmlformats.org/officeDocument/2006/relationships/chart" Target="../charts/chart39.xml"/><Relationship Id="rId40" Type="http://schemas.openxmlformats.org/officeDocument/2006/relationships/image" Target="../media/image1.png"/><Relationship Id="rId45" Type="http://schemas.openxmlformats.org/officeDocument/2006/relationships/chart" Target="../charts/chart46.xml"/><Relationship Id="rId53" Type="http://schemas.openxmlformats.org/officeDocument/2006/relationships/chart" Target="../charts/chart54.xml"/><Relationship Id="rId58" Type="http://schemas.openxmlformats.org/officeDocument/2006/relationships/chart" Target="../charts/chart59.xml"/><Relationship Id="rId5" Type="http://schemas.openxmlformats.org/officeDocument/2006/relationships/chart" Target="../charts/chart7.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36" Type="http://schemas.openxmlformats.org/officeDocument/2006/relationships/chart" Target="../charts/chart38.xml"/><Relationship Id="rId49" Type="http://schemas.openxmlformats.org/officeDocument/2006/relationships/chart" Target="../charts/chart50.xml"/><Relationship Id="rId57" Type="http://schemas.openxmlformats.org/officeDocument/2006/relationships/chart" Target="../charts/chart58.xml"/><Relationship Id="rId61" Type="http://schemas.openxmlformats.org/officeDocument/2006/relationships/chart" Target="../charts/chart62.xml"/><Relationship Id="rId10" Type="http://schemas.openxmlformats.org/officeDocument/2006/relationships/chart" Target="../charts/chart12.xml"/><Relationship Id="rId19" Type="http://schemas.openxmlformats.org/officeDocument/2006/relationships/chart" Target="../charts/chart21.xml"/><Relationship Id="rId31" Type="http://schemas.openxmlformats.org/officeDocument/2006/relationships/chart" Target="../charts/chart33.xml"/><Relationship Id="rId44" Type="http://schemas.openxmlformats.org/officeDocument/2006/relationships/chart" Target="../charts/chart45.xml"/><Relationship Id="rId52" Type="http://schemas.openxmlformats.org/officeDocument/2006/relationships/chart" Target="../charts/chart53.xml"/><Relationship Id="rId60" Type="http://schemas.openxmlformats.org/officeDocument/2006/relationships/chart" Target="../charts/chart61.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35" Type="http://schemas.openxmlformats.org/officeDocument/2006/relationships/chart" Target="../charts/chart37.xml"/><Relationship Id="rId43" Type="http://schemas.openxmlformats.org/officeDocument/2006/relationships/chart" Target="../charts/chart44.xml"/><Relationship Id="rId48" Type="http://schemas.openxmlformats.org/officeDocument/2006/relationships/chart" Target="../charts/chart49.xml"/><Relationship Id="rId56" Type="http://schemas.openxmlformats.org/officeDocument/2006/relationships/chart" Target="../charts/chart57.xml"/><Relationship Id="rId8" Type="http://schemas.openxmlformats.org/officeDocument/2006/relationships/chart" Target="../charts/chart10.xml"/><Relationship Id="rId51" Type="http://schemas.openxmlformats.org/officeDocument/2006/relationships/chart" Target="../charts/chart52.xml"/><Relationship Id="rId3" Type="http://schemas.openxmlformats.org/officeDocument/2006/relationships/chart" Target="../charts/chart5.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5.xml"/><Relationship Id="rId38" Type="http://schemas.openxmlformats.org/officeDocument/2006/relationships/chart" Target="../charts/chart40.xml"/><Relationship Id="rId46" Type="http://schemas.openxmlformats.org/officeDocument/2006/relationships/chart" Target="../charts/chart47.xml"/><Relationship Id="rId59" Type="http://schemas.openxmlformats.org/officeDocument/2006/relationships/chart" Target="../charts/chart6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chart" Target="../charts/chart64.xml"/><Relationship Id="rId1" Type="http://schemas.openxmlformats.org/officeDocument/2006/relationships/chart" Target="../charts/chart63.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7.xml"/><Relationship Id="rId1" Type="http://schemas.openxmlformats.org/officeDocument/2006/relationships/chart" Target="../charts/chart66.xml"/></Relationships>
</file>

<file path=xl/drawings/drawing1.xml><?xml version="1.0" encoding="utf-8"?>
<xdr:wsDr xmlns:xdr="http://schemas.openxmlformats.org/drawingml/2006/spreadsheetDrawing" xmlns:a="http://schemas.openxmlformats.org/drawingml/2006/main">
  <xdr:twoCellAnchor editAs="oneCell">
    <xdr:from>
      <xdr:col>7</xdr:col>
      <xdr:colOff>27214</xdr:colOff>
      <xdr:row>0</xdr:row>
      <xdr:rowOff>99786</xdr:rowOff>
    </xdr:from>
    <xdr:to>
      <xdr:col>11</xdr:col>
      <xdr:colOff>394390</xdr:colOff>
      <xdr:row>3</xdr:row>
      <xdr:rowOff>102844</xdr:rowOff>
    </xdr:to>
    <xdr:pic>
      <xdr:nvPicPr>
        <xdr:cNvPr id="3" name="Picture 2">
          <a:extLst>
            <a:ext uri="{FF2B5EF4-FFF2-40B4-BE49-F238E27FC236}">
              <a16:creationId xmlns=""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8336643" y="99786"/>
          <a:ext cx="2943461" cy="6289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133349</xdr:colOff>
      <xdr:row>7</xdr:row>
      <xdr:rowOff>19050</xdr:rowOff>
    </xdr:from>
    <xdr:to>
      <xdr:col>6</xdr:col>
      <xdr:colOff>485775</xdr:colOff>
      <xdr:row>31</xdr:row>
      <xdr:rowOff>80963</xdr:rowOff>
    </xdr:to>
    <xdr:graphicFrame macro="">
      <xdr:nvGraphicFramePr>
        <xdr:cNvPr id="2" name="Chart 1">
          <a:extLst>
            <a:ext uri="{FF2B5EF4-FFF2-40B4-BE49-F238E27FC236}">
              <a16:creationId xmlns=""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312964</xdr:colOff>
      <xdr:row>7</xdr:row>
      <xdr:rowOff>32657</xdr:rowOff>
    </xdr:from>
    <xdr:to>
      <xdr:col>20</xdr:col>
      <xdr:colOff>326572</xdr:colOff>
      <xdr:row>31</xdr:row>
      <xdr:rowOff>94570</xdr:rowOff>
    </xdr:to>
    <xdr:graphicFrame macro="">
      <xdr:nvGraphicFramePr>
        <xdr:cNvPr id="3" name="Chart 2">
          <a:extLst>
            <a:ext uri="{FF2B5EF4-FFF2-40B4-BE49-F238E27FC236}">
              <a16:creationId xmlns=""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27213</xdr:colOff>
      <xdr:row>44</xdr:row>
      <xdr:rowOff>122465</xdr:rowOff>
    </xdr:from>
    <xdr:to>
      <xdr:col>7</xdr:col>
      <xdr:colOff>404812</xdr:colOff>
      <xdr:row>69</xdr:row>
      <xdr:rowOff>108857</xdr:rowOff>
    </xdr:to>
    <xdr:graphicFrame macro="">
      <xdr:nvGraphicFramePr>
        <xdr:cNvPr id="24" name="Chart 23">
          <a:extLst>
            <a:ext uri="{FF2B5EF4-FFF2-40B4-BE49-F238E27FC236}">
              <a16:creationId xmlns="" xmlns:a16="http://schemas.microsoft.com/office/drawing/2014/main" id="{00000000-0008-0000-1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519793</xdr:colOff>
      <xdr:row>44</xdr:row>
      <xdr:rowOff>125187</xdr:rowOff>
    </xdr:from>
    <xdr:to>
      <xdr:col>15</xdr:col>
      <xdr:colOff>590551</xdr:colOff>
      <xdr:row>69</xdr:row>
      <xdr:rowOff>119743</xdr:rowOff>
    </xdr:to>
    <xdr:graphicFrame macro="">
      <xdr:nvGraphicFramePr>
        <xdr:cNvPr id="25" name="Chart 24">
          <a:extLst>
            <a:ext uri="{FF2B5EF4-FFF2-40B4-BE49-F238E27FC236}">
              <a16:creationId xmlns="" xmlns:a16="http://schemas.microsoft.com/office/drawing/2014/main" id="{00000000-0008-0000-1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476248</xdr:colOff>
      <xdr:row>7</xdr:row>
      <xdr:rowOff>21772</xdr:rowOff>
    </xdr:from>
    <xdr:to>
      <xdr:col>14</xdr:col>
      <xdr:colOff>311603</xdr:colOff>
      <xdr:row>31</xdr:row>
      <xdr:rowOff>83685</xdr:rowOff>
    </xdr:to>
    <xdr:graphicFrame macro="">
      <xdr:nvGraphicFramePr>
        <xdr:cNvPr id="26" name="Chart 25">
          <a:extLst>
            <a:ext uri="{FF2B5EF4-FFF2-40B4-BE49-F238E27FC236}">
              <a16:creationId xmlns="" xmlns:a16="http://schemas.microsoft.com/office/drawing/2014/main" id="{00000000-0008-0000-1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0</xdr:colOff>
      <xdr:row>1</xdr:row>
      <xdr:rowOff>0</xdr:rowOff>
    </xdr:from>
    <xdr:to>
      <xdr:col>15</xdr:col>
      <xdr:colOff>339960</xdr:colOff>
      <xdr:row>3</xdr:row>
      <xdr:rowOff>166344</xdr:rowOff>
    </xdr:to>
    <xdr:pic>
      <xdr:nvPicPr>
        <xdr:cNvPr id="9" name="Picture 8">
          <a:extLst>
            <a:ext uri="{FF2B5EF4-FFF2-40B4-BE49-F238E27FC236}">
              <a16:creationId xmlns="" xmlns:a16="http://schemas.microsoft.com/office/drawing/2014/main" id="{00000000-0008-0000-1500-000009000000}"/>
            </a:ext>
          </a:extLst>
        </xdr:cNvPr>
        <xdr:cNvPicPr>
          <a:picLocks noChangeAspect="1"/>
        </xdr:cNvPicPr>
      </xdr:nvPicPr>
      <xdr:blipFill>
        <a:blip xmlns:r="http://schemas.openxmlformats.org/officeDocument/2006/relationships" r:embed="rId6"/>
        <a:stretch>
          <a:fillRect/>
        </a:stretch>
      </xdr:blipFill>
      <xdr:spPr>
        <a:xfrm>
          <a:off x="10731500" y="163286"/>
          <a:ext cx="2870889" cy="62898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198437</xdr:colOff>
      <xdr:row>51</xdr:row>
      <xdr:rowOff>96838</xdr:rowOff>
    </xdr:from>
    <xdr:to>
      <xdr:col>10</xdr:col>
      <xdr:colOff>519905</xdr:colOff>
      <xdr:row>68</xdr:row>
      <xdr:rowOff>6350</xdr:rowOff>
    </xdr:to>
    <xdr:graphicFrame macro="">
      <xdr:nvGraphicFramePr>
        <xdr:cNvPr id="2" name="Chart 1">
          <a:extLst>
            <a:ext uri="{FF2B5EF4-FFF2-40B4-BE49-F238E27FC236}">
              <a16:creationId xmlns=""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59532</xdr:colOff>
      <xdr:row>78</xdr:row>
      <xdr:rowOff>134938</xdr:rowOff>
    </xdr:from>
    <xdr:to>
      <xdr:col>9</xdr:col>
      <xdr:colOff>63500</xdr:colOff>
      <xdr:row>92</xdr:row>
      <xdr:rowOff>157163</xdr:rowOff>
    </xdr:to>
    <xdr:graphicFrame macro="">
      <xdr:nvGraphicFramePr>
        <xdr:cNvPr id="3" name="Chart 2">
          <a:extLst>
            <a:ext uri="{FF2B5EF4-FFF2-40B4-BE49-F238E27FC236}">
              <a16:creationId xmlns=""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0</xdr:colOff>
      <xdr:row>1</xdr:row>
      <xdr:rowOff>0</xdr:rowOff>
    </xdr:from>
    <xdr:to>
      <xdr:col>18</xdr:col>
      <xdr:colOff>489639</xdr:colOff>
      <xdr:row>3</xdr:row>
      <xdr:rowOff>165210</xdr:rowOff>
    </xdr:to>
    <xdr:pic>
      <xdr:nvPicPr>
        <xdr:cNvPr id="11" name="Picture 10">
          <a:extLst>
            <a:ext uri="{FF2B5EF4-FFF2-40B4-BE49-F238E27FC236}">
              <a16:creationId xmlns="" xmlns:a16="http://schemas.microsoft.com/office/drawing/2014/main" id="{00000000-0008-0000-1600-00000B000000}"/>
            </a:ext>
          </a:extLst>
        </xdr:cNvPr>
        <xdr:cNvPicPr>
          <a:picLocks noChangeAspect="1"/>
        </xdr:cNvPicPr>
      </xdr:nvPicPr>
      <xdr:blipFill>
        <a:blip xmlns:r="http://schemas.openxmlformats.org/officeDocument/2006/relationships" r:embed="rId3"/>
        <a:stretch>
          <a:fillRect/>
        </a:stretch>
      </xdr:blipFill>
      <xdr:spPr>
        <a:xfrm>
          <a:off x="9215438" y="166688"/>
          <a:ext cx="2870889" cy="628987"/>
        </a:xfrm>
        <a:prstGeom prst="rect">
          <a:avLst/>
        </a:prstGeom>
      </xdr:spPr>
    </xdr:pic>
    <xdr:clientData/>
  </xdr:twoCellAnchor>
  <xdr:twoCellAnchor editAs="oneCell">
    <xdr:from>
      <xdr:col>1</xdr:col>
      <xdr:colOff>0</xdr:colOff>
      <xdr:row>9</xdr:row>
      <xdr:rowOff>0</xdr:rowOff>
    </xdr:from>
    <xdr:to>
      <xdr:col>10</xdr:col>
      <xdr:colOff>124299</xdr:colOff>
      <xdr:row>25</xdr:row>
      <xdr:rowOff>119112</xdr:rowOff>
    </xdr:to>
    <xdr:pic>
      <xdr:nvPicPr>
        <xdr:cNvPr id="4" name="Picture 3"/>
        <xdr:cNvPicPr>
          <a:picLocks noChangeAspect="1"/>
        </xdr:cNvPicPr>
      </xdr:nvPicPr>
      <xdr:blipFill>
        <a:blip xmlns:r="http://schemas.openxmlformats.org/officeDocument/2006/relationships" r:embed="rId4"/>
        <a:stretch>
          <a:fillRect/>
        </a:stretch>
      </xdr:blipFill>
      <xdr:spPr>
        <a:xfrm>
          <a:off x="587375" y="1738313"/>
          <a:ext cx="6212362" cy="2786113"/>
        </a:xfrm>
        <a:prstGeom prst="rect">
          <a:avLst/>
        </a:prstGeom>
      </xdr:spPr>
    </xdr:pic>
    <xdr:clientData/>
  </xdr:twoCellAnchor>
  <xdr:twoCellAnchor editAs="oneCell">
    <xdr:from>
      <xdr:col>11</xdr:col>
      <xdr:colOff>0</xdr:colOff>
      <xdr:row>9</xdr:row>
      <xdr:rowOff>0</xdr:rowOff>
    </xdr:from>
    <xdr:to>
      <xdr:col>20</xdr:col>
      <xdr:colOff>506567</xdr:colOff>
      <xdr:row>25</xdr:row>
      <xdr:rowOff>76437</xdr:rowOff>
    </xdr:to>
    <xdr:pic>
      <xdr:nvPicPr>
        <xdr:cNvPr id="5" name="Picture 4"/>
        <xdr:cNvPicPr>
          <a:picLocks noChangeAspect="1"/>
        </xdr:cNvPicPr>
      </xdr:nvPicPr>
      <xdr:blipFill>
        <a:blip xmlns:r="http://schemas.openxmlformats.org/officeDocument/2006/relationships" r:embed="rId5"/>
        <a:stretch>
          <a:fillRect/>
        </a:stretch>
      </xdr:blipFill>
      <xdr:spPr>
        <a:xfrm>
          <a:off x="7477125" y="1738313"/>
          <a:ext cx="6181880" cy="2743438"/>
        </a:xfrm>
        <a:prstGeom prst="rect">
          <a:avLst/>
        </a:prstGeom>
      </xdr:spPr>
    </xdr:pic>
    <xdr:clientData/>
  </xdr:twoCellAnchor>
  <xdr:twoCellAnchor editAs="oneCell">
    <xdr:from>
      <xdr:col>1</xdr:col>
      <xdr:colOff>0</xdr:colOff>
      <xdr:row>29</xdr:row>
      <xdr:rowOff>0</xdr:rowOff>
    </xdr:from>
    <xdr:to>
      <xdr:col>10</xdr:col>
      <xdr:colOff>32851</xdr:colOff>
      <xdr:row>46</xdr:row>
      <xdr:rowOff>37778</xdr:rowOff>
    </xdr:to>
    <xdr:pic>
      <xdr:nvPicPr>
        <xdr:cNvPr id="6" name="Picture 5"/>
        <xdr:cNvPicPr>
          <a:picLocks noChangeAspect="1"/>
        </xdr:cNvPicPr>
      </xdr:nvPicPr>
      <xdr:blipFill>
        <a:blip xmlns:r="http://schemas.openxmlformats.org/officeDocument/2006/relationships" r:embed="rId6"/>
        <a:stretch>
          <a:fillRect/>
        </a:stretch>
      </xdr:blipFill>
      <xdr:spPr>
        <a:xfrm>
          <a:off x="587375" y="5072063"/>
          <a:ext cx="6120914" cy="2871465"/>
        </a:xfrm>
        <a:prstGeom prst="rect">
          <a:avLst/>
        </a:prstGeom>
      </xdr:spPr>
    </xdr:pic>
    <xdr:clientData/>
  </xdr:twoCellAnchor>
  <xdr:twoCellAnchor editAs="oneCell">
    <xdr:from>
      <xdr:col>11</xdr:col>
      <xdr:colOff>0</xdr:colOff>
      <xdr:row>29</xdr:row>
      <xdr:rowOff>0</xdr:rowOff>
    </xdr:from>
    <xdr:to>
      <xdr:col>20</xdr:col>
      <xdr:colOff>573629</xdr:colOff>
      <xdr:row>46</xdr:row>
      <xdr:rowOff>19488</xdr:rowOff>
    </xdr:to>
    <xdr:pic>
      <xdr:nvPicPr>
        <xdr:cNvPr id="7" name="Picture 6"/>
        <xdr:cNvPicPr>
          <a:picLocks noChangeAspect="1"/>
        </xdr:cNvPicPr>
      </xdr:nvPicPr>
      <xdr:blipFill>
        <a:blip xmlns:r="http://schemas.openxmlformats.org/officeDocument/2006/relationships" r:embed="rId7"/>
        <a:stretch>
          <a:fillRect/>
        </a:stretch>
      </xdr:blipFill>
      <xdr:spPr>
        <a:xfrm>
          <a:off x="7477125" y="5072063"/>
          <a:ext cx="6248942" cy="2853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8</xdr:col>
      <xdr:colOff>462787</xdr:colOff>
      <xdr:row>19</xdr:row>
      <xdr:rowOff>77367</xdr:rowOff>
    </xdr:to>
    <xdr:grpSp>
      <xdr:nvGrpSpPr>
        <xdr:cNvPr id="12796936" name="Group 19">
          <a:extLst>
            <a:ext uri="{FF2B5EF4-FFF2-40B4-BE49-F238E27FC236}">
              <a16:creationId xmlns="" xmlns:a16="http://schemas.microsoft.com/office/drawing/2014/main" id="{00000000-0008-0000-0F00-00000844C300}"/>
            </a:ext>
          </a:extLst>
        </xdr:cNvPr>
        <xdr:cNvGrpSpPr>
          <a:grpSpLocks/>
        </xdr:cNvGrpSpPr>
      </xdr:nvGrpSpPr>
      <xdr:grpSpPr bwMode="auto">
        <a:xfrm>
          <a:off x="346529" y="1955800"/>
          <a:ext cx="5359544" cy="1432638"/>
          <a:chOff x="158" y="204"/>
          <a:chExt cx="534" cy="149"/>
        </a:xfrm>
      </xdr:grpSpPr>
      <xdr:sp macro="" textlink="">
        <xdr:nvSpPr>
          <xdr:cNvPr id="3" name="Text Box 9">
            <a:extLst>
              <a:ext uri="{FF2B5EF4-FFF2-40B4-BE49-F238E27FC236}">
                <a16:creationId xmlns="" xmlns:a16="http://schemas.microsoft.com/office/drawing/2014/main" id="{00000000-0008-0000-0F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 xmlns:a16="http://schemas.microsoft.com/office/drawing/2014/main" id="{00000000-0008-0000-0F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 xmlns:a16="http://schemas.microsoft.com/office/drawing/2014/main" id="{00000000-0008-0000-0F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Historical Trend Extrapolation</a:t>
            </a:r>
          </a:p>
        </xdr:txBody>
      </xdr:sp>
      <xdr:sp macro="" textlink="">
        <xdr:nvSpPr>
          <xdr:cNvPr id="6" name="Text Box 12">
            <a:extLst>
              <a:ext uri="{FF2B5EF4-FFF2-40B4-BE49-F238E27FC236}">
                <a16:creationId xmlns="" xmlns:a16="http://schemas.microsoft.com/office/drawing/2014/main" id="{00000000-0008-0000-0F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 xmlns:a16="http://schemas.microsoft.com/office/drawing/2014/main" id="{00000000-0008-0000-0F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 xmlns:a16="http://schemas.microsoft.com/office/drawing/2014/main" id="{00000000-0008-0000-0F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 xmlns:a16="http://schemas.microsoft.com/office/drawing/2014/main" id="{00000000-0008-0000-0F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11</xdr:row>
      <xdr:rowOff>123825</xdr:rowOff>
    </xdr:from>
    <xdr:to>
      <xdr:col>14</xdr:col>
      <xdr:colOff>9525</xdr:colOff>
      <xdr:row>17</xdr:row>
      <xdr:rowOff>123825</xdr:rowOff>
    </xdr:to>
    <xdr:sp macro="" textlink="">
      <xdr:nvSpPr>
        <xdr:cNvPr id="18" name="Text Box 10">
          <a:extLst>
            <a:ext uri="{FF2B5EF4-FFF2-40B4-BE49-F238E27FC236}">
              <a16:creationId xmlns="" xmlns:a16="http://schemas.microsoft.com/office/drawing/2014/main" id="{00000000-0008-0000-0F00-000012000000}"/>
            </a:ext>
          </a:extLst>
        </xdr:cNvPr>
        <xdr:cNvSpPr txBox="1">
          <a:spLocks noChangeArrowheads="1"/>
        </xdr:cNvSpPr>
      </xdr:nvSpPr>
      <xdr:spPr bwMode="auto">
        <a:xfrm>
          <a:off x="7429500" y="2057400"/>
          <a:ext cx="1371600" cy="10287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11</xdr:row>
      <xdr:rowOff>142875</xdr:rowOff>
    </xdr:from>
    <xdr:to>
      <xdr:col>11</xdr:col>
      <xdr:colOff>209550</xdr:colOff>
      <xdr:row>13</xdr:row>
      <xdr:rowOff>34484</xdr:rowOff>
    </xdr:to>
    <xdr:sp macro="" textlink="">
      <xdr:nvSpPr>
        <xdr:cNvPr id="19" name="Text Box 11">
          <a:extLst>
            <a:ext uri="{FF2B5EF4-FFF2-40B4-BE49-F238E27FC236}">
              <a16:creationId xmlns="" xmlns:a16="http://schemas.microsoft.com/office/drawing/2014/main" id="{00000000-0008-0000-0F00-000013000000}"/>
            </a:ext>
          </a:extLst>
        </xdr:cNvPr>
        <xdr:cNvSpPr txBox="1">
          <a:spLocks noChangeArrowheads="1"/>
        </xdr:cNvSpPr>
      </xdr:nvSpPr>
      <xdr:spPr bwMode="auto">
        <a:xfrm>
          <a:off x="6057900" y="2076450"/>
          <a:ext cx="1066800" cy="2345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15</xdr:row>
      <xdr:rowOff>119938</xdr:rowOff>
    </xdr:from>
    <xdr:to>
      <xdr:col>11</xdr:col>
      <xdr:colOff>209550</xdr:colOff>
      <xdr:row>17</xdr:row>
      <xdr:rowOff>47626</xdr:rowOff>
    </xdr:to>
    <xdr:sp macro="" textlink="">
      <xdr:nvSpPr>
        <xdr:cNvPr id="20" name="Text Box 12">
          <a:extLst>
            <a:ext uri="{FF2B5EF4-FFF2-40B4-BE49-F238E27FC236}">
              <a16:creationId xmlns="" xmlns:a16="http://schemas.microsoft.com/office/drawing/2014/main" id="{00000000-0008-0000-0F00-000014000000}"/>
            </a:ext>
          </a:extLst>
        </xdr:cNvPr>
        <xdr:cNvSpPr txBox="1">
          <a:spLocks noChangeArrowheads="1"/>
        </xdr:cNvSpPr>
      </xdr:nvSpPr>
      <xdr:spPr bwMode="auto">
        <a:xfrm>
          <a:off x="6057900" y="2739313"/>
          <a:ext cx="1066800" cy="2705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12</xdr:row>
      <xdr:rowOff>88680</xdr:rowOff>
    </xdr:from>
    <xdr:to>
      <xdr:col>9</xdr:col>
      <xdr:colOff>285750</xdr:colOff>
      <xdr:row>13</xdr:row>
      <xdr:rowOff>95250</xdr:rowOff>
    </xdr:to>
    <xdr:cxnSp macro="">
      <xdr:nvCxnSpPr>
        <xdr:cNvPr id="11" name="Straight Arrow Connector 10">
          <a:extLst>
            <a:ext uri="{FF2B5EF4-FFF2-40B4-BE49-F238E27FC236}">
              <a16:creationId xmlns="" xmlns:a16="http://schemas.microsoft.com/office/drawing/2014/main" id="{00000000-0008-0000-0F00-00000B000000}"/>
            </a:ext>
          </a:extLst>
        </xdr:cNvPr>
        <xdr:cNvCxnSpPr>
          <a:endCxn id="19" idx="1"/>
        </xdr:cNvCxnSpPr>
      </xdr:nvCxnSpPr>
      <xdr:spPr>
        <a:xfrm flipV="1">
          <a:off x="5667375" y="2193705"/>
          <a:ext cx="390525" cy="1780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16</xdr:row>
      <xdr:rowOff>9525</xdr:rowOff>
    </xdr:from>
    <xdr:to>
      <xdr:col>9</xdr:col>
      <xdr:colOff>285750</xdr:colOff>
      <xdr:row>16</xdr:row>
      <xdr:rowOff>83782</xdr:rowOff>
    </xdr:to>
    <xdr:cxnSp macro="">
      <xdr:nvCxnSpPr>
        <xdr:cNvPr id="22" name="Straight Arrow Connector 21">
          <a:extLst>
            <a:ext uri="{FF2B5EF4-FFF2-40B4-BE49-F238E27FC236}">
              <a16:creationId xmlns="" xmlns:a16="http://schemas.microsoft.com/office/drawing/2014/main" id="{00000000-0008-0000-0F00-000016000000}"/>
            </a:ext>
          </a:extLst>
        </xdr:cNvPr>
        <xdr:cNvCxnSpPr>
          <a:endCxn id="20" idx="1"/>
        </xdr:cNvCxnSpPr>
      </xdr:nvCxnSpPr>
      <xdr:spPr>
        <a:xfrm>
          <a:off x="5676900" y="2800350"/>
          <a:ext cx="38100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12</xdr:row>
      <xdr:rowOff>85725</xdr:rowOff>
    </xdr:from>
    <xdr:to>
      <xdr:col>11</xdr:col>
      <xdr:colOff>514350</xdr:colOff>
      <xdr:row>12</xdr:row>
      <xdr:rowOff>142875</xdr:rowOff>
    </xdr:to>
    <xdr:cxnSp macro="">
      <xdr:nvCxnSpPr>
        <xdr:cNvPr id="25" name="Straight Arrow Connector 24">
          <a:extLst>
            <a:ext uri="{FF2B5EF4-FFF2-40B4-BE49-F238E27FC236}">
              <a16:creationId xmlns="" xmlns:a16="http://schemas.microsoft.com/office/drawing/2014/main" id="{00000000-0008-0000-0F00-000019000000}"/>
            </a:ext>
          </a:extLst>
        </xdr:cNvPr>
        <xdr:cNvCxnSpPr/>
      </xdr:nvCxnSpPr>
      <xdr:spPr>
        <a:xfrm>
          <a:off x="7124700" y="2190750"/>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15</xdr:row>
      <xdr:rowOff>152400</xdr:rowOff>
    </xdr:from>
    <xdr:to>
      <xdr:col>11</xdr:col>
      <xdr:colOff>514350</xdr:colOff>
      <xdr:row>16</xdr:row>
      <xdr:rowOff>85725</xdr:rowOff>
    </xdr:to>
    <xdr:cxnSp macro="">
      <xdr:nvCxnSpPr>
        <xdr:cNvPr id="27" name="Straight Arrow Connector 26">
          <a:extLst>
            <a:ext uri="{FF2B5EF4-FFF2-40B4-BE49-F238E27FC236}">
              <a16:creationId xmlns="" xmlns:a16="http://schemas.microsoft.com/office/drawing/2014/main" id="{00000000-0008-0000-0F00-00001B000000}"/>
            </a:ext>
          </a:extLst>
        </xdr:cNvPr>
        <xdr:cNvCxnSpPr/>
      </xdr:nvCxnSpPr>
      <xdr:spPr>
        <a:xfrm flipV="1">
          <a:off x="7124700" y="2771775"/>
          <a:ext cx="304800" cy="104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453571</xdr:colOff>
      <xdr:row>0</xdr:row>
      <xdr:rowOff>72571</xdr:rowOff>
    </xdr:from>
    <xdr:to>
      <xdr:col>15</xdr:col>
      <xdr:colOff>4317</xdr:colOff>
      <xdr:row>3</xdr:row>
      <xdr:rowOff>75629</xdr:rowOff>
    </xdr:to>
    <xdr:pic>
      <xdr:nvPicPr>
        <xdr:cNvPr id="21" name="Picture 20">
          <a:extLst>
            <a:ext uri="{FF2B5EF4-FFF2-40B4-BE49-F238E27FC236}">
              <a16:creationId xmlns="" xmlns:a16="http://schemas.microsoft.com/office/drawing/2014/main" id="{00000000-0008-0000-0F00-000015000000}"/>
            </a:ext>
          </a:extLst>
        </xdr:cNvPr>
        <xdr:cNvPicPr>
          <a:picLocks noChangeAspect="1"/>
        </xdr:cNvPicPr>
      </xdr:nvPicPr>
      <xdr:blipFill>
        <a:blip xmlns:r="http://schemas.openxmlformats.org/officeDocument/2006/relationships" r:embed="rId1"/>
        <a:stretch>
          <a:fillRect/>
        </a:stretch>
      </xdr:blipFill>
      <xdr:spPr>
        <a:xfrm>
          <a:off x="6948714" y="72571"/>
          <a:ext cx="2870889" cy="6289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59532</xdr:colOff>
      <xdr:row>16</xdr:row>
      <xdr:rowOff>119061</xdr:rowOff>
    </xdr:from>
    <xdr:to>
      <xdr:col>3</xdr:col>
      <xdr:colOff>1440657</xdr:colOff>
      <xdr:row>31</xdr:row>
      <xdr:rowOff>97627</xdr:rowOff>
    </xdr:to>
    <xdr:graphicFrame macro="">
      <xdr:nvGraphicFramePr>
        <xdr:cNvPr id="4" name="Chart 3">
          <a:extLst>
            <a:ext uri="{FF2B5EF4-FFF2-40B4-BE49-F238E27FC236}">
              <a16:creationId xmlns=""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1765527</xdr:colOff>
      <xdr:row>18</xdr:row>
      <xdr:rowOff>5103</xdr:rowOff>
    </xdr:from>
    <xdr:to>
      <xdr:col>15</xdr:col>
      <xdr:colOff>459242</xdr:colOff>
      <xdr:row>33</xdr:row>
      <xdr:rowOff>9867</xdr:rowOff>
    </xdr:to>
    <xdr:graphicFrame macro="">
      <xdr:nvGraphicFramePr>
        <xdr:cNvPr id="5" name="Chart 4">
          <a:extLst>
            <a:ext uri="{FF2B5EF4-FFF2-40B4-BE49-F238E27FC236}">
              <a16:creationId xmlns=""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107159</xdr:colOff>
      <xdr:row>19</xdr:row>
      <xdr:rowOff>59531</xdr:rowOff>
    </xdr:from>
    <xdr:to>
      <xdr:col>10</xdr:col>
      <xdr:colOff>988222</xdr:colOff>
      <xdr:row>24</xdr:row>
      <xdr:rowOff>35718</xdr:rowOff>
    </xdr:to>
    <xdr:sp macro="" textlink="">
      <xdr:nvSpPr>
        <xdr:cNvPr id="6" name="TextBox 5">
          <a:extLst>
            <a:ext uri="{FF2B5EF4-FFF2-40B4-BE49-F238E27FC236}">
              <a16:creationId xmlns="" xmlns:a16="http://schemas.microsoft.com/office/drawing/2014/main" id="{00000000-0008-0000-1000-000006000000}"/>
            </a:ext>
          </a:extLst>
        </xdr:cNvPr>
        <xdr:cNvSpPr txBox="1"/>
      </xdr:nvSpPr>
      <xdr:spPr>
        <a:xfrm>
          <a:off x="5905503" y="3917156"/>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datacenters </a:t>
          </a:r>
          <a:r>
            <a:rPr lang="en-US" sz="1400"/>
            <a:t>via Ethernet transport are included in the Ethernet/Telecom segment.</a:t>
          </a:r>
        </a:p>
      </xdr:txBody>
    </xdr:sp>
    <xdr:clientData/>
  </xdr:twoCellAnchor>
  <xdr:twoCellAnchor>
    <xdr:from>
      <xdr:col>3</xdr:col>
      <xdr:colOff>23813</xdr:colOff>
      <xdr:row>21</xdr:row>
      <xdr:rowOff>130969</xdr:rowOff>
    </xdr:from>
    <xdr:to>
      <xdr:col>5</xdr:col>
      <xdr:colOff>107159</xdr:colOff>
      <xdr:row>21</xdr:row>
      <xdr:rowOff>130969</xdr:rowOff>
    </xdr:to>
    <xdr:cxnSp macro="">
      <xdr:nvCxnSpPr>
        <xdr:cNvPr id="9" name="Straight Arrow Connector 8">
          <a:extLst>
            <a:ext uri="{FF2B5EF4-FFF2-40B4-BE49-F238E27FC236}">
              <a16:creationId xmlns="" xmlns:a16="http://schemas.microsoft.com/office/drawing/2014/main" id="{00000000-0008-0000-1000-000009000000}"/>
            </a:ext>
          </a:extLst>
        </xdr:cNvPr>
        <xdr:cNvCxnSpPr>
          <a:stCxn id="6" idx="1"/>
        </xdr:cNvCxnSpPr>
      </xdr:nvCxnSpPr>
      <xdr:spPr>
        <a:xfrm flipH="1">
          <a:off x="4274344" y="4321969"/>
          <a:ext cx="1631159" cy="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104778</xdr:colOff>
      <xdr:row>25</xdr:row>
      <xdr:rowOff>57150</xdr:rowOff>
    </xdr:from>
    <xdr:to>
      <xdr:col>10</xdr:col>
      <xdr:colOff>985841</xdr:colOff>
      <xdr:row>30</xdr:row>
      <xdr:rowOff>33337</xdr:rowOff>
    </xdr:to>
    <xdr:sp macro="" textlink="">
      <xdr:nvSpPr>
        <xdr:cNvPr id="26" name="TextBox 25">
          <a:extLst>
            <a:ext uri="{FF2B5EF4-FFF2-40B4-BE49-F238E27FC236}">
              <a16:creationId xmlns="" xmlns:a16="http://schemas.microsoft.com/office/drawing/2014/main" id="{00000000-0008-0000-1000-00001A000000}"/>
            </a:ext>
          </a:extLst>
        </xdr:cNvPr>
        <xdr:cNvSpPr txBox="1"/>
      </xdr:nvSpPr>
      <xdr:spPr>
        <a:xfrm>
          <a:off x="5903122" y="4914900"/>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datacenters </a:t>
          </a:r>
          <a:r>
            <a:rPr lang="en-US" sz="1400"/>
            <a:t>via DWDM transport are included in the DCI segment.</a:t>
          </a:r>
        </a:p>
      </xdr:txBody>
    </xdr:sp>
    <xdr:clientData/>
  </xdr:twoCellAnchor>
  <xdr:twoCellAnchor>
    <xdr:from>
      <xdr:col>10</xdr:col>
      <xdr:colOff>988219</xdr:colOff>
      <xdr:row>25</xdr:row>
      <xdr:rowOff>104776</xdr:rowOff>
    </xdr:from>
    <xdr:to>
      <xdr:col>10</xdr:col>
      <xdr:colOff>1735933</xdr:colOff>
      <xdr:row>27</xdr:row>
      <xdr:rowOff>1</xdr:rowOff>
    </xdr:to>
    <xdr:cxnSp macro="">
      <xdr:nvCxnSpPr>
        <xdr:cNvPr id="27" name="Straight Arrow Connector 26">
          <a:extLst>
            <a:ext uri="{FF2B5EF4-FFF2-40B4-BE49-F238E27FC236}">
              <a16:creationId xmlns="" xmlns:a16="http://schemas.microsoft.com/office/drawing/2014/main" id="{00000000-0008-0000-1000-00001B000000}"/>
            </a:ext>
          </a:extLst>
        </xdr:cNvPr>
        <xdr:cNvCxnSpPr/>
      </xdr:nvCxnSpPr>
      <xdr:spPr>
        <a:xfrm flipV="1">
          <a:off x="9239250" y="4962526"/>
          <a:ext cx="747714" cy="22860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426356</xdr:colOff>
      <xdr:row>0</xdr:row>
      <xdr:rowOff>127000</xdr:rowOff>
    </xdr:from>
    <xdr:to>
      <xdr:col>14</xdr:col>
      <xdr:colOff>625927</xdr:colOff>
      <xdr:row>3</xdr:row>
      <xdr:rowOff>130058</xdr:rowOff>
    </xdr:to>
    <xdr:pic>
      <xdr:nvPicPr>
        <xdr:cNvPr id="10" name="Picture 9">
          <a:extLst>
            <a:ext uri="{FF2B5EF4-FFF2-40B4-BE49-F238E27FC236}">
              <a16:creationId xmlns="" xmlns:a16="http://schemas.microsoft.com/office/drawing/2014/main" id="{00000000-0008-0000-1000-00000A000000}"/>
            </a:ext>
          </a:extLst>
        </xdr:cNvPr>
        <xdr:cNvPicPr>
          <a:picLocks noChangeAspect="1"/>
        </xdr:cNvPicPr>
      </xdr:nvPicPr>
      <xdr:blipFill>
        <a:blip xmlns:r="http://schemas.openxmlformats.org/officeDocument/2006/relationships" r:embed="rId3"/>
        <a:stretch>
          <a:fillRect/>
        </a:stretch>
      </xdr:blipFill>
      <xdr:spPr>
        <a:xfrm>
          <a:off x="11112499" y="127000"/>
          <a:ext cx="3356429" cy="6289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10583</xdr:colOff>
      <xdr:row>28</xdr:row>
      <xdr:rowOff>31750</xdr:rowOff>
    </xdr:from>
    <xdr:to>
      <xdr:col>6</xdr:col>
      <xdr:colOff>596900</xdr:colOff>
      <xdr:row>48</xdr:row>
      <xdr:rowOff>38100</xdr:rowOff>
    </xdr:to>
    <xdr:graphicFrame macro="">
      <xdr:nvGraphicFramePr>
        <xdr:cNvPr id="4" name="Chart 3">
          <a:extLst>
            <a:ext uri="{FF2B5EF4-FFF2-40B4-BE49-F238E27FC236}">
              <a16:creationId xmlns=""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504825</xdr:colOff>
      <xdr:row>250</xdr:row>
      <xdr:rowOff>123826</xdr:rowOff>
    </xdr:from>
    <xdr:to>
      <xdr:col>15</xdr:col>
      <xdr:colOff>402167</xdr:colOff>
      <xdr:row>272</xdr:row>
      <xdr:rowOff>148166</xdr:rowOff>
    </xdr:to>
    <xdr:graphicFrame macro="">
      <xdr:nvGraphicFramePr>
        <xdr:cNvPr id="5" name="Chart 4">
          <a:extLst>
            <a:ext uri="{FF2B5EF4-FFF2-40B4-BE49-F238E27FC236}">
              <a16:creationId xmlns=""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104775</xdr:colOff>
      <xdr:row>250</xdr:row>
      <xdr:rowOff>117928</xdr:rowOff>
    </xdr:from>
    <xdr:to>
      <xdr:col>7</xdr:col>
      <xdr:colOff>447676</xdr:colOff>
      <xdr:row>269</xdr:row>
      <xdr:rowOff>90714</xdr:rowOff>
    </xdr:to>
    <xdr:graphicFrame macro="">
      <xdr:nvGraphicFramePr>
        <xdr:cNvPr id="6" name="Chart 5">
          <a:extLst>
            <a:ext uri="{FF2B5EF4-FFF2-40B4-BE49-F238E27FC236}">
              <a16:creationId xmlns=""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666751</xdr:colOff>
      <xdr:row>534</xdr:row>
      <xdr:rowOff>76200</xdr:rowOff>
    </xdr:from>
    <xdr:to>
      <xdr:col>5</xdr:col>
      <xdr:colOff>390526</xdr:colOff>
      <xdr:row>552</xdr:row>
      <xdr:rowOff>70485</xdr:rowOff>
    </xdr:to>
    <xdr:graphicFrame macro="">
      <xdr:nvGraphicFramePr>
        <xdr:cNvPr id="8" name="Chart 7">
          <a:extLst>
            <a:ext uri="{FF2B5EF4-FFF2-40B4-BE49-F238E27FC236}">
              <a16:creationId xmlns="" xmlns:a16="http://schemas.microsoft.com/office/drawing/2014/main" id="{00000000-0008-0000-1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31750</xdr:colOff>
      <xdr:row>373</xdr:row>
      <xdr:rowOff>21168</xdr:rowOff>
    </xdr:from>
    <xdr:to>
      <xdr:col>22</xdr:col>
      <xdr:colOff>35983</xdr:colOff>
      <xdr:row>392</xdr:row>
      <xdr:rowOff>77894</xdr:rowOff>
    </xdr:to>
    <xdr:graphicFrame macro="">
      <xdr:nvGraphicFramePr>
        <xdr:cNvPr id="9" name="Chart 8">
          <a:extLst>
            <a:ext uri="{FF2B5EF4-FFF2-40B4-BE49-F238E27FC236}">
              <a16:creationId xmlns="" xmlns:a16="http://schemas.microsoft.com/office/drawing/2014/main" id="{00000000-0008-0000-1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40822</xdr:colOff>
      <xdr:row>534</xdr:row>
      <xdr:rowOff>78619</xdr:rowOff>
    </xdr:from>
    <xdr:to>
      <xdr:col>18</xdr:col>
      <xdr:colOff>1016000</xdr:colOff>
      <xdr:row>552</xdr:row>
      <xdr:rowOff>11671</xdr:rowOff>
    </xdr:to>
    <xdr:graphicFrame macro="">
      <xdr:nvGraphicFramePr>
        <xdr:cNvPr id="10" name="Chart 9">
          <a:extLst>
            <a:ext uri="{FF2B5EF4-FFF2-40B4-BE49-F238E27FC236}">
              <a16:creationId xmlns="" xmlns:a16="http://schemas.microsoft.com/office/drawing/2014/main" id="{00000000-0008-0000-1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11641</xdr:colOff>
      <xdr:row>493</xdr:row>
      <xdr:rowOff>74084</xdr:rowOff>
    </xdr:from>
    <xdr:to>
      <xdr:col>7</xdr:col>
      <xdr:colOff>315383</xdr:colOff>
      <xdr:row>512</xdr:row>
      <xdr:rowOff>77258</xdr:rowOff>
    </xdr:to>
    <xdr:graphicFrame macro="">
      <xdr:nvGraphicFramePr>
        <xdr:cNvPr id="11" name="Chart 10">
          <a:extLst>
            <a:ext uri="{FF2B5EF4-FFF2-40B4-BE49-F238E27FC236}">
              <a16:creationId xmlns=""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7407</xdr:colOff>
      <xdr:row>332</xdr:row>
      <xdr:rowOff>84666</xdr:rowOff>
    </xdr:from>
    <xdr:to>
      <xdr:col>6</xdr:col>
      <xdr:colOff>529166</xdr:colOff>
      <xdr:row>351</xdr:row>
      <xdr:rowOff>28575</xdr:rowOff>
    </xdr:to>
    <xdr:graphicFrame macro="">
      <xdr:nvGraphicFramePr>
        <xdr:cNvPr id="13" name="Chart 12">
          <a:extLst>
            <a:ext uri="{FF2B5EF4-FFF2-40B4-BE49-F238E27FC236}">
              <a16:creationId xmlns="" xmlns:a16="http://schemas.microsoft.com/office/drawing/2014/main" id="{00000000-0008-0000-1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10583</xdr:colOff>
      <xdr:row>412</xdr:row>
      <xdr:rowOff>127000</xdr:rowOff>
    </xdr:from>
    <xdr:to>
      <xdr:col>6</xdr:col>
      <xdr:colOff>592666</xdr:colOff>
      <xdr:row>430</xdr:row>
      <xdr:rowOff>83911</xdr:rowOff>
    </xdr:to>
    <xdr:graphicFrame macro="">
      <xdr:nvGraphicFramePr>
        <xdr:cNvPr id="15" name="Chart 14">
          <a:extLst>
            <a:ext uri="{FF2B5EF4-FFF2-40B4-BE49-F238E27FC236}">
              <a16:creationId xmlns="" xmlns:a16="http://schemas.microsoft.com/office/drawing/2014/main" id="{00000000-0008-0000-1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310696</xdr:colOff>
      <xdr:row>579</xdr:row>
      <xdr:rowOff>36286</xdr:rowOff>
    </xdr:from>
    <xdr:to>
      <xdr:col>5</xdr:col>
      <xdr:colOff>721178</xdr:colOff>
      <xdr:row>597</xdr:row>
      <xdr:rowOff>111125</xdr:rowOff>
    </xdr:to>
    <xdr:graphicFrame macro="">
      <xdr:nvGraphicFramePr>
        <xdr:cNvPr id="16" name="Chart 15">
          <a:extLst>
            <a:ext uri="{FF2B5EF4-FFF2-40B4-BE49-F238E27FC236}">
              <a16:creationId xmlns="" xmlns:a16="http://schemas.microsoft.com/office/drawing/2014/main" id="{00000000-0008-0000-1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605</xdr:colOff>
      <xdr:row>373</xdr:row>
      <xdr:rowOff>27520</xdr:rowOff>
    </xdr:from>
    <xdr:to>
      <xdr:col>13</xdr:col>
      <xdr:colOff>783167</xdr:colOff>
      <xdr:row>392</xdr:row>
      <xdr:rowOff>127002</xdr:rowOff>
    </xdr:to>
    <xdr:graphicFrame macro="">
      <xdr:nvGraphicFramePr>
        <xdr:cNvPr id="18" name="Chart 17">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555625</xdr:colOff>
      <xdr:row>534</xdr:row>
      <xdr:rowOff>81642</xdr:rowOff>
    </xdr:from>
    <xdr:to>
      <xdr:col>11</xdr:col>
      <xdr:colOff>804333</xdr:colOff>
      <xdr:row>552</xdr:row>
      <xdr:rowOff>10160</xdr:rowOff>
    </xdr:to>
    <xdr:graphicFrame macro="">
      <xdr:nvGraphicFramePr>
        <xdr:cNvPr id="19" name="Chart 18">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835660</xdr:colOff>
      <xdr:row>579</xdr:row>
      <xdr:rowOff>44753</xdr:rowOff>
    </xdr:from>
    <xdr:to>
      <xdr:col>11</xdr:col>
      <xdr:colOff>714375</xdr:colOff>
      <xdr:row>597</xdr:row>
      <xdr:rowOff>127001</xdr:rowOff>
    </xdr:to>
    <xdr:graphicFrame macro="">
      <xdr:nvGraphicFramePr>
        <xdr:cNvPr id="20" name="Chart 19">
          <a:extLst>
            <a:ext uri="{FF2B5EF4-FFF2-40B4-BE49-F238E27FC236}">
              <a16:creationId xmlns="" xmlns:a16="http://schemas.microsoft.com/office/drawing/2014/main" id="{00000000-0008-0000-1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136524</xdr:colOff>
      <xdr:row>765</xdr:row>
      <xdr:rowOff>74084</xdr:rowOff>
    </xdr:from>
    <xdr:to>
      <xdr:col>5</xdr:col>
      <xdr:colOff>589643</xdr:colOff>
      <xdr:row>783</xdr:row>
      <xdr:rowOff>92867</xdr:rowOff>
    </xdr:to>
    <xdr:graphicFrame macro="">
      <xdr:nvGraphicFramePr>
        <xdr:cNvPr id="21" name="Chart 20">
          <a:extLst>
            <a:ext uri="{FF2B5EF4-FFF2-40B4-BE49-F238E27FC236}">
              <a16:creationId xmlns="" xmlns:a16="http://schemas.microsoft.com/office/drawing/2014/main" id="{00000000-0008-0000-1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87919</xdr:colOff>
      <xdr:row>302</xdr:row>
      <xdr:rowOff>137583</xdr:rowOff>
    </xdr:from>
    <xdr:to>
      <xdr:col>6</xdr:col>
      <xdr:colOff>814916</xdr:colOff>
      <xdr:row>320</xdr:row>
      <xdr:rowOff>41804</xdr:rowOff>
    </xdr:to>
    <xdr:graphicFrame macro="">
      <xdr:nvGraphicFramePr>
        <xdr:cNvPr id="22" name="Chart 21">
          <a:extLst>
            <a:ext uri="{FF2B5EF4-FFF2-40B4-BE49-F238E27FC236}">
              <a16:creationId xmlns="" xmlns:a16="http://schemas.microsoft.com/office/drawing/2014/main" id="{00000000-0008-0000-1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67205</xdr:colOff>
      <xdr:row>163</xdr:row>
      <xdr:rowOff>23814</xdr:rowOff>
    </xdr:from>
    <xdr:to>
      <xdr:col>14</xdr:col>
      <xdr:colOff>177800</xdr:colOff>
      <xdr:row>184</xdr:row>
      <xdr:rowOff>152400</xdr:rowOff>
    </xdr:to>
    <xdr:graphicFrame macro="">
      <xdr:nvGraphicFramePr>
        <xdr:cNvPr id="24" name="Chart 23">
          <a:extLst>
            <a:ext uri="{FF2B5EF4-FFF2-40B4-BE49-F238E27FC236}">
              <a16:creationId xmlns="" xmlns:a16="http://schemas.microsoft.com/office/drawing/2014/main" id="{00000000-0008-0000-1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16</xdr:col>
      <xdr:colOff>600075</xdr:colOff>
      <xdr:row>250</xdr:row>
      <xdr:rowOff>136071</xdr:rowOff>
    </xdr:from>
    <xdr:to>
      <xdr:col>26</xdr:col>
      <xdr:colOff>593725</xdr:colOff>
      <xdr:row>272</xdr:row>
      <xdr:rowOff>54428</xdr:rowOff>
    </xdr:to>
    <xdr:graphicFrame macro="">
      <xdr:nvGraphicFramePr>
        <xdr:cNvPr id="25" name="Chart 24">
          <a:extLst>
            <a:ext uri="{FF2B5EF4-FFF2-40B4-BE49-F238E27FC236}">
              <a16:creationId xmlns="" xmlns:a16="http://schemas.microsoft.com/office/drawing/2014/main" id="{00000000-0008-0000-1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139699</xdr:colOff>
      <xdr:row>462</xdr:row>
      <xdr:rowOff>23284</xdr:rowOff>
    </xdr:from>
    <xdr:to>
      <xdr:col>6</xdr:col>
      <xdr:colOff>841375</xdr:colOff>
      <xdr:row>479</xdr:row>
      <xdr:rowOff>127001</xdr:rowOff>
    </xdr:to>
    <xdr:graphicFrame macro="">
      <xdr:nvGraphicFramePr>
        <xdr:cNvPr id="27" name="Chart 26">
          <a:extLst>
            <a:ext uri="{FF2B5EF4-FFF2-40B4-BE49-F238E27FC236}">
              <a16:creationId xmlns="" xmlns:a16="http://schemas.microsoft.com/office/drawing/2014/main" id="{00000000-0008-0000-1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70757</xdr:colOff>
      <xdr:row>724</xdr:row>
      <xdr:rowOff>108857</xdr:rowOff>
    </xdr:from>
    <xdr:to>
      <xdr:col>5</xdr:col>
      <xdr:colOff>507999</xdr:colOff>
      <xdr:row>743</xdr:row>
      <xdr:rowOff>3855</xdr:rowOff>
    </xdr:to>
    <xdr:graphicFrame macro="">
      <xdr:nvGraphicFramePr>
        <xdr:cNvPr id="28" name="Chart 27">
          <a:extLst>
            <a:ext uri="{FF2B5EF4-FFF2-40B4-BE49-F238E27FC236}">
              <a16:creationId xmlns="" xmlns:a16="http://schemas.microsoft.com/office/drawing/2014/main" id="{00000000-0008-0000-1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92528</xdr:colOff>
      <xdr:row>185</xdr:row>
      <xdr:rowOff>277313</xdr:rowOff>
    </xdr:from>
    <xdr:to>
      <xdr:col>7</xdr:col>
      <xdr:colOff>149679</xdr:colOff>
      <xdr:row>203</xdr:row>
      <xdr:rowOff>127000</xdr:rowOff>
    </xdr:to>
    <xdr:graphicFrame macro="">
      <xdr:nvGraphicFramePr>
        <xdr:cNvPr id="29" name="Chart 28">
          <a:extLst>
            <a:ext uri="{FF2B5EF4-FFF2-40B4-BE49-F238E27FC236}">
              <a16:creationId xmlns="" xmlns:a16="http://schemas.microsoft.com/office/drawing/2014/main" id="{00000000-0008-0000-1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27214</xdr:colOff>
      <xdr:row>95</xdr:row>
      <xdr:rowOff>30844</xdr:rowOff>
    </xdr:from>
    <xdr:to>
      <xdr:col>7</xdr:col>
      <xdr:colOff>635000</xdr:colOff>
      <xdr:row>114</xdr:row>
      <xdr:rowOff>151494</xdr:rowOff>
    </xdr:to>
    <xdr:graphicFrame macro="">
      <xdr:nvGraphicFramePr>
        <xdr:cNvPr id="30" name="Chart 29">
          <a:extLst>
            <a:ext uri="{FF2B5EF4-FFF2-40B4-BE49-F238E27FC236}">
              <a16:creationId xmlns="" xmlns:a16="http://schemas.microsoft.com/office/drawing/2014/main" id="{00000000-0008-0000-1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368754</xdr:colOff>
      <xdr:row>186</xdr:row>
      <xdr:rowOff>24039</xdr:rowOff>
    </xdr:from>
    <xdr:to>
      <xdr:col>15</xdr:col>
      <xdr:colOff>403679</xdr:colOff>
      <xdr:row>204</xdr:row>
      <xdr:rowOff>0</xdr:rowOff>
    </xdr:to>
    <xdr:graphicFrame macro="">
      <xdr:nvGraphicFramePr>
        <xdr:cNvPr id="31" name="Chart 30">
          <a:extLst>
            <a:ext uri="{FF2B5EF4-FFF2-40B4-BE49-F238E27FC236}">
              <a16:creationId xmlns="" xmlns:a16="http://schemas.microsoft.com/office/drawing/2014/main" id="{00000000-0008-0000-1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805089</xdr:colOff>
      <xdr:row>95</xdr:row>
      <xdr:rowOff>52274</xdr:rowOff>
    </xdr:from>
    <xdr:to>
      <xdr:col>15</xdr:col>
      <xdr:colOff>805088</xdr:colOff>
      <xdr:row>115</xdr:row>
      <xdr:rowOff>9638</xdr:rowOff>
    </xdr:to>
    <xdr:graphicFrame macro="">
      <xdr:nvGraphicFramePr>
        <xdr:cNvPr id="32" name="Chart 31">
          <a:extLst>
            <a:ext uri="{FF2B5EF4-FFF2-40B4-BE49-F238E27FC236}">
              <a16:creationId xmlns="" xmlns:a16="http://schemas.microsoft.com/office/drawing/2014/main" id="{00000000-0008-0000-1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15</xdr:col>
      <xdr:colOff>543378</xdr:colOff>
      <xdr:row>186</xdr:row>
      <xdr:rowOff>0</xdr:rowOff>
    </xdr:from>
    <xdr:to>
      <xdr:col>25</xdr:col>
      <xdr:colOff>130628</xdr:colOff>
      <xdr:row>204</xdr:row>
      <xdr:rowOff>57150</xdr:rowOff>
    </xdr:to>
    <xdr:graphicFrame macro="">
      <xdr:nvGraphicFramePr>
        <xdr:cNvPr id="33" name="Chart 32">
          <a:extLst>
            <a:ext uri="{FF2B5EF4-FFF2-40B4-BE49-F238E27FC236}">
              <a16:creationId xmlns="" xmlns:a16="http://schemas.microsoft.com/office/drawing/2014/main" id="{00000000-0008-0000-1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16</xdr:col>
      <xdr:colOff>99785</xdr:colOff>
      <xdr:row>162</xdr:row>
      <xdr:rowOff>25400</xdr:rowOff>
    </xdr:from>
    <xdr:to>
      <xdr:col>25</xdr:col>
      <xdr:colOff>544286</xdr:colOff>
      <xdr:row>185</xdr:row>
      <xdr:rowOff>174626</xdr:rowOff>
    </xdr:to>
    <xdr:graphicFrame macro="">
      <xdr:nvGraphicFramePr>
        <xdr:cNvPr id="34" name="Chart 33">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14</xdr:col>
      <xdr:colOff>26038</xdr:colOff>
      <xdr:row>412</xdr:row>
      <xdr:rowOff>59268</xdr:rowOff>
    </xdr:from>
    <xdr:to>
      <xdr:col>21</xdr:col>
      <xdr:colOff>359835</xdr:colOff>
      <xdr:row>430</xdr:row>
      <xdr:rowOff>98729</xdr:rowOff>
    </xdr:to>
    <xdr:graphicFrame macro="">
      <xdr:nvGraphicFramePr>
        <xdr:cNvPr id="35" name="Chart 34">
          <a:extLst>
            <a:ext uri="{FF2B5EF4-FFF2-40B4-BE49-F238E27FC236}">
              <a16:creationId xmlns="" xmlns:a16="http://schemas.microsoft.com/office/drawing/2014/main" id="{00000000-0008-0000-1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839442</xdr:colOff>
      <xdr:row>412</xdr:row>
      <xdr:rowOff>88900</xdr:rowOff>
    </xdr:from>
    <xdr:to>
      <xdr:col>13</xdr:col>
      <xdr:colOff>571500</xdr:colOff>
      <xdr:row>430</xdr:row>
      <xdr:rowOff>50347</xdr:rowOff>
    </xdr:to>
    <xdr:graphicFrame macro="">
      <xdr:nvGraphicFramePr>
        <xdr:cNvPr id="36" name="Chart 35">
          <a:extLst>
            <a:ext uri="{FF2B5EF4-FFF2-40B4-BE49-F238E27FC236}">
              <a16:creationId xmlns="" xmlns:a16="http://schemas.microsoft.com/office/drawing/2014/main" id="{00000000-0008-0000-1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695477</xdr:colOff>
      <xdr:row>493</xdr:row>
      <xdr:rowOff>66524</xdr:rowOff>
    </xdr:from>
    <xdr:to>
      <xdr:col>15</xdr:col>
      <xdr:colOff>785283</xdr:colOff>
      <xdr:row>512</xdr:row>
      <xdr:rowOff>36587</xdr:rowOff>
    </xdr:to>
    <xdr:graphicFrame macro="">
      <xdr:nvGraphicFramePr>
        <xdr:cNvPr id="37" name="Chart 36">
          <a:extLst>
            <a:ext uri="{FF2B5EF4-FFF2-40B4-BE49-F238E27FC236}">
              <a16:creationId xmlns="" xmlns:a16="http://schemas.microsoft.com/office/drawing/2014/main" id="{00000000-0008-0000-1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23282</xdr:colOff>
      <xdr:row>332</xdr:row>
      <xdr:rowOff>118532</xdr:rowOff>
    </xdr:from>
    <xdr:to>
      <xdr:col>15</xdr:col>
      <xdr:colOff>61382</xdr:colOff>
      <xdr:row>351</xdr:row>
      <xdr:rowOff>55032</xdr:rowOff>
    </xdr:to>
    <xdr:graphicFrame macro="">
      <xdr:nvGraphicFramePr>
        <xdr:cNvPr id="38" name="Chart 37">
          <a:extLst>
            <a:ext uri="{FF2B5EF4-FFF2-40B4-BE49-F238E27FC236}">
              <a16:creationId xmlns="" xmlns:a16="http://schemas.microsoft.com/office/drawing/2014/main" id="{00000000-0008-0000-1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19</xdr:col>
      <xdr:colOff>244929</xdr:colOff>
      <xdr:row>219</xdr:row>
      <xdr:rowOff>58509</xdr:rowOff>
    </xdr:from>
    <xdr:to>
      <xdr:col>30</xdr:col>
      <xdr:colOff>208642</xdr:colOff>
      <xdr:row>241</xdr:row>
      <xdr:rowOff>145142</xdr:rowOff>
    </xdr:to>
    <xdr:graphicFrame macro="">
      <xdr:nvGraphicFramePr>
        <xdr:cNvPr id="41" name="Chart 40">
          <a:extLst>
            <a:ext uri="{FF2B5EF4-FFF2-40B4-BE49-F238E27FC236}">
              <a16:creationId xmlns="" xmlns:a16="http://schemas.microsoft.com/office/drawing/2014/main" id="{00000000-0008-0000-1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7225</xdr:colOff>
      <xdr:row>6</xdr:row>
      <xdr:rowOff>116417</xdr:rowOff>
    </xdr:from>
    <xdr:to>
      <xdr:col>6</xdr:col>
      <xdr:colOff>584200</xdr:colOff>
      <xdr:row>26</xdr:row>
      <xdr:rowOff>63501</xdr:rowOff>
    </xdr:to>
    <xdr:graphicFrame macro="">
      <xdr:nvGraphicFramePr>
        <xdr:cNvPr id="3" name="Chart 2">
          <a:extLst>
            <a:ext uri="{FF2B5EF4-FFF2-40B4-BE49-F238E27FC236}">
              <a16:creationId xmlns=""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27</xdr:col>
      <xdr:colOff>97894</xdr:colOff>
      <xdr:row>6</xdr:row>
      <xdr:rowOff>148167</xdr:rowOff>
    </xdr:from>
    <xdr:to>
      <xdr:col>38</xdr:col>
      <xdr:colOff>52916</xdr:colOff>
      <xdr:row>26</xdr:row>
      <xdr:rowOff>76200</xdr:rowOff>
    </xdr:to>
    <xdr:graphicFrame macro="">
      <xdr:nvGraphicFramePr>
        <xdr:cNvPr id="26" name="Chart 25">
          <a:extLst>
            <a:ext uri="{FF2B5EF4-FFF2-40B4-BE49-F238E27FC236}">
              <a16:creationId xmlns="" xmlns:a16="http://schemas.microsoft.com/office/drawing/2014/main" id="{00000000-0008-0000-1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123824</xdr:colOff>
      <xdr:row>163</xdr:row>
      <xdr:rowOff>25400</xdr:rowOff>
    </xdr:from>
    <xdr:to>
      <xdr:col>6</xdr:col>
      <xdr:colOff>393700</xdr:colOff>
      <xdr:row>184</xdr:row>
      <xdr:rowOff>127000</xdr:rowOff>
    </xdr:to>
    <xdr:graphicFrame macro="">
      <xdr:nvGraphicFramePr>
        <xdr:cNvPr id="23" name="Chart 22">
          <a:extLst>
            <a:ext uri="{FF2B5EF4-FFF2-40B4-BE49-F238E27FC236}">
              <a16:creationId xmlns="" xmlns:a16="http://schemas.microsoft.com/office/drawing/2014/main" id="{00000000-0008-0000-1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38099</xdr:colOff>
      <xdr:row>373</xdr:row>
      <xdr:rowOff>63501</xdr:rowOff>
    </xdr:from>
    <xdr:to>
      <xdr:col>6</xdr:col>
      <xdr:colOff>740832</xdr:colOff>
      <xdr:row>392</xdr:row>
      <xdr:rowOff>139701</xdr:rowOff>
    </xdr:to>
    <xdr:graphicFrame macro="">
      <xdr:nvGraphicFramePr>
        <xdr:cNvPr id="7" name="Chart 6">
          <a:extLst>
            <a:ext uri="{FF2B5EF4-FFF2-40B4-BE49-F238E27FC236}">
              <a16:creationId xmlns="" xmlns:a16="http://schemas.microsoft.com/office/drawing/2014/main" id="{00000000-0008-0000-1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772584</xdr:colOff>
      <xdr:row>50</xdr:row>
      <xdr:rowOff>63501</xdr:rowOff>
    </xdr:from>
    <xdr:to>
      <xdr:col>15</xdr:col>
      <xdr:colOff>719667</xdr:colOff>
      <xdr:row>70</xdr:row>
      <xdr:rowOff>105835</xdr:rowOff>
    </xdr:to>
    <xdr:graphicFrame macro="">
      <xdr:nvGraphicFramePr>
        <xdr:cNvPr id="40" name="Chart 39">
          <a:extLst>
            <a:ext uri="{FF2B5EF4-FFF2-40B4-BE49-F238E27FC236}">
              <a16:creationId xmlns="" xmlns:a16="http://schemas.microsoft.com/office/drawing/2014/main" id="{00000000-0008-0000-1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688067</xdr:colOff>
      <xdr:row>765</xdr:row>
      <xdr:rowOff>74083</xdr:rowOff>
    </xdr:from>
    <xdr:to>
      <xdr:col>12</xdr:col>
      <xdr:colOff>0</xdr:colOff>
      <xdr:row>783</xdr:row>
      <xdr:rowOff>109194</xdr:rowOff>
    </xdr:to>
    <xdr:graphicFrame macro="">
      <xdr:nvGraphicFramePr>
        <xdr:cNvPr id="43" name="Chart 42">
          <a:extLst>
            <a:ext uri="{FF2B5EF4-FFF2-40B4-BE49-F238E27FC236}">
              <a16:creationId xmlns="" xmlns:a16="http://schemas.microsoft.com/office/drawing/2014/main" id="{00000000-0008-0000-1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12</xdr:col>
      <xdr:colOff>105683</xdr:colOff>
      <xdr:row>765</xdr:row>
      <xdr:rowOff>95249</xdr:rowOff>
    </xdr:from>
    <xdr:to>
      <xdr:col>18</xdr:col>
      <xdr:colOff>317500</xdr:colOff>
      <xdr:row>783</xdr:row>
      <xdr:rowOff>116452</xdr:rowOff>
    </xdr:to>
    <xdr:graphicFrame macro="">
      <xdr:nvGraphicFramePr>
        <xdr:cNvPr id="44" name="Chart 43">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613229</xdr:colOff>
      <xdr:row>724</xdr:row>
      <xdr:rowOff>107043</xdr:rowOff>
    </xdr:from>
    <xdr:to>
      <xdr:col>11</xdr:col>
      <xdr:colOff>542472</xdr:colOff>
      <xdr:row>743</xdr:row>
      <xdr:rowOff>2041</xdr:rowOff>
    </xdr:to>
    <xdr:graphicFrame macro="">
      <xdr:nvGraphicFramePr>
        <xdr:cNvPr id="45" name="Chart 44">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11</xdr:col>
      <xdr:colOff>647702</xdr:colOff>
      <xdr:row>724</xdr:row>
      <xdr:rowOff>105229</xdr:rowOff>
    </xdr:from>
    <xdr:to>
      <xdr:col>18</xdr:col>
      <xdr:colOff>624417</xdr:colOff>
      <xdr:row>743</xdr:row>
      <xdr:rowOff>227</xdr:rowOff>
    </xdr:to>
    <xdr:graphicFrame macro="">
      <xdr:nvGraphicFramePr>
        <xdr:cNvPr id="46" name="Chart 45">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11</xdr:col>
      <xdr:colOff>1</xdr:colOff>
      <xdr:row>0</xdr:row>
      <xdr:rowOff>9072</xdr:rowOff>
    </xdr:from>
    <xdr:to>
      <xdr:col>14</xdr:col>
      <xdr:colOff>233372</xdr:colOff>
      <xdr:row>3</xdr:row>
      <xdr:rowOff>12130</xdr:rowOff>
    </xdr:to>
    <xdr:pic>
      <xdr:nvPicPr>
        <xdr:cNvPr id="47" name="Picture 46">
          <a:extLst>
            <a:ext uri="{FF2B5EF4-FFF2-40B4-BE49-F238E27FC236}">
              <a16:creationId xmlns="" xmlns:a16="http://schemas.microsoft.com/office/drawing/2014/main" id="{00000000-0008-0000-1100-00002F000000}"/>
            </a:ext>
          </a:extLst>
        </xdr:cNvPr>
        <xdr:cNvPicPr>
          <a:picLocks noChangeAspect="1"/>
        </xdr:cNvPicPr>
      </xdr:nvPicPr>
      <xdr:blipFill>
        <a:blip xmlns:r="http://schemas.openxmlformats.org/officeDocument/2006/relationships" r:embed="rId40"/>
        <a:stretch>
          <a:fillRect/>
        </a:stretch>
      </xdr:blipFill>
      <xdr:spPr>
        <a:xfrm>
          <a:off x="11030858" y="9072"/>
          <a:ext cx="3088603" cy="647130"/>
        </a:xfrm>
        <a:prstGeom prst="rect">
          <a:avLst/>
        </a:prstGeom>
      </xdr:spPr>
    </xdr:pic>
    <xdr:clientData/>
  </xdr:twoCellAnchor>
  <xdr:twoCellAnchor>
    <xdr:from>
      <xdr:col>11</xdr:col>
      <xdr:colOff>784680</xdr:colOff>
      <xdr:row>579</xdr:row>
      <xdr:rowOff>52614</xdr:rowOff>
    </xdr:from>
    <xdr:to>
      <xdr:col>18</xdr:col>
      <xdr:colOff>498928</xdr:colOff>
      <xdr:row>597</xdr:row>
      <xdr:rowOff>111125</xdr:rowOff>
    </xdr:to>
    <xdr:graphicFrame macro="">
      <xdr:nvGraphicFramePr>
        <xdr:cNvPr id="51" name="Chart 50">
          <a:extLst>
            <a:ext uri="{FF2B5EF4-FFF2-40B4-BE49-F238E27FC236}">
              <a16:creationId xmlns="" xmlns:a16="http://schemas.microsoft.com/office/drawing/2014/main" id="{00000000-0008-0000-1100-00003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16</xdr:col>
      <xdr:colOff>128514</xdr:colOff>
      <xdr:row>50</xdr:row>
      <xdr:rowOff>116419</xdr:rowOff>
    </xdr:from>
    <xdr:to>
      <xdr:col>26</xdr:col>
      <xdr:colOff>254001</xdr:colOff>
      <xdr:row>70</xdr:row>
      <xdr:rowOff>116419</xdr:rowOff>
    </xdr:to>
    <xdr:graphicFrame macro="">
      <xdr:nvGraphicFramePr>
        <xdr:cNvPr id="48" name="Chart 47">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74083</xdr:colOff>
      <xdr:row>73</xdr:row>
      <xdr:rowOff>31750</xdr:rowOff>
    </xdr:from>
    <xdr:to>
      <xdr:col>7</xdr:col>
      <xdr:colOff>391584</xdr:colOff>
      <xdr:row>93</xdr:row>
      <xdr:rowOff>31749</xdr:rowOff>
    </xdr:to>
    <xdr:graphicFrame macro="">
      <xdr:nvGraphicFramePr>
        <xdr:cNvPr id="50" name="Chart 49">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7</xdr:col>
      <xdr:colOff>788275</xdr:colOff>
      <xdr:row>73</xdr:row>
      <xdr:rowOff>31749</xdr:rowOff>
    </xdr:from>
    <xdr:to>
      <xdr:col>15</xdr:col>
      <xdr:colOff>709083</xdr:colOff>
      <xdr:row>92</xdr:row>
      <xdr:rowOff>95251</xdr:rowOff>
    </xdr:to>
    <xdr:graphicFrame macro="">
      <xdr:nvGraphicFramePr>
        <xdr:cNvPr id="52" name="Chart 51">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oneCellAnchor>
    <xdr:from>
      <xdr:col>18</xdr:col>
      <xdr:colOff>685349</xdr:colOff>
      <xdr:row>54</xdr:row>
      <xdr:rowOff>58663</xdr:rowOff>
    </xdr:from>
    <xdr:ext cx="2813436" cy="610844"/>
    <xdr:pic>
      <xdr:nvPicPr>
        <xdr:cNvPr id="54" name="Picture 53">
          <a:extLst>
            <a:ext uri="{FF2B5EF4-FFF2-40B4-BE49-F238E27FC236}">
              <a16:creationId xmlns="" xmlns:a16="http://schemas.microsoft.com/office/drawing/2014/main" id="{00000000-0008-0000-1100-000036000000}"/>
            </a:ext>
          </a:extLst>
        </xdr:cNvPr>
        <xdr:cNvPicPr>
          <a:picLocks noChangeAspect="1"/>
        </xdr:cNvPicPr>
      </xdr:nvPicPr>
      <xdr:blipFill>
        <a:blip xmlns:r="http://schemas.openxmlformats.org/officeDocument/2006/relationships" r:embed="rId40"/>
        <a:stretch>
          <a:fillRect/>
        </a:stretch>
      </xdr:blipFill>
      <xdr:spPr>
        <a:xfrm>
          <a:off x="17354099" y="9996413"/>
          <a:ext cx="2813436" cy="610844"/>
        </a:xfrm>
        <a:prstGeom prst="rect">
          <a:avLst/>
        </a:prstGeom>
        <a:ln>
          <a:solidFill>
            <a:schemeClr val="tx1"/>
          </a:solidFill>
        </a:ln>
      </xdr:spPr>
    </xdr:pic>
    <xdr:clientData/>
  </xdr:oneCellAnchor>
  <xdr:twoCellAnchor>
    <xdr:from>
      <xdr:col>7</xdr:col>
      <xdr:colOff>794626</xdr:colOff>
      <xdr:row>6</xdr:row>
      <xdr:rowOff>120649</xdr:rowOff>
    </xdr:from>
    <xdr:to>
      <xdr:col>15</xdr:col>
      <xdr:colOff>783166</xdr:colOff>
      <xdr:row>26</xdr:row>
      <xdr:rowOff>78316</xdr:rowOff>
    </xdr:to>
    <xdr:graphicFrame macro="">
      <xdr:nvGraphicFramePr>
        <xdr:cNvPr id="59" name="Chart 58">
          <a:extLst>
            <a:ext uri="{FF2B5EF4-FFF2-40B4-BE49-F238E27FC236}">
              <a16:creationId xmlns="" xmlns:a16="http://schemas.microsoft.com/office/drawing/2014/main" id="{00000000-0008-0000-11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16</xdr:col>
      <xdr:colOff>79193</xdr:colOff>
      <xdr:row>6</xdr:row>
      <xdr:rowOff>103715</xdr:rowOff>
    </xdr:from>
    <xdr:to>
      <xdr:col>26</xdr:col>
      <xdr:colOff>452968</xdr:colOff>
      <xdr:row>26</xdr:row>
      <xdr:rowOff>61382</xdr:rowOff>
    </xdr:to>
    <xdr:graphicFrame macro="">
      <xdr:nvGraphicFramePr>
        <xdr:cNvPr id="60" name="Chart 59">
          <a:extLst>
            <a:ext uri="{FF2B5EF4-FFF2-40B4-BE49-F238E27FC236}">
              <a16:creationId xmlns="" xmlns:a16="http://schemas.microsoft.com/office/drawing/2014/main" id="{00000000-0008-0000-11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7</xdr:col>
      <xdr:colOff>840317</xdr:colOff>
      <xdr:row>28</xdr:row>
      <xdr:rowOff>67734</xdr:rowOff>
    </xdr:from>
    <xdr:to>
      <xdr:col>15</xdr:col>
      <xdr:colOff>829733</xdr:colOff>
      <xdr:row>48</xdr:row>
      <xdr:rowOff>14817</xdr:rowOff>
    </xdr:to>
    <xdr:graphicFrame macro="">
      <xdr:nvGraphicFramePr>
        <xdr:cNvPr id="61" name="Chart 60">
          <a:extLst>
            <a:ext uri="{FF2B5EF4-FFF2-40B4-BE49-F238E27FC236}">
              <a16:creationId xmlns="" xmlns:a16="http://schemas.microsoft.com/office/drawing/2014/main" id="{00000000-0008-0000-11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16</xdr:col>
      <xdr:colOff>50800</xdr:colOff>
      <xdr:row>28</xdr:row>
      <xdr:rowOff>82552</xdr:rowOff>
    </xdr:from>
    <xdr:to>
      <xdr:col>26</xdr:col>
      <xdr:colOff>230717</xdr:colOff>
      <xdr:row>48</xdr:row>
      <xdr:rowOff>29635</xdr:rowOff>
    </xdr:to>
    <xdr:graphicFrame macro="">
      <xdr:nvGraphicFramePr>
        <xdr:cNvPr id="62" name="Chart 61">
          <a:extLst>
            <a:ext uri="{FF2B5EF4-FFF2-40B4-BE49-F238E27FC236}">
              <a16:creationId xmlns="" xmlns:a16="http://schemas.microsoft.com/office/drawing/2014/main" id="{00000000-0008-0000-11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141816</xdr:colOff>
      <xdr:row>50</xdr:row>
      <xdr:rowOff>120649</xdr:rowOff>
    </xdr:from>
    <xdr:to>
      <xdr:col>7</xdr:col>
      <xdr:colOff>459317</xdr:colOff>
      <xdr:row>70</xdr:row>
      <xdr:rowOff>120649</xdr:rowOff>
    </xdr:to>
    <xdr:graphicFrame macro="">
      <xdr:nvGraphicFramePr>
        <xdr:cNvPr id="64" name="Chart 63">
          <a:extLst>
            <a:ext uri="{FF2B5EF4-FFF2-40B4-BE49-F238E27FC236}">
              <a16:creationId xmlns="" xmlns:a16="http://schemas.microsoft.com/office/drawing/2014/main" id="{00000000-0008-0000-11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18143</xdr:colOff>
      <xdr:row>615</xdr:row>
      <xdr:rowOff>38554</xdr:rowOff>
    </xdr:from>
    <xdr:to>
      <xdr:col>5</xdr:col>
      <xdr:colOff>687161</xdr:colOff>
      <xdr:row>632</xdr:row>
      <xdr:rowOff>6803</xdr:rowOff>
    </xdr:to>
    <xdr:graphicFrame macro="">
      <xdr:nvGraphicFramePr>
        <xdr:cNvPr id="57" name="Chart 56">
          <a:extLst>
            <a:ext uri="{FF2B5EF4-FFF2-40B4-BE49-F238E27FC236}">
              <a16:creationId xmlns="" xmlns:a16="http://schemas.microsoft.com/office/drawing/2014/main" id="{00000000-0008-0000-11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34019</xdr:colOff>
      <xdr:row>598</xdr:row>
      <xdr:rowOff>72572</xdr:rowOff>
    </xdr:from>
    <xdr:to>
      <xdr:col>5</xdr:col>
      <xdr:colOff>684894</xdr:colOff>
      <xdr:row>614</xdr:row>
      <xdr:rowOff>145142</xdr:rowOff>
    </xdr:to>
    <xdr:graphicFrame macro="">
      <xdr:nvGraphicFramePr>
        <xdr:cNvPr id="58" name="Chart 57">
          <a:extLst>
            <a:ext uri="{FF2B5EF4-FFF2-40B4-BE49-F238E27FC236}">
              <a16:creationId xmlns="" xmlns:a16="http://schemas.microsoft.com/office/drawing/2014/main" id="{00000000-0008-0000-11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11</xdr:col>
      <xdr:colOff>830037</xdr:colOff>
      <xdr:row>598</xdr:row>
      <xdr:rowOff>24946</xdr:rowOff>
    </xdr:from>
    <xdr:to>
      <xdr:col>18</xdr:col>
      <xdr:colOff>621393</xdr:colOff>
      <xdr:row>614</xdr:row>
      <xdr:rowOff>129267</xdr:rowOff>
    </xdr:to>
    <xdr:graphicFrame macro="">
      <xdr:nvGraphicFramePr>
        <xdr:cNvPr id="63" name="Chart 62">
          <a:extLst>
            <a:ext uri="{FF2B5EF4-FFF2-40B4-BE49-F238E27FC236}">
              <a16:creationId xmlns="" xmlns:a16="http://schemas.microsoft.com/office/drawing/2014/main" id="{00000000-0008-0000-11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11</xdr:col>
      <xdr:colOff>833212</xdr:colOff>
      <xdr:row>615</xdr:row>
      <xdr:rowOff>38555</xdr:rowOff>
    </xdr:from>
    <xdr:to>
      <xdr:col>18</xdr:col>
      <xdr:colOff>687162</xdr:colOff>
      <xdr:row>631</xdr:row>
      <xdr:rowOff>81643</xdr:rowOff>
    </xdr:to>
    <xdr:graphicFrame macro="">
      <xdr:nvGraphicFramePr>
        <xdr:cNvPr id="65" name="Chart 64">
          <a:extLst>
            <a:ext uri="{FF2B5EF4-FFF2-40B4-BE49-F238E27FC236}">
              <a16:creationId xmlns="" xmlns:a16="http://schemas.microsoft.com/office/drawing/2014/main" id="{00000000-0008-0000-11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15</xdr:col>
      <xdr:colOff>145143</xdr:colOff>
      <xdr:row>861</xdr:row>
      <xdr:rowOff>31750</xdr:rowOff>
    </xdr:from>
    <xdr:to>
      <xdr:col>19</xdr:col>
      <xdr:colOff>780143</xdr:colOff>
      <xdr:row>876</xdr:row>
      <xdr:rowOff>142876</xdr:rowOff>
    </xdr:to>
    <xdr:graphicFrame macro="">
      <xdr:nvGraphicFramePr>
        <xdr:cNvPr id="2" name="Chart 1">
          <a:extLst>
            <a:ext uri="{FF2B5EF4-FFF2-40B4-BE49-F238E27FC236}">
              <a16:creationId xmlns=""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20</xdr:col>
      <xdr:colOff>460375</xdr:colOff>
      <xdr:row>861</xdr:row>
      <xdr:rowOff>63499</xdr:rowOff>
    </xdr:from>
    <xdr:to>
      <xdr:col>26</xdr:col>
      <xdr:colOff>315232</xdr:colOff>
      <xdr:row>876</xdr:row>
      <xdr:rowOff>111124</xdr:rowOff>
    </xdr:to>
    <xdr:graphicFrame macro="">
      <xdr:nvGraphicFramePr>
        <xdr:cNvPr id="66" name="Chart 65">
          <a:extLst>
            <a:ext uri="{FF2B5EF4-FFF2-40B4-BE49-F238E27FC236}">
              <a16:creationId xmlns="" xmlns:a16="http://schemas.microsoft.com/office/drawing/2014/main" id="{00000000-0008-0000-11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136524</xdr:colOff>
      <xdr:row>818</xdr:row>
      <xdr:rowOff>74084</xdr:rowOff>
    </xdr:from>
    <xdr:to>
      <xdr:col>5</xdr:col>
      <xdr:colOff>589643</xdr:colOff>
      <xdr:row>836</xdr:row>
      <xdr:rowOff>92867</xdr:rowOff>
    </xdr:to>
    <xdr:graphicFrame macro="">
      <xdr:nvGraphicFramePr>
        <xdr:cNvPr id="67" name="Chart 66">
          <a:extLst>
            <a:ext uri="{FF2B5EF4-FFF2-40B4-BE49-F238E27FC236}">
              <a16:creationId xmlns="" xmlns:a16="http://schemas.microsoft.com/office/drawing/2014/main" id="{00000000-0008-0000-11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5</xdr:col>
      <xdr:colOff>783317</xdr:colOff>
      <xdr:row>818</xdr:row>
      <xdr:rowOff>105833</xdr:rowOff>
    </xdr:from>
    <xdr:to>
      <xdr:col>12</xdr:col>
      <xdr:colOff>95250</xdr:colOff>
      <xdr:row>836</xdr:row>
      <xdr:rowOff>140944</xdr:rowOff>
    </xdr:to>
    <xdr:graphicFrame macro="">
      <xdr:nvGraphicFramePr>
        <xdr:cNvPr id="68" name="Chart 67">
          <a:extLst>
            <a:ext uri="{FF2B5EF4-FFF2-40B4-BE49-F238E27FC236}">
              <a16:creationId xmlns="" xmlns:a16="http://schemas.microsoft.com/office/drawing/2014/main" id="{00000000-0008-0000-11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12</xdr:col>
      <xdr:colOff>248558</xdr:colOff>
      <xdr:row>818</xdr:row>
      <xdr:rowOff>111124</xdr:rowOff>
    </xdr:from>
    <xdr:to>
      <xdr:col>18</xdr:col>
      <xdr:colOff>460375</xdr:colOff>
      <xdr:row>836</xdr:row>
      <xdr:rowOff>132327</xdr:rowOff>
    </xdr:to>
    <xdr:graphicFrame macro="">
      <xdr:nvGraphicFramePr>
        <xdr:cNvPr id="69" name="Chart 68">
          <a:extLst>
            <a:ext uri="{FF2B5EF4-FFF2-40B4-BE49-F238E27FC236}">
              <a16:creationId xmlns="" xmlns:a16="http://schemas.microsoft.com/office/drawing/2014/main" id="{00000000-0008-0000-11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0</xdr:col>
      <xdr:colOff>311150</xdr:colOff>
      <xdr:row>677</xdr:row>
      <xdr:rowOff>206376</xdr:rowOff>
    </xdr:from>
    <xdr:to>
      <xdr:col>5</xdr:col>
      <xdr:colOff>730250</xdr:colOff>
      <xdr:row>692</xdr:row>
      <xdr:rowOff>15875</xdr:rowOff>
    </xdr:to>
    <xdr:graphicFrame macro="">
      <xdr:nvGraphicFramePr>
        <xdr:cNvPr id="70" name="Chart 69">
          <a:extLst>
            <a:ext uri="{FF2B5EF4-FFF2-40B4-BE49-F238E27FC236}">
              <a16:creationId xmlns="" xmlns:a16="http://schemas.microsoft.com/office/drawing/2014/main" id="{00000000-0008-0000-11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6</xdr:col>
      <xdr:colOff>130175</xdr:colOff>
      <xdr:row>677</xdr:row>
      <xdr:rowOff>215901</xdr:rowOff>
    </xdr:from>
    <xdr:to>
      <xdr:col>13</xdr:col>
      <xdr:colOff>660400</xdr:colOff>
      <xdr:row>692</xdr:row>
      <xdr:rowOff>25400</xdr:rowOff>
    </xdr:to>
    <xdr:graphicFrame macro="">
      <xdr:nvGraphicFramePr>
        <xdr:cNvPr id="71" name="Chart 70">
          <a:extLst>
            <a:ext uri="{FF2B5EF4-FFF2-40B4-BE49-F238E27FC236}">
              <a16:creationId xmlns="" xmlns:a16="http://schemas.microsoft.com/office/drawing/2014/main" id="{00000000-0008-0000-11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14</xdr:col>
      <xdr:colOff>60325</xdr:colOff>
      <xdr:row>677</xdr:row>
      <xdr:rowOff>225426</xdr:rowOff>
    </xdr:from>
    <xdr:to>
      <xdr:col>20</xdr:col>
      <xdr:colOff>812800</xdr:colOff>
      <xdr:row>692</xdr:row>
      <xdr:rowOff>34925</xdr:rowOff>
    </xdr:to>
    <xdr:graphicFrame macro="">
      <xdr:nvGraphicFramePr>
        <xdr:cNvPr id="72" name="Chart 71">
          <a:extLst>
            <a:ext uri="{FF2B5EF4-FFF2-40B4-BE49-F238E27FC236}">
              <a16:creationId xmlns="" xmlns:a16="http://schemas.microsoft.com/office/drawing/2014/main" id="{00000000-0008-0000-11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1089</xdr:colOff>
      <xdr:row>5</xdr:row>
      <xdr:rowOff>113844</xdr:rowOff>
    </xdr:from>
    <xdr:to>
      <xdr:col>6</xdr:col>
      <xdr:colOff>544284</xdr:colOff>
      <xdr:row>25</xdr:row>
      <xdr:rowOff>102958</xdr:rowOff>
    </xdr:to>
    <xdr:graphicFrame macro="">
      <xdr:nvGraphicFramePr>
        <xdr:cNvPr id="2" name="Chart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616857</xdr:colOff>
      <xdr:row>5</xdr:row>
      <xdr:rowOff>80646</xdr:rowOff>
    </xdr:from>
    <xdr:to>
      <xdr:col>11</xdr:col>
      <xdr:colOff>925286</xdr:colOff>
      <xdr:row>25</xdr:row>
      <xdr:rowOff>63501</xdr:rowOff>
    </xdr:to>
    <xdr:graphicFrame macro="">
      <xdr:nvGraphicFramePr>
        <xdr:cNvPr id="3" name="Chart 2">
          <a:extLst>
            <a:ext uri="{FF2B5EF4-FFF2-40B4-BE49-F238E27FC236}">
              <a16:creationId xmlns=""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199571</xdr:colOff>
      <xdr:row>5</xdr:row>
      <xdr:rowOff>107860</xdr:rowOff>
    </xdr:from>
    <xdr:to>
      <xdr:col>20</xdr:col>
      <xdr:colOff>87539</xdr:colOff>
      <xdr:row>25</xdr:row>
      <xdr:rowOff>90714</xdr:rowOff>
    </xdr:to>
    <xdr:graphicFrame macro="">
      <xdr:nvGraphicFramePr>
        <xdr:cNvPr id="4" name="Chart 3">
          <a:extLst>
            <a:ext uri="{FF2B5EF4-FFF2-40B4-BE49-F238E27FC236}">
              <a16:creationId xmlns=""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583292</xdr:colOff>
      <xdr:row>7</xdr:row>
      <xdr:rowOff>48532</xdr:rowOff>
    </xdr:from>
    <xdr:to>
      <xdr:col>19</xdr:col>
      <xdr:colOff>107043</xdr:colOff>
      <xdr:row>9</xdr:row>
      <xdr:rowOff>100239</xdr:rowOff>
    </xdr:to>
    <xdr:sp macro="" textlink="E28">
      <xdr:nvSpPr>
        <xdr:cNvPr id="5" name="TextBox 1">
          <a:extLst>
            <a:ext uri="{FF2B5EF4-FFF2-40B4-BE49-F238E27FC236}">
              <a16:creationId xmlns="" xmlns:a16="http://schemas.microsoft.com/office/drawing/2014/main" id="{00000000-0008-0000-1200-000005000000}"/>
            </a:ext>
          </a:extLst>
        </xdr:cNvPr>
        <xdr:cNvSpPr txBox="1"/>
      </xdr:nvSpPr>
      <xdr:spPr>
        <a:xfrm>
          <a:off x="11124292" y="1354818"/>
          <a:ext cx="4431394" cy="3782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CE6CCCB1-39A0-4004-8EEC-28CC9929FF8A}" type="TxLink">
            <a:rPr lang="en-US" sz="1800" b="0" i="0" u="none" strike="noStrike">
              <a:solidFill>
                <a:srgbClr val="1F497D"/>
              </a:solidFill>
              <a:latin typeface="Calibri"/>
              <a:cs typeface="Arial"/>
            </a:rPr>
            <a:pPr algn="ctr"/>
            <a:t>400G total_All_All</a:t>
          </a:fld>
          <a:endParaRPr lang="en-US" sz="800"/>
        </a:p>
      </xdr:txBody>
    </xdr:sp>
    <xdr:clientData/>
  </xdr:twoCellAnchor>
  <xdr:twoCellAnchor editAs="oneCell">
    <xdr:from>
      <xdr:col>13</xdr:col>
      <xdr:colOff>580571</xdr:colOff>
      <xdr:row>0</xdr:row>
      <xdr:rowOff>90714</xdr:rowOff>
    </xdr:from>
    <xdr:to>
      <xdr:col>18</xdr:col>
      <xdr:colOff>22460</xdr:colOff>
      <xdr:row>3</xdr:row>
      <xdr:rowOff>93772</xdr:rowOff>
    </xdr:to>
    <xdr:pic>
      <xdr:nvPicPr>
        <xdr:cNvPr id="7" name="Picture 6">
          <a:extLst>
            <a:ext uri="{FF2B5EF4-FFF2-40B4-BE49-F238E27FC236}">
              <a16:creationId xmlns="" xmlns:a16="http://schemas.microsoft.com/office/drawing/2014/main" id="{00000000-0008-0000-1200-000007000000}"/>
            </a:ext>
          </a:extLst>
        </xdr:cNvPr>
        <xdr:cNvPicPr>
          <a:picLocks noChangeAspect="1"/>
        </xdr:cNvPicPr>
      </xdr:nvPicPr>
      <xdr:blipFill>
        <a:blip xmlns:r="http://schemas.openxmlformats.org/officeDocument/2006/relationships" r:embed="rId4"/>
        <a:stretch>
          <a:fillRect/>
        </a:stretch>
      </xdr:blipFill>
      <xdr:spPr>
        <a:xfrm>
          <a:off x="12201071" y="90714"/>
          <a:ext cx="2870889" cy="628987"/>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0.20163</cdr:x>
      <cdr:y>0.10657</cdr:y>
    </cdr:from>
    <cdr:to>
      <cdr:x>0.82134</cdr:x>
      <cdr:y>0.38807</cdr:y>
    </cdr:to>
    <cdr:sp macro="" textlink="">
      <cdr:nvSpPr>
        <cdr:cNvPr id="2" name="TextBox 1"/>
        <cdr:cNvSpPr txBox="1"/>
      </cdr:nvSpPr>
      <cdr:spPr>
        <a:xfrm xmlns:a="http://schemas.openxmlformats.org/drawingml/2006/main">
          <a:off x="1005839" y="346165"/>
          <a:ext cx="309154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0.33255</cdr:x>
      <cdr:y>0.14678</cdr:y>
    </cdr:from>
    <cdr:to>
      <cdr:x>0.66423</cdr:x>
      <cdr:y>0.26072</cdr:y>
    </cdr:to>
    <cdr:sp macro="" textlink="">
      <cdr:nvSpPr>
        <cdr:cNvPr id="3" name="TextBox 2"/>
        <cdr:cNvSpPr txBox="1"/>
      </cdr:nvSpPr>
      <cdr:spPr>
        <a:xfrm xmlns:a="http://schemas.openxmlformats.org/drawingml/2006/main">
          <a:off x="1658983" y="476794"/>
          <a:ext cx="1654628" cy="3701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0.09252</cdr:x>
      <cdr:y>0.09272</cdr:y>
    </cdr:from>
    <cdr:to>
      <cdr:x>0.91299</cdr:x>
      <cdr:y>0.21671</cdr:y>
    </cdr:to>
    <cdr:sp macro="" textlink="Dashboard!$E$28">
      <cdr:nvSpPr>
        <cdr:cNvPr id="4" name="TextBox 3"/>
        <cdr:cNvSpPr txBox="1"/>
      </cdr:nvSpPr>
      <cdr:spPr>
        <a:xfrm xmlns:a="http://schemas.openxmlformats.org/drawingml/2006/main">
          <a:off x="461554" y="343960"/>
          <a:ext cx="4093028" cy="4600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AAE3D818-4731-4A2D-8DE9-BB723063640D}" type="TxLink">
            <a:rPr lang="en-US" sz="1800" b="0" i="0" u="none" strike="noStrike">
              <a:solidFill>
                <a:srgbClr val="1F497D"/>
              </a:solidFill>
              <a:latin typeface="Calibri"/>
            </a:rPr>
            <a:pPr algn="ctr"/>
            <a:t>400G total_All_All</a:t>
          </a:fld>
          <a:endParaRPr lang="en-US" sz="900"/>
        </a:p>
      </cdr:txBody>
    </cdr:sp>
  </cdr:relSizeAnchor>
</c:userShapes>
</file>

<file path=xl/drawings/drawing7.xml><?xml version="1.0" encoding="utf-8"?>
<c:userShapes xmlns:c="http://schemas.openxmlformats.org/drawingml/2006/chart">
  <cdr:relSizeAnchor xmlns:cdr="http://schemas.openxmlformats.org/drawingml/2006/chartDrawing">
    <cdr:from>
      <cdr:x>0.13088</cdr:x>
      <cdr:y>0.08275</cdr:y>
    </cdr:from>
    <cdr:to>
      <cdr:x>0.95771</cdr:x>
      <cdr:y>0.21675</cdr:y>
    </cdr:to>
    <cdr:sp macro="" textlink="Dashboard!$E$28">
      <cdr:nvSpPr>
        <cdr:cNvPr id="2" name="TextBox 1"/>
        <cdr:cNvSpPr txBox="1"/>
      </cdr:nvSpPr>
      <cdr:spPr>
        <a:xfrm xmlns:a="http://schemas.openxmlformats.org/drawingml/2006/main">
          <a:off x="330405" y="268820"/>
          <a:ext cx="2087399" cy="4353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8FE562E-2347-4ED1-A13F-5443EA3EE670}" type="TxLink">
            <a:rPr lang="en-US" sz="1800" b="0" i="0" u="none" strike="noStrike">
              <a:solidFill>
                <a:srgbClr val="1F497D"/>
              </a:solidFill>
              <a:latin typeface="Calibri"/>
            </a:rPr>
            <a:pPr algn="ctr"/>
            <a:t>400G total_All_All</a:t>
          </a:fld>
          <a:endParaRPr lang="en-US" sz="800"/>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10</xdr:col>
      <xdr:colOff>480785</xdr:colOff>
      <xdr:row>1</xdr:row>
      <xdr:rowOff>75973</xdr:rowOff>
    </xdr:from>
    <xdr:to>
      <xdr:col>14</xdr:col>
      <xdr:colOff>13388</xdr:colOff>
      <xdr:row>4</xdr:row>
      <xdr:rowOff>6460</xdr:rowOff>
    </xdr:to>
    <xdr:pic>
      <xdr:nvPicPr>
        <xdr:cNvPr id="3" name="Picture 2">
          <a:extLst>
            <a:ext uri="{FF2B5EF4-FFF2-40B4-BE49-F238E27FC236}">
              <a16:creationId xmlns=""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9664473" y="242661"/>
          <a:ext cx="2898103" cy="6301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135314</xdr:colOff>
      <xdr:row>6</xdr:row>
      <xdr:rowOff>57906</xdr:rowOff>
    </xdr:from>
    <xdr:to>
      <xdr:col>9</xdr:col>
      <xdr:colOff>508000</xdr:colOff>
      <xdr:row>24</xdr:row>
      <xdr:rowOff>138547</xdr:rowOff>
    </xdr:to>
    <xdr:graphicFrame macro="">
      <xdr:nvGraphicFramePr>
        <xdr:cNvPr id="3" name="Chart 2">
          <a:extLst>
            <a:ext uri="{FF2B5EF4-FFF2-40B4-BE49-F238E27FC236}">
              <a16:creationId xmlns=""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28452</xdr:colOff>
      <xdr:row>6</xdr:row>
      <xdr:rowOff>11545</xdr:rowOff>
    </xdr:from>
    <xdr:to>
      <xdr:col>20</xdr:col>
      <xdr:colOff>635001</xdr:colOff>
      <xdr:row>24</xdr:row>
      <xdr:rowOff>92364</xdr:rowOff>
    </xdr:to>
    <xdr:graphicFrame macro="">
      <xdr:nvGraphicFramePr>
        <xdr:cNvPr id="4" name="Chart 3">
          <a:extLst>
            <a:ext uri="{FF2B5EF4-FFF2-40B4-BE49-F238E27FC236}">
              <a16:creationId xmlns=""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36286</xdr:colOff>
      <xdr:row>0</xdr:row>
      <xdr:rowOff>0</xdr:rowOff>
    </xdr:from>
    <xdr:to>
      <xdr:col>22</xdr:col>
      <xdr:colOff>702818</xdr:colOff>
      <xdr:row>3</xdr:row>
      <xdr:rowOff>4192</xdr:rowOff>
    </xdr:to>
    <xdr:pic>
      <xdr:nvPicPr>
        <xdr:cNvPr id="5" name="Picture 4">
          <a:extLst>
            <a:ext uri="{FF2B5EF4-FFF2-40B4-BE49-F238E27FC236}">
              <a16:creationId xmlns="" xmlns:a16="http://schemas.microsoft.com/office/drawing/2014/main" id="{00000000-0008-0000-1400-000005000000}"/>
            </a:ext>
          </a:extLst>
        </xdr:cNvPr>
        <xdr:cNvPicPr>
          <a:picLocks noChangeAspect="1"/>
        </xdr:cNvPicPr>
      </xdr:nvPicPr>
      <xdr:blipFill>
        <a:blip xmlns:r="http://schemas.openxmlformats.org/officeDocument/2006/relationships" r:embed="rId3"/>
        <a:stretch>
          <a:fillRect/>
        </a:stretch>
      </xdr:blipFill>
      <xdr:spPr>
        <a:xfrm>
          <a:off x="13570857" y="0"/>
          <a:ext cx="2898103" cy="6301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LC%20Reports/40-100G%20Data%20Center%20study/2015%20update/Ethernet%20historical%20data%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hernet"/>
    </sheetNames>
    <sheetDataSet>
      <sheetData sheetId="0" refreshError="1">
        <row r="9">
          <cell r="AE9" t="str">
            <v>A_10G_17</v>
          </cell>
        </row>
        <row r="10">
          <cell r="AE10" t="str">
            <v>A_10G_21</v>
          </cell>
        </row>
        <row r="11">
          <cell r="AE11" t="str">
            <v>A_10G_16</v>
          </cell>
        </row>
        <row r="12">
          <cell r="AE12" t="str">
            <v>A_10G_20</v>
          </cell>
        </row>
        <row r="13">
          <cell r="AE13" t="str">
            <v>EoC</v>
          </cell>
        </row>
        <row r="14">
          <cell r="AE14" t="str">
            <v>A_40G_11</v>
          </cell>
        </row>
        <row r="15">
          <cell r="AE15" t="str">
            <v>A_100G_5</v>
          </cell>
        </row>
        <row r="16">
          <cell r="AE16" t="str">
            <v>B_10R_18</v>
          </cell>
        </row>
        <row r="17">
          <cell r="AE17" t="str">
            <v>B_10R_15</v>
          </cell>
        </row>
        <row r="18">
          <cell r="AE18" t="str">
            <v>C_1G_13</v>
          </cell>
        </row>
        <row r="19">
          <cell r="AE19" t="str">
            <v>C_1G_14</v>
          </cell>
        </row>
        <row r="20">
          <cell r="AE20" t="str">
            <v>C_1G_7</v>
          </cell>
        </row>
        <row r="21">
          <cell r="AE21" t="str">
            <v>C_1G_1</v>
          </cell>
        </row>
        <row r="22">
          <cell r="AE22" t="str">
            <v>D_FE_22</v>
          </cell>
        </row>
        <row r="23">
          <cell r="AE23" t="str">
            <v>D_40F_5</v>
          </cell>
        </row>
        <row r="24">
          <cell r="AE24" t="str">
            <v>D_40SS_11</v>
          </cell>
        </row>
        <row r="25">
          <cell r="AE25" t="str">
            <v>E_1G_13</v>
          </cell>
        </row>
        <row r="26">
          <cell r="AE26" t="str">
            <v>E_1G_14</v>
          </cell>
        </row>
        <row r="27">
          <cell r="AE27" t="str">
            <v>E_1G_8</v>
          </cell>
        </row>
        <row r="28">
          <cell r="AE28" t="str">
            <v>E_10G_19</v>
          </cell>
        </row>
        <row r="29">
          <cell r="AE29" t="str">
            <v>E_10G_17</v>
          </cell>
        </row>
        <row r="30">
          <cell r="AE30" t="str">
            <v>E_10G_21</v>
          </cell>
        </row>
        <row r="31">
          <cell r="AE31" t="str">
            <v>E_10G_15</v>
          </cell>
        </row>
        <row r="32">
          <cell r="AE32" t="str">
            <v>E_40G_5</v>
          </cell>
        </row>
        <row r="33">
          <cell r="AE33" t="str">
            <v>E_40G_11</v>
          </cell>
        </row>
        <row r="34">
          <cell r="AE34" t="str">
            <v>E_100G_5</v>
          </cell>
        </row>
        <row r="35">
          <cell r="AE35" t="str">
            <v>E_100G_6</v>
          </cell>
        </row>
        <row r="36">
          <cell r="AE36" t="str">
            <v>F_FE_22</v>
          </cell>
        </row>
        <row r="37">
          <cell r="AE37" t="str">
            <v>G_1G_14</v>
          </cell>
        </row>
        <row r="38">
          <cell r="AE38" t="str">
            <v>G_1G_10</v>
          </cell>
        </row>
        <row r="39">
          <cell r="AE39" t="str">
            <v>G_10G_17</v>
          </cell>
        </row>
        <row r="40">
          <cell r="AE40" t="str">
            <v>G_10G_21</v>
          </cell>
        </row>
        <row r="41">
          <cell r="AE41" t="str">
            <v>G_10G_15</v>
          </cell>
        </row>
        <row r="42">
          <cell r="AE42" t="str">
            <v>H_1G_14</v>
          </cell>
        </row>
        <row r="43">
          <cell r="AE43" t="str">
            <v>H_1G_10</v>
          </cell>
        </row>
        <row r="44">
          <cell r="AE44" t="str">
            <v>H_10G_21</v>
          </cell>
        </row>
        <row r="45">
          <cell r="AE45" t="str">
            <v>H_10G_15</v>
          </cell>
        </row>
        <row r="46">
          <cell r="AE46" t="str">
            <v>MISC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T44"/>
  <sheetViews>
    <sheetView showGridLines="0" tabSelected="1" zoomScale="70" zoomScaleNormal="70" zoomScalePageLayoutView="80" workbookViewId="0">
      <selection activeCell="C18" sqref="C18"/>
    </sheetView>
  </sheetViews>
  <sheetFormatPr defaultColWidth="9.1796875" defaultRowHeight="12.5"/>
  <cols>
    <col min="1" max="1" width="4.453125" style="4" customWidth="1"/>
    <col min="2" max="2" width="36.1796875" style="4" customWidth="1"/>
    <col min="3" max="3" width="41.453125" style="4" customWidth="1"/>
    <col min="4" max="16384" width="9.1796875" style="4"/>
  </cols>
  <sheetData>
    <row r="1" spans="1:20" ht="12.5" customHeight="1">
      <c r="A1" s="2"/>
      <c r="B1" s="2"/>
      <c r="C1" s="2"/>
      <c r="D1" s="2"/>
      <c r="E1" s="2"/>
      <c r="F1" s="2"/>
      <c r="G1" s="2"/>
      <c r="H1" s="2"/>
      <c r="I1" s="2"/>
      <c r="J1" s="2"/>
      <c r="K1" s="2"/>
      <c r="L1" s="2"/>
      <c r="M1" s="2"/>
      <c r="N1" s="2"/>
      <c r="O1" s="2"/>
      <c r="P1" s="2"/>
      <c r="Q1" s="2"/>
      <c r="R1" s="2"/>
      <c r="S1" s="2"/>
      <c r="T1" s="2"/>
    </row>
    <row r="2" spans="1:20" ht="20.5" customHeight="1">
      <c r="A2" s="2"/>
      <c r="B2" s="6" t="s">
        <v>68</v>
      </c>
      <c r="C2" s="337"/>
      <c r="D2" s="337"/>
      <c r="E2" s="2"/>
      <c r="F2" s="2"/>
      <c r="G2" s="2"/>
      <c r="H2" s="2"/>
      <c r="I2" s="2"/>
      <c r="J2" s="2"/>
      <c r="K2" s="2"/>
      <c r="L2" s="2"/>
      <c r="M2" s="2"/>
      <c r="N2" s="2"/>
      <c r="O2" s="2"/>
      <c r="P2" s="2"/>
      <c r="Q2" s="2"/>
      <c r="R2" s="2"/>
      <c r="S2" s="2"/>
      <c r="T2" s="2"/>
    </row>
    <row r="3" spans="1:20" ht="15.5">
      <c r="A3" s="2"/>
      <c r="B3" s="586" t="s">
        <v>448</v>
      </c>
      <c r="C3" s="210"/>
      <c r="D3" s="210"/>
      <c r="E3" s="2"/>
      <c r="F3" s="2"/>
      <c r="G3" s="2"/>
      <c r="H3" s="2"/>
      <c r="I3" s="2"/>
      <c r="J3" s="2"/>
      <c r="K3" s="2"/>
      <c r="L3" s="2"/>
      <c r="M3" s="2"/>
      <c r="N3" s="2"/>
      <c r="O3" s="2"/>
      <c r="P3" s="2"/>
      <c r="Q3" s="2"/>
      <c r="R3" s="2"/>
      <c r="S3" s="2"/>
      <c r="T3" s="2"/>
    </row>
    <row r="4" spans="1:20" ht="18.5">
      <c r="A4" s="2"/>
      <c r="B4" s="6" t="s">
        <v>32</v>
      </c>
      <c r="C4" s="337"/>
      <c r="D4" s="337"/>
      <c r="E4" s="2"/>
      <c r="F4" s="2"/>
      <c r="G4" s="2"/>
      <c r="H4" s="2"/>
      <c r="I4" s="2"/>
      <c r="J4" s="2"/>
      <c r="K4" s="2"/>
      <c r="L4" s="2"/>
      <c r="M4" s="2"/>
      <c r="N4" s="2"/>
      <c r="O4" s="2"/>
      <c r="P4" s="2"/>
      <c r="Q4" s="2"/>
      <c r="R4" s="2"/>
      <c r="S4" s="2"/>
      <c r="T4" s="2"/>
    </row>
    <row r="5" spans="1:20">
      <c r="A5" s="2"/>
      <c r="C5" s="2"/>
      <c r="D5" s="2"/>
      <c r="E5" s="2"/>
      <c r="F5" s="2"/>
      <c r="G5" s="2"/>
      <c r="H5" s="2"/>
      <c r="I5" s="2"/>
      <c r="J5" s="2"/>
      <c r="K5" s="2"/>
      <c r="L5" s="2"/>
      <c r="M5" s="2"/>
      <c r="N5" s="2"/>
      <c r="O5" s="2"/>
      <c r="P5" s="2"/>
      <c r="Q5" s="2"/>
      <c r="R5" s="2"/>
      <c r="S5" s="2"/>
      <c r="T5" s="2"/>
    </row>
    <row r="6" spans="1:20" ht="12.75" customHeight="1">
      <c r="A6" s="2"/>
      <c r="B6" s="569" t="s">
        <v>447</v>
      </c>
      <c r="C6" s="569"/>
      <c r="D6" s="569"/>
      <c r="E6" s="569"/>
      <c r="F6" s="569"/>
      <c r="G6" s="569"/>
      <c r="H6" s="569"/>
      <c r="I6" s="569"/>
      <c r="J6" s="569"/>
      <c r="K6" s="569"/>
      <c r="L6" s="569"/>
      <c r="M6" s="569"/>
      <c r="N6" s="2"/>
      <c r="O6" s="2"/>
      <c r="P6" s="2"/>
      <c r="Q6" s="2"/>
      <c r="R6" s="2"/>
      <c r="S6" s="2"/>
      <c r="T6" s="2"/>
    </row>
    <row r="7" spans="1:20">
      <c r="A7" s="2"/>
      <c r="B7" s="569"/>
      <c r="C7" s="569"/>
      <c r="D7" s="569"/>
      <c r="E7" s="569"/>
      <c r="F7" s="569"/>
      <c r="G7" s="569"/>
      <c r="H7" s="569"/>
      <c r="I7" s="569"/>
      <c r="J7" s="569"/>
      <c r="K7" s="569"/>
      <c r="L7" s="569"/>
      <c r="M7" s="569"/>
      <c r="N7" s="2"/>
      <c r="O7" s="2"/>
      <c r="P7" s="2"/>
      <c r="Q7" s="2"/>
      <c r="R7" s="2"/>
      <c r="S7" s="2"/>
      <c r="T7" s="2"/>
    </row>
    <row r="8" spans="1:20">
      <c r="A8" s="2"/>
      <c r="B8" s="569"/>
      <c r="C8" s="569"/>
      <c r="D8" s="569"/>
      <c r="E8" s="569"/>
      <c r="F8" s="569"/>
      <c r="G8" s="569"/>
      <c r="H8" s="569"/>
      <c r="I8" s="569"/>
      <c r="J8" s="569"/>
      <c r="K8" s="569"/>
      <c r="L8" s="569"/>
      <c r="M8" s="569"/>
      <c r="N8" s="2"/>
      <c r="O8" s="2"/>
      <c r="P8" s="2"/>
      <c r="Q8" s="2"/>
      <c r="R8" s="2"/>
      <c r="S8" s="2"/>
      <c r="T8" s="2"/>
    </row>
    <row r="9" spans="1:20">
      <c r="A9" s="2"/>
      <c r="B9" s="569"/>
      <c r="C9" s="569"/>
      <c r="D9" s="569"/>
      <c r="E9" s="569"/>
      <c r="F9" s="569"/>
      <c r="G9" s="569"/>
      <c r="H9" s="569"/>
      <c r="I9" s="569"/>
      <c r="J9" s="569"/>
      <c r="K9" s="569"/>
      <c r="L9" s="569"/>
      <c r="M9" s="569"/>
      <c r="N9" s="2"/>
      <c r="O9" s="2"/>
      <c r="P9" s="2"/>
      <c r="Q9" s="2"/>
      <c r="R9" s="2"/>
      <c r="S9" s="2"/>
      <c r="T9" s="2"/>
    </row>
    <row r="10" spans="1:20">
      <c r="A10" s="2"/>
      <c r="B10" s="569"/>
      <c r="C10" s="569"/>
      <c r="D10" s="569"/>
      <c r="E10" s="569"/>
      <c r="F10" s="569"/>
      <c r="G10" s="569"/>
      <c r="H10" s="569"/>
      <c r="I10" s="569"/>
      <c r="J10" s="569"/>
      <c r="K10" s="569"/>
      <c r="L10" s="569"/>
      <c r="M10" s="569"/>
      <c r="N10" s="2"/>
      <c r="O10" s="2"/>
      <c r="P10" s="2"/>
      <c r="Q10" s="2"/>
      <c r="R10" s="2"/>
      <c r="S10" s="2"/>
      <c r="T10" s="2"/>
    </row>
    <row r="11" spans="1:20" ht="24" customHeight="1">
      <c r="A11" s="2"/>
      <c r="B11" s="34" t="s">
        <v>28</v>
      </c>
      <c r="C11" s="33"/>
      <c r="D11" s="2"/>
      <c r="E11" s="2"/>
      <c r="F11" s="2"/>
      <c r="G11" s="2"/>
      <c r="H11" s="2"/>
      <c r="I11" s="2"/>
      <c r="J11" s="2"/>
      <c r="K11" s="2"/>
      <c r="L11" s="2"/>
      <c r="M11" s="2"/>
      <c r="N11" s="2"/>
      <c r="O11" s="2"/>
      <c r="P11" s="2"/>
      <c r="Q11" s="2"/>
      <c r="R11" s="2"/>
      <c r="S11" s="2"/>
      <c r="T11" s="2"/>
    </row>
    <row r="12" spans="1:20" ht="24" customHeight="1">
      <c r="A12" s="2"/>
      <c r="B12" s="33" t="s">
        <v>27</v>
      </c>
      <c r="C12" s="33"/>
      <c r="D12" s="2"/>
      <c r="E12" s="2"/>
      <c r="F12" s="2"/>
      <c r="G12" s="2"/>
      <c r="H12" s="2"/>
      <c r="I12" s="2"/>
      <c r="J12" s="2"/>
      <c r="K12" s="2"/>
      <c r="L12" s="2"/>
      <c r="M12" s="2"/>
      <c r="N12" s="2"/>
      <c r="O12" s="2"/>
      <c r="P12" s="2"/>
      <c r="Q12" s="2"/>
      <c r="R12" s="2"/>
      <c r="S12" s="2"/>
      <c r="T12" s="2"/>
    </row>
    <row r="13" spans="1:20" ht="27" customHeight="1">
      <c r="A13" s="2"/>
      <c r="B13" s="473" t="s">
        <v>381</v>
      </c>
      <c r="C13" s="2"/>
      <c r="D13" s="2"/>
      <c r="E13" s="2"/>
      <c r="F13" s="2"/>
      <c r="G13" s="2"/>
      <c r="H13" s="2"/>
      <c r="I13" s="2"/>
      <c r="J13" s="2"/>
      <c r="K13" s="2"/>
      <c r="L13" s="2"/>
      <c r="M13" s="2"/>
      <c r="N13" s="2"/>
      <c r="O13" s="2"/>
      <c r="P13" s="2"/>
      <c r="Q13" s="2"/>
      <c r="R13" s="2"/>
      <c r="S13" s="2"/>
      <c r="T13" s="2"/>
    </row>
    <row r="14" spans="1:20" ht="18.75" customHeight="1">
      <c r="A14" s="2"/>
      <c r="D14" s="2"/>
      <c r="E14" s="2"/>
      <c r="F14" s="2"/>
      <c r="G14" s="2"/>
      <c r="H14" s="2"/>
      <c r="I14" s="2"/>
      <c r="J14" s="2"/>
      <c r="K14" s="2"/>
      <c r="L14" s="2"/>
      <c r="M14" s="2"/>
      <c r="N14" s="2"/>
      <c r="O14" s="2"/>
      <c r="P14" s="2"/>
      <c r="Q14" s="2"/>
      <c r="R14" s="2"/>
      <c r="S14" s="2"/>
      <c r="T14" s="2"/>
    </row>
    <row r="15" spans="1:20">
      <c r="A15" s="2"/>
      <c r="B15" s="338"/>
      <c r="C15" s="2"/>
      <c r="D15" s="2"/>
      <c r="E15" s="2"/>
      <c r="F15" s="2"/>
      <c r="G15" s="2"/>
      <c r="H15" s="2"/>
      <c r="I15" s="2"/>
      <c r="J15" s="2"/>
      <c r="K15" s="2"/>
      <c r="L15" s="2"/>
      <c r="M15" s="2"/>
      <c r="N15" s="2"/>
      <c r="O15" s="2"/>
      <c r="P15" s="2"/>
      <c r="Q15" s="2"/>
      <c r="R15" s="2"/>
      <c r="S15" s="2"/>
      <c r="T15" s="2"/>
    </row>
    <row r="16" spans="1:20">
      <c r="A16" s="2"/>
      <c r="D16" s="2"/>
      <c r="E16" s="2"/>
      <c r="F16" s="2"/>
      <c r="G16" s="2"/>
      <c r="H16" s="2"/>
      <c r="I16" s="2"/>
      <c r="J16" s="2"/>
      <c r="K16" s="2"/>
      <c r="L16" s="2"/>
      <c r="M16" s="2"/>
      <c r="N16" s="2"/>
      <c r="O16" s="2"/>
      <c r="P16" s="2"/>
      <c r="Q16" s="2"/>
      <c r="R16" s="2"/>
      <c r="S16" s="2"/>
      <c r="T16" s="2"/>
    </row>
    <row r="17" spans="1:20">
      <c r="A17" s="2"/>
      <c r="D17" s="2"/>
      <c r="E17" s="2"/>
      <c r="F17" s="2"/>
      <c r="G17" s="2"/>
      <c r="H17" s="2"/>
      <c r="I17" s="2"/>
      <c r="J17" s="2"/>
      <c r="K17" s="2"/>
      <c r="L17" s="2"/>
      <c r="M17" s="2"/>
      <c r="N17" s="2"/>
      <c r="O17" s="2"/>
      <c r="P17" s="2"/>
      <c r="Q17" s="2"/>
      <c r="R17" s="2"/>
      <c r="S17" s="2"/>
      <c r="T17" s="2"/>
    </row>
    <row r="18" spans="1:20">
      <c r="A18" s="2"/>
      <c r="B18" s="2"/>
      <c r="C18" s="2"/>
      <c r="D18" s="2"/>
      <c r="E18" s="2"/>
      <c r="F18" s="2"/>
      <c r="G18" s="2"/>
      <c r="H18" s="2"/>
      <c r="I18" s="2"/>
      <c r="J18" s="2"/>
      <c r="K18" s="2"/>
      <c r="L18" s="2"/>
      <c r="M18" s="2"/>
      <c r="N18" s="2"/>
      <c r="O18" s="2"/>
      <c r="P18" s="2"/>
      <c r="Q18" s="2"/>
      <c r="R18" s="2"/>
      <c r="S18" s="2"/>
      <c r="T18" s="2"/>
    </row>
    <row r="19" spans="1:20">
      <c r="A19" s="2"/>
      <c r="B19" s="2"/>
      <c r="C19" s="2"/>
      <c r="D19" s="2"/>
      <c r="E19" s="2"/>
      <c r="F19" s="2"/>
      <c r="G19" s="2"/>
      <c r="H19" s="2"/>
      <c r="I19" s="2"/>
      <c r="J19" s="2"/>
      <c r="K19" s="2"/>
      <c r="L19" s="2"/>
      <c r="M19" s="2"/>
      <c r="N19" s="2"/>
      <c r="O19" s="2"/>
      <c r="P19" s="2"/>
      <c r="Q19" s="2"/>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2"/>
      <c r="B21" s="2"/>
      <c r="C21" s="2"/>
      <c r="D21" s="2"/>
      <c r="E21" s="2"/>
      <c r="F21" s="2"/>
      <c r="G21" s="2"/>
      <c r="H21" s="2"/>
      <c r="I21" s="2"/>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
      <c r="B23" s="2"/>
      <c r="C23" s="2"/>
      <c r="D23" s="2"/>
      <c r="E23" s="2"/>
      <c r="F23" s="2"/>
      <c r="G23" s="2"/>
      <c r="H23" s="2"/>
      <c r="I23" s="2"/>
      <c r="J23" s="2"/>
      <c r="K23" s="2"/>
      <c r="L23" s="2"/>
      <c r="M23" s="2"/>
      <c r="N23" s="2"/>
      <c r="O23" s="2"/>
      <c r="P23" s="2"/>
      <c r="Q23" s="2"/>
      <c r="R23" s="2"/>
      <c r="S23" s="2"/>
      <c r="T23" s="2"/>
    </row>
    <row r="24" spans="1:20">
      <c r="A24" s="2"/>
      <c r="B24" s="2"/>
      <c r="C24" s="2"/>
      <c r="D24" s="2"/>
      <c r="E24" s="2"/>
      <c r="F24" s="2"/>
      <c r="G24" s="2"/>
      <c r="H24" s="2"/>
      <c r="I24" s="2"/>
      <c r="J24" s="2"/>
      <c r="K24" s="2"/>
      <c r="L24" s="2"/>
      <c r="M24" s="2"/>
      <c r="N24" s="2"/>
      <c r="O24" s="2"/>
      <c r="P24" s="2"/>
      <c r="Q24" s="2"/>
      <c r="R24" s="2"/>
      <c r="S24" s="2"/>
      <c r="T24" s="2"/>
    </row>
    <row r="25" spans="1:20">
      <c r="A25" s="2"/>
      <c r="B25" s="2"/>
      <c r="C25" s="2"/>
      <c r="D25" s="2"/>
      <c r="E25" s="2"/>
      <c r="F25" s="2"/>
      <c r="G25" s="2"/>
      <c r="H25" s="2"/>
      <c r="I25" s="2"/>
      <c r="J25" s="2"/>
      <c r="K25" s="2"/>
      <c r="L25" s="2"/>
      <c r="M25" s="2"/>
      <c r="N25" s="2"/>
      <c r="O25" s="2"/>
      <c r="P25" s="2"/>
      <c r="Q25" s="2"/>
      <c r="R25" s="2"/>
      <c r="S25" s="2"/>
      <c r="T25" s="2"/>
    </row>
    <row r="26" spans="1:20">
      <c r="A26" s="2"/>
      <c r="B26" s="2"/>
      <c r="C26" s="2"/>
      <c r="D26" s="2"/>
      <c r="E26" s="2"/>
      <c r="F26" s="2"/>
      <c r="G26" s="2"/>
      <c r="H26" s="2"/>
      <c r="I26" s="2"/>
      <c r="J26" s="2"/>
      <c r="K26" s="2"/>
      <c r="L26" s="2"/>
      <c r="M26" s="2"/>
      <c r="N26" s="2"/>
      <c r="O26" s="2"/>
      <c r="P26" s="2"/>
      <c r="Q26" s="2"/>
      <c r="R26" s="2"/>
      <c r="S26" s="2"/>
      <c r="T26" s="2"/>
    </row>
    <row r="27" spans="1:20">
      <c r="A27" s="2"/>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29" spans="1:20">
      <c r="A29" s="2"/>
      <c r="B29" s="2"/>
      <c r="C29" s="2"/>
      <c r="D29" s="2"/>
      <c r="E29" s="2"/>
      <c r="F29" s="2"/>
      <c r="G29" s="2"/>
      <c r="H29" s="2"/>
      <c r="I29" s="2"/>
      <c r="J29" s="2"/>
      <c r="K29" s="2"/>
      <c r="L29" s="2"/>
      <c r="M29" s="2"/>
      <c r="N29" s="2"/>
      <c r="O29" s="2"/>
      <c r="P29" s="2"/>
      <c r="Q29" s="2"/>
      <c r="R29" s="2"/>
      <c r="S29" s="2"/>
      <c r="T29" s="2"/>
    </row>
    <row r="30" spans="1:20">
      <c r="A30" s="2"/>
      <c r="B30" s="2"/>
      <c r="C30" s="2"/>
      <c r="D30" s="2"/>
      <c r="E30" s="2"/>
      <c r="F30" s="2"/>
      <c r="G30" s="2"/>
      <c r="H30" s="2"/>
      <c r="I30" s="2"/>
      <c r="J30" s="2"/>
      <c r="K30" s="2"/>
      <c r="L30" s="2"/>
      <c r="M30" s="2"/>
      <c r="N30" s="2"/>
      <c r="O30" s="2"/>
      <c r="P30" s="2"/>
      <c r="Q30" s="2"/>
      <c r="R30" s="2"/>
      <c r="S30" s="2"/>
      <c r="T30" s="2"/>
    </row>
    <row r="31" spans="1:20">
      <c r="A31" s="2"/>
      <c r="B31" s="2"/>
      <c r="C31" s="2"/>
      <c r="D31" s="2"/>
      <c r="E31" s="2"/>
      <c r="F31" s="2"/>
      <c r="G31" s="2"/>
      <c r="H31" s="2"/>
      <c r="I31" s="2"/>
      <c r="J31" s="2"/>
      <c r="K31" s="2"/>
      <c r="L31" s="2"/>
      <c r="M31" s="2"/>
      <c r="N31" s="2"/>
      <c r="O31" s="2"/>
      <c r="P31" s="2"/>
      <c r="Q31" s="2"/>
      <c r="R31" s="2"/>
      <c r="S31" s="2"/>
      <c r="T31" s="2"/>
    </row>
    <row r="32" spans="1:20">
      <c r="A32" s="2"/>
      <c r="B32" s="2"/>
      <c r="C32" s="2"/>
      <c r="D32" s="2"/>
      <c r="E32" s="2"/>
      <c r="F32" s="2"/>
      <c r="G32" s="2"/>
      <c r="H32" s="2"/>
      <c r="I32" s="2"/>
      <c r="J32" s="2"/>
      <c r="K32" s="2"/>
      <c r="L32" s="2"/>
      <c r="M32" s="2"/>
      <c r="N32" s="2"/>
      <c r="O32" s="2"/>
      <c r="P32" s="2"/>
      <c r="Q32" s="2"/>
      <c r="R32" s="2"/>
      <c r="S32" s="2"/>
      <c r="T32" s="2"/>
    </row>
    <row r="33" spans="1:20">
      <c r="A33" s="2"/>
      <c r="B33" s="2"/>
      <c r="C33" s="2"/>
      <c r="D33" s="2"/>
      <c r="E33" s="2"/>
      <c r="F33" s="2"/>
      <c r="G33" s="2"/>
      <c r="H33" s="2"/>
      <c r="I33" s="2"/>
      <c r="J33" s="2"/>
      <c r="K33" s="2"/>
      <c r="L33" s="2"/>
      <c r="M33" s="2"/>
      <c r="N33" s="2"/>
      <c r="O33" s="2"/>
      <c r="P33" s="2"/>
      <c r="Q33" s="2"/>
      <c r="R33" s="2"/>
      <c r="S33" s="2"/>
      <c r="T33" s="2"/>
    </row>
    <row r="34" spans="1:20">
      <c r="A34" s="2"/>
      <c r="B34" s="2"/>
      <c r="C34" s="2"/>
      <c r="D34" s="2"/>
      <c r="E34" s="2"/>
      <c r="F34" s="2"/>
      <c r="G34" s="2"/>
      <c r="H34" s="2"/>
      <c r="I34" s="2"/>
      <c r="J34" s="2"/>
      <c r="K34" s="2"/>
      <c r="L34" s="2"/>
      <c r="M34" s="2"/>
      <c r="N34" s="2"/>
      <c r="O34" s="2"/>
      <c r="P34" s="2"/>
      <c r="Q34" s="2"/>
      <c r="R34" s="2"/>
      <c r="S34" s="2"/>
      <c r="T34" s="2"/>
    </row>
    <row r="35" spans="1:20">
      <c r="A35" s="2"/>
      <c r="B35" s="2"/>
      <c r="C35" s="2"/>
      <c r="D35" s="2"/>
      <c r="E35" s="2"/>
      <c r="F35" s="2"/>
      <c r="G35" s="2"/>
      <c r="H35" s="2"/>
      <c r="I35" s="2"/>
      <c r="J35" s="2"/>
      <c r="K35" s="2"/>
      <c r="L35" s="2"/>
      <c r="M35" s="2"/>
      <c r="N35" s="2"/>
      <c r="O35" s="2"/>
      <c r="P35" s="2"/>
      <c r="Q35" s="2"/>
      <c r="R35" s="2"/>
      <c r="S35" s="2"/>
      <c r="T35" s="2"/>
    </row>
    <row r="36" spans="1:20">
      <c r="A36" s="2"/>
      <c r="B36" s="2"/>
      <c r="C36" s="2"/>
      <c r="D36" s="2"/>
      <c r="E36" s="2"/>
      <c r="F36" s="2"/>
      <c r="G36" s="2"/>
      <c r="H36" s="2"/>
      <c r="I36" s="2"/>
      <c r="J36" s="2"/>
      <c r="K36" s="2"/>
      <c r="L36" s="2"/>
      <c r="M36" s="2"/>
      <c r="N36" s="2"/>
      <c r="O36" s="2"/>
      <c r="P36" s="2"/>
      <c r="Q36" s="2"/>
      <c r="R36" s="2"/>
      <c r="S36" s="2"/>
      <c r="T36" s="2"/>
    </row>
    <row r="37" spans="1:20">
      <c r="A37" s="2"/>
      <c r="B37" s="2"/>
      <c r="C37" s="2"/>
      <c r="D37" s="2"/>
      <c r="E37" s="2"/>
      <c r="F37" s="2"/>
      <c r="G37" s="2"/>
      <c r="H37" s="2"/>
      <c r="I37" s="2"/>
      <c r="J37" s="2"/>
      <c r="K37" s="2"/>
      <c r="L37" s="2"/>
      <c r="M37" s="2"/>
      <c r="N37" s="2"/>
      <c r="O37" s="2"/>
      <c r="P37" s="2"/>
      <c r="Q37" s="2"/>
      <c r="R37" s="2"/>
      <c r="S37" s="2"/>
      <c r="T37" s="2"/>
    </row>
    <row r="38" spans="1:20">
      <c r="A38" s="2"/>
      <c r="B38" s="2"/>
      <c r="C38" s="2"/>
      <c r="D38" s="2"/>
      <c r="E38" s="2"/>
      <c r="F38" s="2"/>
      <c r="G38" s="2"/>
      <c r="H38" s="2"/>
      <c r="I38" s="2"/>
      <c r="J38" s="2"/>
      <c r="K38" s="2"/>
      <c r="L38" s="2"/>
      <c r="M38" s="2"/>
      <c r="N38" s="2"/>
      <c r="O38" s="2"/>
      <c r="P38" s="2"/>
      <c r="Q38" s="2"/>
      <c r="R38" s="2"/>
      <c r="S38" s="2"/>
      <c r="T38" s="2"/>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c r="A41" s="2"/>
      <c r="B41" s="2"/>
      <c r="C41" s="2"/>
      <c r="D41" s="2"/>
      <c r="E41" s="2"/>
      <c r="F41" s="2"/>
      <c r="G41" s="2"/>
      <c r="H41" s="2"/>
      <c r="I41" s="2"/>
      <c r="J41" s="2"/>
      <c r="K41" s="2"/>
      <c r="L41" s="2"/>
      <c r="M41" s="2"/>
      <c r="N41" s="2"/>
      <c r="O41" s="2"/>
      <c r="P41" s="2"/>
      <c r="Q41" s="2"/>
      <c r="R41" s="2"/>
      <c r="S41" s="2"/>
      <c r="T41" s="2"/>
    </row>
    <row r="42" spans="1:20">
      <c r="A42" s="2"/>
      <c r="B42" s="2"/>
      <c r="C42" s="2"/>
      <c r="D42" s="2"/>
      <c r="E42" s="2"/>
      <c r="F42" s="2"/>
      <c r="G42" s="2"/>
      <c r="H42" s="2"/>
      <c r="I42" s="2"/>
      <c r="J42" s="2"/>
      <c r="K42" s="2"/>
      <c r="L42" s="2"/>
      <c r="M42" s="2"/>
      <c r="N42" s="2"/>
      <c r="O42" s="2"/>
      <c r="P42" s="2"/>
      <c r="Q42" s="2"/>
      <c r="R42" s="2"/>
      <c r="S42" s="2"/>
      <c r="T42" s="2"/>
    </row>
    <row r="43" spans="1:20">
      <c r="A43" s="2"/>
      <c r="B43" s="2"/>
      <c r="C43" s="2"/>
      <c r="D43" s="2"/>
      <c r="E43" s="2"/>
      <c r="F43" s="2"/>
      <c r="G43" s="2"/>
      <c r="H43" s="2"/>
      <c r="I43" s="2"/>
      <c r="J43" s="2"/>
      <c r="K43" s="2"/>
      <c r="L43" s="2"/>
      <c r="M43" s="2"/>
      <c r="N43" s="2"/>
      <c r="O43" s="2"/>
      <c r="P43" s="2"/>
      <c r="Q43" s="2"/>
      <c r="R43" s="2"/>
      <c r="S43" s="2"/>
      <c r="T43" s="2"/>
    </row>
    <row r="44" spans="1:20">
      <c r="A44" s="2"/>
      <c r="B44" s="2"/>
      <c r="C44" s="2"/>
      <c r="D44" s="2"/>
      <c r="E44" s="2"/>
      <c r="F44" s="2"/>
      <c r="G44" s="2"/>
      <c r="H44" s="2"/>
      <c r="I44" s="2"/>
      <c r="J44" s="2"/>
      <c r="K44" s="2"/>
      <c r="L44" s="2"/>
      <c r="M44" s="2"/>
      <c r="N44" s="2"/>
      <c r="O44" s="2"/>
      <c r="P44" s="2"/>
      <c r="Q44" s="2"/>
      <c r="R44" s="2"/>
      <c r="S44" s="2"/>
      <c r="T44" s="2"/>
    </row>
  </sheetData>
  <mergeCells count="1">
    <mergeCell ref="B6:M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O57"/>
  <sheetViews>
    <sheetView showGridLines="0" zoomScale="70" zoomScaleNormal="70" zoomScalePageLayoutView="80" workbookViewId="0">
      <selection activeCell="B2" sqref="B2:D4"/>
    </sheetView>
  </sheetViews>
  <sheetFormatPr defaultColWidth="9.1796875" defaultRowHeight="12.5"/>
  <cols>
    <col min="1" max="1" width="4.453125" style="1" customWidth="1"/>
    <col min="2" max="2" width="16.81640625" style="1" customWidth="1"/>
    <col min="3" max="13" width="9" style="1" customWidth="1"/>
    <col min="14" max="14" width="11.453125" style="1" bestFit="1" customWidth="1"/>
    <col min="15" max="16384" width="9.1796875" style="1"/>
  </cols>
  <sheetData>
    <row r="1" spans="1:15" ht="12.5" customHeight="1"/>
    <row r="2" spans="1:15" ht="20.5" customHeight="1">
      <c r="B2" s="6" t="str">
        <f>Introduction!$B$2</f>
        <v>LightCounting Ethernet Transceivers Forecast</v>
      </c>
      <c r="C2" s="337"/>
      <c r="D2" s="337"/>
    </row>
    <row r="3" spans="1:15" ht="15.5">
      <c r="B3" s="40" t="str">
        <f>Introduction!$B$3</f>
        <v>September 2020 - sample -- for illustrative purposes only</v>
      </c>
      <c r="C3" s="210"/>
      <c r="D3" s="210"/>
    </row>
    <row r="4" spans="1:15" ht="18.5">
      <c r="B4" s="6" t="s">
        <v>0</v>
      </c>
      <c r="C4" s="337"/>
      <c r="D4" s="337"/>
    </row>
    <row r="6" spans="1:15">
      <c r="B6" s="22" t="s">
        <v>23</v>
      </c>
      <c r="C6" s="21"/>
      <c r="D6" s="21"/>
      <c r="E6" s="21"/>
      <c r="F6" s="21"/>
      <c r="G6" s="21"/>
      <c r="H6" s="21"/>
      <c r="I6" s="21"/>
      <c r="J6" s="7"/>
      <c r="K6" s="7"/>
      <c r="L6" s="7"/>
      <c r="M6" s="7"/>
      <c r="N6" s="7"/>
      <c r="O6" s="7"/>
    </row>
    <row r="7" spans="1:15">
      <c r="B7" s="22" t="s">
        <v>26</v>
      </c>
      <c r="C7" s="21"/>
      <c r="D7" s="21"/>
      <c r="E7" s="21"/>
      <c r="F7" s="21"/>
      <c r="G7" s="21"/>
      <c r="H7" s="21"/>
      <c r="I7" s="21"/>
      <c r="J7" s="7"/>
      <c r="K7" s="7"/>
      <c r="L7" s="7"/>
      <c r="M7" s="7"/>
      <c r="N7" s="7"/>
      <c r="O7" s="7"/>
    </row>
    <row r="8" spans="1:15">
      <c r="B8" s="22" t="s">
        <v>24</v>
      </c>
      <c r="C8" s="8"/>
      <c r="D8" s="8"/>
      <c r="E8" s="8"/>
      <c r="F8" s="8"/>
      <c r="G8" s="8"/>
      <c r="H8" s="8"/>
      <c r="I8" s="8"/>
      <c r="J8" s="7"/>
      <c r="K8" s="7"/>
      <c r="L8" s="7"/>
      <c r="M8" s="7"/>
      <c r="N8" s="7"/>
      <c r="O8" s="7"/>
    </row>
    <row r="9" spans="1:15">
      <c r="A9" s="19"/>
      <c r="B9" s="1" t="s">
        <v>25</v>
      </c>
      <c r="C9" s="21"/>
      <c r="D9" s="21"/>
      <c r="E9" s="21"/>
      <c r="F9" s="21"/>
      <c r="G9" s="21"/>
      <c r="H9" s="21"/>
      <c r="I9" s="21"/>
      <c r="J9" s="7"/>
      <c r="K9" s="7"/>
      <c r="L9" s="7"/>
      <c r="M9" s="7"/>
      <c r="N9" s="7"/>
      <c r="O9" s="7"/>
    </row>
    <row r="10" spans="1:15">
      <c r="B10" s="7"/>
      <c r="C10" s="7"/>
      <c r="D10" s="7"/>
      <c r="E10" s="7"/>
      <c r="F10" s="7"/>
      <c r="G10" s="7"/>
      <c r="H10" s="7"/>
      <c r="I10" s="7"/>
      <c r="J10" s="7"/>
      <c r="K10" s="7"/>
      <c r="L10" s="7"/>
      <c r="M10" s="7"/>
      <c r="N10" s="7"/>
      <c r="O10" s="7"/>
    </row>
    <row r="11" spans="1:15">
      <c r="B11" s="7"/>
      <c r="C11" s="7"/>
      <c r="D11" s="7"/>
      <c r="E11" s="7"/>
      <c r="F11" s="7"/>
      <c r="G11" s="7"/>
      <c r="H11" s="7"/>
      <c r="I11" s="7"/>
      <c r="J11" s="7"/>
      <c r="K11" s="7"/>
      <c r="L11" s="7"/>
      <c r="M11" s="7"/>
      <c r="N11" s="7"/>
      <c r="O11" s="7"/>
    </row>
    <row r="12" spans="1:15">
      <c r="B12" s="7"/>
      <c r="C12" s="7"/>
      <c r="D12" s="7"/>
      <c r="E12" s="7"/>
      <c r="F12" s="7"/>
      <c r="G12" s="7"/>
      <c r="H12" s="7"/>
      <c r="I12" s="7"/>
      <c r="J12" s="7"/>
      <c r="K12" s="7"/>
      <c r="L12" s="7"/>
      <c r="M12" s="7"/>
      <c r="N12" s="7"/>
      <c r="O12" s="7"/>
    </row>
    <row r="13" spans="1:15">
      <c r="B13" s="7"/>
      <c r="C13" s="7"/>
      <c r="D13" s="7"/>
      <c r="E13" s="7"/>
      <c r="F13" s="7"/>
      <c r="G13" s="7"/>
      <c r="H13" s="7"/>
      <c r="I13" s="7"/>
      <c r="J13" s="7"/>
      <c r="K13" s="7"/>
      <c r="L13" s="7"/>
      <c r="M13" s="7"/>
      <c r="N13" s="7"/>
      <c r="O13" s="7"/>
    </row>
    <row r="14" spans="1:15">
      <c r="B14" s="7"/>
      <c r="C14" s="7"/>
      <c r="D14" s="7"/>
      <c r="E14" s="7"/>
      <c r="F14" s="7"/>
      <c r="G14" s="7"/>
      <c r="H14" s="7"/>
      <c r="I14" s="7"/>
      <c r="J14" s="7"/>
      <c r="K14" s="7"/>
      <c r="L14" s="7"/>
      <c r="M14" s="7"/>
      <c r="N14" s="7"/>
      <c r="O14" s="7"/>
    </row>
    <row r="15" spans="1:15">
      <c r="B15" s="7"/>
      <c r="C15" s="7"/>
      <c r="D15" s="7"/>
      <c r="E15" s="7"/>
      <c r="F15" s="7"/>
      <c r="G15" s="7"/>
      <c r="H15" s="7"/>
      <c r="I15" s="7"/>
      <c r="J15" s="7"/>
      <c r="K15" s="7"/>
      <c r="L15" s="7"/>
      <c r="M15" s="7"/>
      <c r="N15" s="7"/>
      <c r="O15" s="7"/>
    </row>
    <row r="16" spans="1:15">
      <c r="B16" s="7"/>
      <c r="C16" s="7"/>
      <c r="D16" s="7"/>
      <c r="E16" s="7"/>
      <c r="F16" s="7"/>
      <c r="G16" s="7"/>
      <c r="H16" s="7"/>
      <c r="I16" s="7"/>
      <c r="J16" s="7"/>
      <c r="K16" s="7"/>
      <c r="L16" s="7"/>
      <c r="M16" s="7"/>
      <c r="N16" s="7"/>
      <c r="O16" s="7"/>
    </row>
    <row r="17" spans="2:15">
      <c r="B17" s="7"/>
      <c r="C17" s="7"/>
      <c r="D17" s="7"/>
      <c r="E17" s="7"/>
      <c r="F17" s="7"/>
      <c r="G17" s="7"/>
      <c r="H17" s="7"/>
      <c r="I17" s="7"/>
      <c r="J17" s="7"/>
      <c r="K17" s="7"/>
      <c r="L17" s="7"/>
      <c r="M17" s="7"/>
      <c r="N17" s="7"/>
      <c r="O17" s="7"/>
    </row>
    <row r="18" spans="2:15">
      <c r="B18" s="7"/>
      <c r="C18" s="7"/>
      <c r="D18" s="7"/>
      <c r="E18" s="7"/>
      <c r="F18" s="7"/>
      <c r="G18" s="7"/>
      <c r="H18" s="7"/>
      <c r="I18" s="7"/>
      <c r="J18" s="7"/>
      <c r="K18" s="7"/>
      <c r="L18" s="7"/>
      <c r="M18" s="7"/>
      <c r="N18" s="7"/>
      <c r="O18" s="7"/>
    </row>
    <row r="19" spans="2:15">
      <c r="B19" s="7"/>
      <c r="C19" s="7"/>
      <c r="D19" s="7"/>
      <c r="E19" s="7"/>
      <c r="F19" s="7"/>
      <c r="G19" s="7"/>
      <c r="H19" s="7"/>
      <c r="I19" s="7"/>
      <c r="J19" s="7"/>
      <c r="K19" s="7"/>
      <c r="L19" s="7"/>
      <c r="M19" s="7"/>
      <c r="N19" s="7"/>
      <c r="O19" s="7"/>
    </row>
    <row r="20" spans="2:15">
      <c r="B20" s="7"/>
      <c r="C20" s="7"/>
      <c r="D20" s="7"/>
      <c r="E20" s="7"/>
      <c r="F20" s="7"/>
      <c r="G20" s="7"/>
      <c r="H20" s="7"/>
      <c r="I20" s="7"/>
      <c r="J20" s="7"/>
      <c r="K20" s="7"/>
      <c r="L20" s="7"/>
      <c r="M20" s="7"/>
      <c r="N20" s="7"/>
      <c r="O20" s="7"/>
    </row>
    <row r="21" spans="2:15">
      <c r="B21" s="7"/>
      <c r="C21" s="7"/>
      <c r="D21" s="7"/>
      <c r="E21" s="7"/>
      <c r="F21" s="7"/>
      <c r="G21" s="7"/>
      <c r="H21" s="7"/>
      <c r="I21" s="7"/>
      <c r="J21" s="7"/>
      <c r="K21" s="7"/>
      <c r="L21" s="7"/>
      <c r="M21" s="7"/>
      <c r="N21" s="7"/>
      <c r="O21" s="7"/>
    </row>
    <row r="22" spans="2:15" s="16" customFormat="1">
      <c r="B22" s="15"/>
      <c r="C22" s="23"/>
      <c r="D22" s="17"/>
      <c r="E22" s="17"/>
      <c r="F22" s="17"/>
      <c r="G22" s="17"/>
      <c r="H22" s="17"/>
      <c r="I22" s="17"/>
      <c r="J22" s="17"/>
      <c r="K22" s="24"/>
    </row>
    <row r="23" spans="2:15" ht="13">
      <c r="B23" s="25" t="s">
        <v>1</v>
      </c>
      <c r="C23" s="7"/>
      <c r="D23" s="7"/>
      <c r="E23" s="7"/>
      <c r="F23" s="7"/>
      <c r="G23" s="7"/>
      <c r="H23" s="7"/>
      <c r="I23" s="7"/>
      <c r="J23" s="7"/>
      <c r="K23" s="7"/>
      <c r="L23" s="7"/>
      <c r="M23" s="7"/>
      <c r="N23" s="7"/>
      <c r="O23" s="7"/>
    </row>
    <row r="24" spans="2:15">
      <c r="B24" s="7"/>
      <c r="C24" s="7"/>
      <c r="D24" s="7"/>
      <c r="E24" s="7"/>
      <c r="F24" s="7"/>
      <c r="G24" s="7"/>
      <c r="H24" s="7"/>
      <c r="I24" s="7"/>
      <c r="J24" s="7"/>
      <c r="K24" s="7"/>
      <c r="L24" s="7"/>
      <c r="M24" s="7"/>
      <c r="N24" s="7"/>
      <c r="O24" s="7"/>
    </row>
    <row r="25" spans="2:15">
      <c r="B25" s="19" t="s">
        <v>2</v>
      </c>
      <c r="C25" s="19"/>
      <c r="D25" s="19"/>
      <c r="E25" s="19"/>
      <c r="F25" s="19"/>
      <c r="G25" s="19"/>
      <c r="H25" s="19"/>
      <c r="I25" s="19"/>
      <c r="J25" s="7"/>
      <c r="K25" s="7"/>
      <c r="L25" s="7"/>
      <c r="M25" s="7"/>
      <c r="N25" s="7"/>
      <c r="O25" s="7"/>
    </row>
    <row r="26" spans="2:15">
      <c r="B26" s="19"/>
      <c r="C26" s="19"/>
      <c r="D26" s="19"/>
      <c r="E26" s="19"/>
      <c r="F26" s="19"/>
      <c r="G26" s="19"/>
      <c r="H26" s="19"/>
      <c r="I26" s="19"/>
      <c r="J26" s="7"/>
      <c r="K26" s="7"/>
      <c r="L26" s="7"/>
      <c r="M26" s="7"/>
      <c r="N26" s="7"/>
      <c r="O26" s="7"/>
    </row>
    <row r="27" spans="2:15" ht="13">
      <c r="B27" s="20" t="s">
        <v>3</v>
      </c>
      <c r="C27" s="19"/>
      <c r="D27" s="19"/>
      <c r="E27" s="19"/>
      <c r="F27" s="19"/>
      <c r="G27" s="19"/>
      <c r="H27" s="19"/>
      <c r="I27" s="19"/>
      <c r="J27" s="7"/>
      <c r="K27" s="7"/>
      <c r="L27" s="7"/>
      <c r="M27" s="7"/>
      <c r="N27" s="7"/>
      <c r="O27" s="7"/>
    </row>
    <row r="28" spans="2:15" ht="13">
      <c r="B28" s="20"/>
      <c r="C28" s="19"/>
      <c r="D28" s="19"/>
      <c r="E28" s="19"/>
      <c r="F28" s="19"/>
      <c r="G28" s="19"/>
      <c r="H28" s="19"/>
      <c r="I28" s="19"/>
      <c r="J28" s="7"/>
      <c r="K28" s="7"/>
      <c r="L28" s="7"/>
      <c r="M28" s="7"/>
      <c r="N28" s="7"/>
      <c r="O28" s="7"/>
    </row>
    <row r="29" spans="2:15" ht="13.5" customHeight="1">
      <c r="B29" s="570" t="s">
        <v>4</v>
      </c>
      <c r="C29" s="570"/>
      <c r="D29" s="570"/>
      <c r="E29" s="570"/>
      <c r="F29" s="570"/>
      <c r="G29" s="570"/>
      <c r="H29" s="570"/>
      <c r="I29" s="570"/>
      <c r="J29" s="7"/>
      <c r="K29" s="7"/>
      <c r="L29" s="7"/>
      <c r="M29" s="7"/>
      <c r="N29" s="7"/>
      <c r="O29" s="7"/>
    </row>
    <row r="30" spans="2:15">
      <c r="B30" s="570"/>
      <c r="C30" s="570"/>
      <c r="D30" s="570"/>
      <c r="E30" s="570"/>
      <c r="F30" s="570"/>
      <c r="G30" s="570"/>
      <c r="H30" s="570"/>
      <c r="I30" s="570"/>
      <c r="J30" s="7"/>
      <c r="K30" s="7"/>
      <c r="L30" s="7"/>
      <c r="M30" s="7"/>
      <c r="N30" s="7"/>
      <c r="O30" s="7"/>
    </row>
    <row r="31" spans="2:15">
      <c r="B31" s="570"/>
      <c r="C31" s="570"/>
      <c r="D31" s="570"/>
      <c r="E31" s="570"/>
      <c r="F31" s="570"/>
      <c r="G31" s="570"/>
      <c r="H31" s="570"/>
      <c r="I31" s="570"/>
      <c r="J31" s="7"/>
      <c r="K31" s="7"/>
      <c r="L31" s="7"/>
      <c r="M31" s="7"/>
      <c r="N31" s="7"/>
      <c r="O31" s="7"/>
    </row>
    <row r="32" spans="2:15">
      <c r="B32" s="570"/>
      <c r="C32" s="570"/>
      <c r="D32" s="570"/>
      <c r="E32" s="570"/>
      <c r="F32" s="570"/>
      <c r="G32" s="570"/>
      <c r="H32" s="570"/>
      <c r="I32" s="570"/>
      <c r="J32" s="7"/>
      <c r="K32" s="7"/>
      <c r="L32" s="7"/>
      <c r="M32" s="7"/>
      <c r="N32" s="7"/>
      <c r="O32" s="7"/>
    </row>
    <row r="33" spans="2:15">
      <c r="B33" s="19"/>
      <c r="C33" s="19"/>
      <c r="D33" s="19"/>
      <c r="E33" s="19"/>
      <c r="F33" s="19"/>
      <c r="G33" s="19"/>
      <c r="H33" s="19"/>
      <c r="I33" s="19"/>
      <c r="J33" s="7"/>
      <c r="K33" s="7"/>
      <c r="L33" s="7"/>
      <c r="M33" s="7"/>
      <c r="N33" s="7"/>
      <c r="O33" s="7"/>
    </row>
    <row r="34" spans="2:15" ht="13">
      <c r="B34" s="20" t="s">
        <v>5</v>
      </c>
      <c r="C34" s="19"/>
      <c r="D34" s="19"/>
      <c r="E34" s="19"/>
      <c r="F34" s="19"/>
      <c r="G34" s="19"/>
      <c r="H34" s="19"/>
      <c r="I34" s="19"/>
      <c r="J34" s="7"/>
      <c r="K34" s="7"/>
      <c r="L34" s="7"/>
      <c r="M34" s="7"/>
      <c r="N34" s="7"/>
      <c r="O34" s="7"/>
    </row>
    <row r="35" spans="2:15" ht="13.5" customHeight="1">
      <c r="B35" s="570" t="s">
        <v>6</v>
      </c>
      <c r="C35" s="570"/>
      <c r="D35" s="570"/>
      <c r="E35" s="570"/>
      <c r="F35" s="570"/>
      <c r="G35" s="570"/>
      <c r="H35" s="570"/>
      <c r="I35" s="570"/>
      <c r="J35" s="7"/>
      <c r="K35" s="7"/>
      <c r="L35" s="7"/>
      <c r="M35" s="7"/>
      <c r="N35" s="7"/>
      <c r="O35" s="7"/>
    </row>
    <row r="36" spans="2:15">
      <c r="B36" s="570"/>
      <c r="C36" s="570"/>
      <c r="D36" s="570"/>
      <c r="E36" s="570"/>
      <c r="F36" s="570"/>
      <c r="G36" s="570"/>
      <c r="H36" s="570"/>
      <c r="I36" s="570"/>
      <c r="J36" s="7"/>
      <c r="K36" s="7"/>
      <c r="L36" s="7"/>
      <c r="M36" s="7"/>
      <c r="N36" s="7"/>
      <c r="O36" s="7"/>
    </row>
    <row r="37" spans="2:15">
      <c r="B37" s="570"/>
      <c r="C37" s="570"/>
      <c r="D37" s="570"/>
      <c r="E37" s="570"/>
      <c r="F37" s="570"/>
      <c r="G37" s="570"/>
      <c r="H37" s="570"/>
      <c r="I37" s="570"/>
      <c r="J37" s="7"/>
      <c r="K37" s="7"/>
      <c r="L37" s="7"/>
      <c r="M37" s="7"/>
      <c r="N37" s="7"/>
      <c r="O37" s="7"/>
    </row>
    <row r="38" spans="2:15">
      <c r="B38" s="570"/>
      <c r="C38" s="570"/>
      <c r="D38" s="570"/>
      <c r="E38" s="570"/>
      <c r="F38" s="570"/>
      <c r="G38" s="570"/>
      <c r="H38" s="570"/>
      <c r="I38" s="570"/>
      <c r="J38" s="7"/>
      <c r="K38" s="7"/>
      <c r="L38" s="7"/>
      <c r="M38" s="7"/>
      <c r="N38" s="7"/>
      <c r="O38" s="7"/>
    </row>
    <row r="39" spans="2:15">
      <c r="B39" s="19"/>
      <c r="C39" s="19"/>
      <c r="D39" s="19"/>
      <c r="E39" s="19"/>
      <c r="F39" s="19"/>
      <c r="G39" s="19"/>
      <c r="H39" s="19"/>
      <c r="I39" s="19"/>
      <c r="J39" s="7"/>
      <c r="K39" s="7"/>
      <c r="L39" s="7"/>
      <c r="M39" s="7"/>
      <c r="N39" s="7"/>
      <c r="O39" s="7"/>
    </row>
    <row r="40" spans="2:15" ht="13">
      <c r="B40" s="20" t="s">
        <v>7</v>
      </c>
      <c r="C40" s="19"/>
      <c r="D40" s="19"/>
      <c r="E40" s="19"/>
      <c r="F40" s="19"/>
      <c r="G40" s="19"/>
      <c r="H40" s="19"/>
      <c r="I40" s="19"/>
      <c r="J40" s="7"/>
      <c r="K40" s="7"/>
      <c r="L40" s="7"/>
      <c r="M40" s="7"/>
      <c r="N40" s="7"/>
      <c r="O40" s="7"/>
    </row>
    <row r="41" spans="2:15" ht="13.5" customHeight="1">
      <c r="B41" s="570" t="s">
        <v>8</v>
      </c>
      <c r="C41" s="570"/>
      <c r="D41" s="570"/>
      <c r="E41" s="570"/>
      <c r="F41" s="570"/>
      <c r="G41" s="570"/>
      <c r="H41" s="570"/>
      <c r="I41" s="570"/>
      <c r="J41" s="7"/>
      <c r="K41" s="7"/>
      <c r="L41" s="7"/>
      <c r="M41" s="7"/>
      <c r="N41" s="7"/>
      <c r="O41" s="7"/>
    </row>
    <row r="42" spans="2:15">
      <c r="B42" s="570"/>
      <c r="C42" s="570"/>
      <c r="D42" s="570"/>
      <c r="E42" s="570"/>
      <c r="F42" s="570"/>
      <c r="G42" s="570"/>
      <c r="H42" s="570"/>
      <c r="I42" s="570"/>
      <c r="J42" s="7"/>
      <c r="K42" s="7"/>
      <c r="L42" s="7"/>
      <c r="M42" s="7"/>
      <c r="N42" s="7"/>
      <c r="O42" s="7"/>
    </row>
    <row r="43" spans="2:15">
      <c r="B43" s="570"/>
      <c r="C43" s="570"/>
      <c r="D43" s="570"/>
      <c r="E43" s="570"/>
      <c r="F43" s="570"/>
      <c r="G43" s="570"/>
      <c r="H43" s="570"/>
      <c r="I43" s="570"/>
      <c r="J43" s="7"/>
      <c r="K43" s="7"/>
      <c r="L43" s="7"/>
      <c r="M43" s="7"/>
      <c r="N43" s="7"/>
      <c r="O43" s="7"/>
    </row>
    <row r="44" spans="2:15">
      <c r="B44" s="570"/>
      <c r="C44" s="570"/>
      <c r="D44" s="570"/>
      <c r="E44" s="570"/>
      <c r="F44" s="570"/>
      <c r="G44" s="570"/>
      <c r="H44" s="570"/>
      <c r="I44" s="570"/>
      <c r="J44" s="7"/>
      <c r="K44" s="7"/>
      <c r="L44" s="7"/>
      <c r="M44" s="7"/>
      <c r="N44" s="7"/>
      <c r="O44" s="7"/>
    </row>
    <row r="45" spans="2:15">
      <c r="B45" s="570"/>
      <c r="C45" s="570"/>
      <c r="D45" s="570"/>
      <c r="E45" s="570"/>
      <c r="F45" s="570"/>
      <c r="G45" s="570"/>
      <c r="H45" s="570"/>
      <c r="I45" s="570"/>
      <c r="J45" s="7"/>
      <c r="K45" s="7"/>
      <c r="L45" s="7"/>
      <c r="M45" s="7"/>
      <c r="N45" s="7"/>
      <c r="O45" s="7"/>
    </row>
    <row r="46" spans="2:15">
      <c r="B46" s="19"/>
      <c r="C46" s="19"/>
      <c r="D46" s="19"/>
      <c r="E46" s="19"/>
      <c r="F46" s="19"/>
      <c r="G46" s="19"/>
      <c r="H46" s="19"/>
      <c r="I46" s="19"/>
      <c r="J46" s="7"/>
      <c r="K46" s="7"/>
      <c r="L46" s="7"/>
      <c r="M46" s="7"/>
      <c r="N46" s="7"/>
      <c r="O46" s="7"/>
    </row>
    <row r="47" spans="2:15" ht="13">
      <c r="B47" s="20" t="s">
        <v>9</v>
      </c>
      <c r="C47" s="19"/>
      <c r="D47" s="19"/>
      <c r="E47" s="19"/>
      <c r="F47" s="19"/>
      <c r="G47" s="19"/>
      <c r="H47" s="19"/>
      <c r="I47" s="19"/>
      <c r="J47" s="7"/>
      <c r="K47" s="7"/>
      <c r="L47" s="7"/>
      <c r="M47" s="7"/>
      <c r="N47" s="7"/>
      <c r="O47" s="7"/>
    </row>
    <row r="48" spans="2:15" ht="13.5" customHeight="1">
      <c r="B48" s="570" t="s">
        <v>10</v>
      </c>
      <c r="C48" s="570"/>
      <c r="D48" s="570"/>
      <c r="E48" s="570"/>
      <c r="F48" s="570"/>
      <c r="G48" s="570"/>
      <c r="H48" s="570"/>
      <c r="I48" s="570"/>
      <c r="J48" s="7"/>
      <c r="K48" s="7"/>
      <c r="L48" s="7"/>
      <c r="M48" s="7"/>
      <c r="N48" s="7"/>
      <c r="O48" s="7"/>
    </row>
    <row r="49" spans="2:15">
      <c r="B49" s="570"/>
      <c r="C49" s="570"/>
      <c r="D49" s="570"/>
      <c r="E49" s="570"/>
      <c r="F49" s="570"/>
      <c r="G49" s="570"/>
      <c r="H49" s="570"/>
      <c r="I49" s="570"/>
      <c r="J49" s="7"/>
      <c r="K49" s="7"/>
      <c r="L49" s="7"/>
      <c r="M49" s="7"/>
      <c r="N49" s="7"/>
      <c r="O49" s="7"/>
    </row>
    <row r="50" spans="2:15">
      <c r="B50" s="570"/>
      <c r="C50" s="570"/>
      <c r="D50" s="570"/>
      <c r="E50" s="570"/>
      <c r="F50" s="570"/>
      <c r="G50" s="570"/>
      <c r="H50" s="570"/>
      <c r="I50" s="570"/>
      <c r="J50" s="7"/>
      <c r="K50" s="7"/>
      <c r="L50" s="7"/>
      <c r="M50" s="7"/>
      <c r="N50" s="7"/>
      <c r="O50" s="7"/>
    </row>
    <row r="51" spans="2:15">
      <c r="B51" s="570"/>
      <c r="C51" s="570"/>
      <c r="D51" s="570"/>
      <c r="E51" s="570"/>
      <c r="F51" s="570"/>
      <c r="G51" s="570"/>
      <c r="H51" s="570"/>
      <c r="I51" s="570"/>
      <c r="J51" s="7"/>
      <c r="K51" s="7"/>
      <c r="L51" s="7"/>
      <c r="M51" s="7"/>
      <c r="N51" s="7"/>
      <c r="O51" s="7"/>
    </row>
    <row r="52" spans="2:15">
      <c r="B52" s="19"/>
      <c r="C52" s="19"/>
      <c r="D52" s="19"/>
      <c r="E52" s="19"/>
      <c r="F52" s="19"/>
      <c r="G52" s="19"/>
      <c r="H52" s="19"/>
      <c r="I52" s="19"/>
      <c r="J52" s="7"/>
      <c r="K52" s="7"/>
      <c r="L52" s="7"/>
      <c r="M52" s="7"/>
      <c r="N52" s="7"/>
      <c r="O52" s="7"/>
    </row>
    <row r="53" spans="2:15" ht="13">
      <c r="B53" s="20" t="s">
        <v>11</v>
      </c>
      <c r="C53" s="19"/>
      <c r="D53" s="19"/>
      <c r="E53" s="19"/>
      <c r="F53" s="19"/>
      <c r="G53" s="19"/>
      <c r="H53" s="19"/>
      <c r="I53" s="19"/>
      <c r="J53" s="7"/>
      <c r="K53" s="7"/>
      <c r="L53" s="7"/>
      <c r="M53" s="7"/>
      <c r="N53" s="7"/>
      <c r="O53" s="7"/>
    </row>
    <row r="54" spans="2:15" ht="13.5" customHeight="1">
      <c r="B54" s="570" t="s">
        <v>12</v>
      </c>
      <c r="C54" s="570"/>
      <c r="D54" s="570"/>
      <c r="E54" s="570"/>
      <c r="F54" s="570"/>
      <c r="G54" s="570"/>
      <c r="H54" s="570"/>
      <c r="I54" s="570"/>
      <c r="J54" s="7"/>
      <c r="K54" s="7"/>
      <c r="L54" s="7"/>
      <c r="M54" s="7"/>
      <c r="N54" s="7"/>
      <c r="O54" s="7"/>
    </row>
    <row r="55" spans="2:15">
      <c r="B55" s="570"/>
      <c r="C55" s="570"/>
      <c r="D55" s="570"/>
      <c r="E55" s="570"/>
      <c r="F55" s="570"/>
      <c r="G55" s="570"/>
      <c r="H55" s="570"/>
      <c r="I55" s="570"/>
      <c r="J55" s="7"/>
      <c r="K55" s="7"/>
      <c r="L55" s="7"/>
      <c r="M55" s="7"/>
      <c r="N55" s="7"/>
      <c r="O55" s="7"/>
    </row>
    <row r="56" spans="2:15">
      <c r="B56" s="570"/>
      <c r="C56" s="570"/>
      <c r="D56" s="570"/>
      <c r="E56" s="570"/>
      <c r="F56" s="570"/>
      <c r="G56" s="570"/>
      <c r="H56" s="570"/>
      <c r="I56" s="570"/>
      <c r="J56" s="7"/>
      <c r="K56" s="7"/>
      <c r="L56" s="7"/>
      <c r="M56" s="7"/>
      <c r="N56" s="7"/>
      <c r="O56" s="7"/>
    </row>
    <row r="57" spans="2:15">
      <c r="B57" s="570"/>
      <c r="C57" s="570"/>
      <c r="D57" s="570"/>
      <c r="E57" s="570"/>
      <c r="F57" s="570"/>
      <c r="G57" s="570"/>
      <c r="H57" s="570"/>
      <c r="I57" s="570"/>
      <c r="J57" s="7"/>
      <c r="K57" s="7"/>
      <c r="L57" s="7"/>
      <c r="M57" s="7"/>
      <c r="N57" s="7"/>
      <c r="O57" s="7"/>
    </row>
  </sheetData>
  <mergeCells count="5">
    <mergeCell ref="B29:I32"/>
    <mergeCell ref="B48:I51"/>
    <mergeCell ref="B54:I57"/>
    <mergeCell ref="B41:I45"/>
    <mergeCell ref="B35:I38"/>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O121"/>
  <sheetViews>
    <sheetView showGridLines="0" topLeftCell="A34" zoomScale="70" zoomScaleNormal="70" zoomScalePageLayoutView="40" workbookViewId="0">
      <pane xSplit="1" ySplit="2" topLeftCell="B73" activePane="bottomRight" state="frozen"/>
      <selection activeCell="I2" sqref="I2"/>
      <selection pane="topRight" activeCell="I2" sqref="I2"/>
      <selection pane="bottomLeft" activeCell="I2" sqref="I2"/>
      <selection pane="bottomRight" activeCell="I2" sqref="I2"/>
    </sheetView>
  </sheetViews>
  <sheetFormatPr defaultColWidth="8.81640625" defaultRowHeight="13"/>
  <cols>
    <col min="1" max="1" width="0.453125" style="5" customWidth="1"/>
    <col min="2" max="2" width="30.81640625" style="5" customWidth="1"/>
    <col min="3" max="3" width="26" style="5" customWidth="1"/>
    <col min="4" max="4" width="29.36328125" style="5" customWidth="1"/>
    <col min="5" max="5" width="27.81640625" style="5" customWidth="1"/>
    <col min="6" max="6" width="18.453125" style="5" customWidth="1"/>
    <col min="7" max="7" width="22.453125" style="5" customWidth="1"/>
    <col min="8" max="8" width="18.453125" style="5" customWidth="1"/>
    <col min="9" max="9" width="31" style="387" customWidth="1"/>
    <col min="10" max="10" width="27.36328125" style="387" customWidth="1"/>
    <col min="11" max="11" width="27.1796875" style="5" customWidth="1"/>
    <col min="12" max="12" width="18.453125" style="5" customWidth="1"/>
    <col min="13" max="13" width="13.453125" style="5" customWidth="1"/>
    <col min="14" max="15" width="13.1796875" style="5" customWidth="1"/>
    <col min="16" max="16" width="13.453125" style="5" customWidth="1"/>
    <col min="17" max="16384" width="8.81640625" style="5"/>
  </cols>
  <sheetData>
    <row r="1" spans="2:15" ht="12.5" customHeight="1"/>
    <row r="2" spans="2:15" ht="20.5" customHeight="1">
      <c r="B2" s="6" t="str">
        <f>Introduction!$B$2</f>
        <v>LightCounting Ethernet Transceivers Forecast</v>
      </c>
    </row>
    <row r="3" spans="2:15" ht="15.5">
      <c r="B3" s="40" t="str">
        <f>Introduction!$B$3</f>
        <v>September 2020 - sample -- for illustrative purposes only</v>
      </c>
    </row>
    <row r="4" spans="2:15" ht="18">
      <c r="B4" s="6" t="s">
        <v>16</v>
      </c>
    </row>
    <row r="6" spans="2:15" ht="21">
      <c r="B6" s="571" t="s">
        <v>113</v>
      </c>
      <c r="C6" s="572"/>
      <c r="D6" s="572"/>
      <c r="E6" s="572"/>
      <c r="F6" s="572"/>
      <c r="G6" s="572"/>
      <c r="H6" s="572"/>
      <c r="I6" s="572"/>
      <c r="J6" s="572"/>
      <c r="K6" s="572"/>
      <c r="L6" s="572"/>
      <c r="M6" s="572"/>
      <c r="N6" s="572"/>
      <c r="O6" s="573"/>
    </row>
    <row r="7" spans="2:15" ht="23.25" customHeight="1">
      <c r="B7" s="574" t="s">
        <v>132</v>
      </c>
      <c r="C7" s="575"/>
      <c r="D7" s="575"/>
      <c r="E7" s="575"/>
      <c r="F7" s="575"/>
      <c r="G7" s="575"/>
      <c r="H7" s="575"/>
      <c r="I7" s="575"/>
      <c r="J7" s="575"/>
      <c r="K7" s="575"/>
      <c r="L7" s="575"/>
      <c r="M7" s="575"/>
      <c r="N7" s="575"/>
      <c r="O7" s="576"/>
    </row>
    <row r="8" spans="2:15" ht="18.75" customHeight="1">
      <c r="B8" s="577"/>
      <c r="C8" s="578"/>
      <c r="D8" s="578"/>
      <c r="E8" s="578"/>
      <c r="F8" s="578"/>
      <c r="G8" s="578"/>
      <c r="H8" s="578"/>
      <c r="I8" s="578"/>
      <c r="J8" s="578"/>
      <c r="K8" s="578"/>
      <c r="L8" s="578"/>
      <c r="M8" s="578"/>
      <c r="N8" s="578"/>
      <c r="O8" s="579"/>
    </row>
    <row r="9" spans="2:15" ht="10.5" customHeight="1">
      <c r="B9" s="172"/>
      <c r="C9" s="173"/>
      <c r="D9" s="173"/>
      <c r="E9" s="173"/>
      <c r="F9" s="173"/>
      <c r="G9" s="173"/>
      <c r="H9" s="173"/>
      <c r="I9" s="388"/>
      <c r="J9" s="388"/>
      <c r="K9" s="173"/>
      <c r="L9" s="173"/>
      <c r="M9" s="173"/>
      <c r="N9" s="173"/>
      <c r="O9" s="174"/>
    </row>
    <row r="10" spans="2:15" ht="18.5">
      <c r="B10" s="175" t="s">
        <v>114</v>
      </c>
      <c r="C10" s="173"/>
      <c r="D10" s="173"/>
      <c r="E10" s="173"/>
      <c r="F10" s="173"/>
      <c r="G10" s="173"/>
      <c r="H10" s="173"/>
      <c r="I10" s="388"/>
      <c r="J10" s="388"/>
      <c r="K10" s="173"/>
      <c r="L10" s="173"/>
      <c r="M10" s="173"/>
      <c r="N10" s="173"/>
      <c r="O10" s="174"/>
    </row>
    <row r="11" spans="2:15" ht="18.5">
      <c r="B11" s="175" t="s">
        <v>133</v>
      </c>
      <c r="C11" s="173"/>
      <c r="D11" s="173"/>
      <c r="E11" s="173"/>
      <c r="F11" s="173"/>
      <c r="G11" s="173"/>
      <c r="H11" s="173"/>
      <c r="I11" s="388"/>
      <c r="J11" s="388"/>
      <c r="K11" s="173"/>
      <c r="L11" s="173"/>
      <c r="M11" s="173"/>
      <c r="N11" s="173"/>
      <c r="O11" s="174"/>
    </row>
    <row r="12" spans="2:15" ht="18.5">
      <c r="B12" s="175" t="s">
        <v>134</v>
      </c>
      <c r="C12" s="173"/>
      <c r="D12" s="173"/>
      <c r="E12" s="173"/>
      <c r="F12" s="173"/>
      <c r="G12" s="173"/>
      <c r="H12" s="173"/>
      <c r="I12" s="388"/>
      <c r="J12" s="388"/>
      <c r="K12" s="173"/>
      <c r="L12" s="173"/>
      <c r="M12" s="173"/>
      <c r="N12" s="173"/>
      <c r="O12" s="174"/>
    </row>
    <row r="13" spans="2:15" ht="9" customHeight="1">
      <c r="B13" s="172"/>
      <c r="C13" s="173"/>
      <c r="D13" s="173"/>
      <c r="E13" s="173"/>
      <c r="F13" s="173"/>
      <c r="G13" s="173"/>
      <c r="H13" s="173"/>
      <c r="I13" s="388"/>
      <c r="J13" s="388"/>
      <c r="K13" s="173"/>
      <c r="L13" s="173"/>
      <c r="M13" s="173"/>
      <c r="N13" s="173"/>
      <c r="O13" s="174"/>
    </row>
    <row r="14" spans="2:15" ht="18.5">
      <c r="B14" s="175" t="s">
        <v>115</v>
      </c>
      <c r="C14" s="173"/>
      <c r="D14" s="173"/>
      <c r="E14" s="173"/>
      <c r="F14" s="173"/>
      <c r="G14" s="173"/>
      <c r="H14" s="173"/>
      <c r="I14" s="388"/>
      <c r="J14" s="388"/>
      <c r="K14" s="173"/>
      <c r="L14" s="173"/>
      <c r="M14" s="173"/>
      <c r="N14" s="173"/>
      <c r="O14" s="174"/>
    </row>
    <row r="15" spans="2:15" ht="18.5">
      <c r="B15" s="175" t="s">
        <v>116</v>
      </c>
      <c r="C15" s="173"/>
      <c r="D15" s="173"/>
      <c r="E15" s="173"/>
      <c r="F15" s="173"/>
      <c r="G15" s="173"/>
      <c r="H15" s="173"/>
      <c r="I15" s="388"/>
      <c r="J15" s="388"/>
      <c r="K15" s="173"/>
      <c r="L15" s="173"/>
      <c r="M15" s="173"/>
      <c r="N15" s="173"/>
      <c r="O15" s="174"/>
    </row>
    <row r="16" spans="2:15">
      <c r="B16" s="176"/>
      <c r="C16" s="177"/>
      <c r="D16" s="177"/>
      <c r="E16" s="177"/>
      <c r="F16" s="177"/>
      <c r="G16" s="177"/>
      <c r="H16" s="177"/>
      <c r="I16" s="389"/>
      <c r="J16" s="389"/>
      <c r="K16" s="177"/>
      <c r="L16" s="177"/>
      <c r="M16" s="177"/>
      <c r="N16" s="177"/>
      <c r="O16" s="178"/>
    </row>
    <row r="24" spans="6:15">
      <c r="F24" s="182"/>
      <c r="O24" s="182"/>
    </row>
    <row r="25" spans="6:15">
      <c r="F25" s="182"/>
      <c r="O25" s="183" t="s">
        <v>118</v>
      </c>
    </row>
    <row r="26" spans="6:15">
      <c r="O26" s="183" t="s">
        <v>231</v>
      </c>
    </row>
    <row r="34" spans="2:11" ht="21">
      <c r="B34" s="184" t="s">
        <v>119</v>
      </c>
      <c r="C34" s="184"/>
      <c r="D34" s="184"/>
      <c r="E34" s="184"/>
    </row>
    <row r="35" spans="2:11" ht="21">
      <c r="B35" s="35" t="s">
        <v>232</v>
      </c>
      <c r="C35" s="35" t="s">
        <v>33</v>
      </c>
      <c r="D35" s="35" t="s">
        <v>35</v>
      </c>
      <c r="E35" s="35" t="s">
        <v>148</v>
      </c>
      <c r="F35" s="35" t="s">
        <v>147</v>
      </c>
      <c r="G35" s="35" t="s">
        <v>295</v>
      </c>
      <c r="H35" s="35" t="s">
        <v>296</v>
      </c>
      <c r="I35" s="393" t="s">
        <v>289</v>
      </c>
      <c r="J35" s="393" t="s">
        <v>321</v>
      </c>
      <c r="K35" s="385"/>
    </row>
    <row r="36" spans="2:11" ht="15.75" customHeight="1">
      <c r="B36" s="37" t="s">
        <v>65</v>
      </c>
      <c r="C36" s="37" t="s">
        <v>46</v>
      </c>
      <c r="D36" s="358" t="s">
        <v>48</v>
      </c>
      <c r="E36" s="65" t="s">
        <v>110</v>
      </c>
      <c r="F36" s="253" t="s">
        <v>98</v>
      </c>
      <c r="G36" s="415" t="s">
        <v>98</v>
      </c>
      <c r="H36" s="65"/>
      <c r="I36" s="394"/>
      <c r="J36" s="394"/>
      <c r="K36" s="385"/>
    </row>
    <row r="37" spans="2:11" ht="15.75" customHeight="1">
      <c r="B37" s="38" t="s">
        <v>65</v>
      </c>
      <c r="C37" s="38" t="s">
        <v>52</v>
      </c>
      <c r="D37" s="159" t="s">
        <v>48</v>
      </c>
      <c r="E37" s="149" t="s">
        <v>110</v>
      </c>
      <c r="F37" s="251" t="s">
        <v>99</v>
      </c>
      <c r="G37" s="414" t="s">
        <v>99</v>
      </c>
      <c r="H37" s="149"/>
      <c r="I37" s="395"/>
      <c r="J37" s="395"/>
      <c r="K37" s="385"/>
    </row>
    <row r="38" spans="2:11" ht="15.75" customHeight="1">
      <c r="B38" s="38" t="s">
        <v>65</v>
      </c>
      <c r="C38" s="38" t="s">
        <v>57</v>
      </c>
      <c r="D38" s="159" t="s">
        <v>48</v>
      </c>
      <c r="E38" s="149" t="s">
        <v>110</v>
      </c>
      <c r="F38" s="251" t="s">
        <v>99</v>
      </c>
      <c r="G38" s="414" t="s">
        <v>99</v>
      </c>
      <c r="H38" s="149"/>
      <c r="I38" s="395"/>
      <c r="J38" s="395"/>
      <c r="K38" s="385"/>
    </row>
    <row r="39" spans="2:11" ht="15.75" customHeight="1">
      <c r="B39" s="38" t="s">
        <v>65</v>
      </c>
      <c r="C39" s="38" t="s">
        <v>59</v>
      </c>
      <c r="D39" s="159" t="s">
        <v>48</v>
      </c>
      <c r="E39" s="149" t="s">
        <v>110</v>
      </c>
      <c r="F39" s="251" t="s">
        <v>99</v>
      </c>
      <c r="G39" s="414" t="s">
        <v>99</v>
      </c>
      <c r="H39" s="149"/>
      <c r="I39" s="395"/>
      <c r="J39" s="395"/>
      <c r="K39" s="385"/>
    </row>
    <row r="40" spans="2:11" ht="15.75" customHeight="1">
      <c r="B40" s="225" t="s">
        <v>233</v>
      </c>
      <c r="C40" s="225" t="s">
        <v>154</v>
      </c>
      <c r="D40" s="353" t="s">
        <v>155</v>
      </c>
      <c r="E40" s="225" t="s">
        <v>151</v>
      </c>
      <c r="F40" s="354" t="s">
        <v>151</v>
      </c>
      <c r="G40" s="413" t="s">
        <v>151</v>
      </c>
      <c r="H40" s="225"/>
      <c r="I40" s="396"/>
      <c r="J40" s="396"/>
      <c r="K40" s="385" t="s">
        <v>266</v>
      </c>
    </row>
    <row r="41" spans="2:11" ht="15.75" customHeight="1">
      <c r="B41" s="64" t="s">
        <v>62</v>
      </c>
      <c r="C41" s="355" t="s">
        <v>43</v>
      </c>
      <c r="D41" s="356" t="s">
        <v>39</v>
      </c>
      <c r="E41" s="149" t="s">
        <v>110</v>
      </c>
      <c r="F41" s="352" t="s">
        <v>98</v>
      </c>
      <c r="G41" s="414" t="s">
        <v>98</v>
      </c>
      <c r="H41" s="149"/>
      <c r="I41" s="395"/>
      <c r="J41" s="395"/>
      <c r="K41" s="385"/>
    </row>
    <row r="42" spans="2:11" ht="15.75" customHeight="1">
      <c r="B42" s="64" t="s">
        <v>62</v>
      </c>
      <c r="C42" s="355" t="s">
        <v>43</v>
      </c>
      <c r="D42" s="356" t="s">
        <v>45</v>
      </c>
      <c r="E42" s="149" t="s">
        <v>340</v>
      </c>
      <c r="F42" s="352" t="s">
        <v>98</v>
      </c>
      <c r="G42" s="414" t="s">
        <v>98</v>
      </c>
      <c r="H42" s="149"/>
      <c r="I42" s="395"/>
      <c r="J42" s="395"/>
      <c r="K42" s="385"/>
    </row>
    <row r="43" spans="2:11" ht="15.75" customHeight="1">
      <c r="B43" s="39" t="s">
        <v>235</v>
      </c>
      <c r="C43" s="39" t="s">
        <v>100</v>
      </c>
      <c r="D43" s="39" t="s">
        <v>45</v>
      </c>
      <c r="E43" s="225" t="s">
        <v>110</v>
      </c>
      <c r="F43" s="375" t="s">
        <v>98</v>
      </c>
      <c r="G43" s="413" t="s">
        <v>98</v>
      </c>
      <c r="H43" s="225"/>
      <c r="I43" s="396"/>
      <c r="J43" s="396"/>
      <c r="K43" s="385"/>
    </row>
    <row r="44" spans="2:11" ht="15.75" customHeight="1">
      <c r="B44" s="38" t="s">
        <v>62</v>
      </c>
      <c r="C44" s="36" t="s">
        <v>52</v>
      </c>
      <c r="D44" s="38" t="s">
        <v>39</v>
      </c>
      <c r="E44" s="149" t="s">
        <v>110</v>
      </c>
      <c r="F44" s="224" t="s">
        <v>99</v>
      </c>
      <c r="G44" s="414" t="s">
        <v>99</v>
      </c>
      <c r="H44" s="149"/>
      <c r="I44" s="395"/>
      <c r="J44" s="395"/>
      <c r="K44" s="385"/>
    </row>
    <row r="45" spans="2:11" ht="15.75" customHeight="1">
      <c r="B45" s="38" t="s">
        <v>62</v>
      </c>
      <c r="C45" s="36" t="s">
        <v>52</v>
      </c>
      <c r="D45" s="38" t="s">
        <v>45</v>
      </c>
      <c r="E45" s="149" t="s">
        <v>340</v>
      </c>
      <c r="F45" s="224" t="s">
        <v>99</v>
      </c>
      <c r="G45" s="414" t="s">
        <v>99</v>
      </c>
      <c r="H45" s="149"/>
      <c r="I45" s="395"/>
      <c r="J45" s="395"/>
      <c r="K45" s="385"/>
    </row>
    <row r="46" spans="2:11" ht="15.75" customHeight="1">
      <c r="B46" s="149" t="s">
        <v>62</v>
      </c>
      <c r="C46" s="64" t="s">
        <v>57</v>
      </c>
      <c r="D46" s="149" t="s">
        <v>39</v>
      </c>
      <c r="E46" s="149" t="s">
        <v>110</v>
      </c>
      <c r="F46" s="252" t="s">
        <v>99</v>
      </c>
      <c r="G46" s="414" t="s">
        <v>99</v>
      </c>
      <c r="H46" s="414"/>
      <c r="I46" s="395"/>
      <c r="J46" s="395"/>
      <c r="K46" s="385" t="s">
        <v>94</v>
      </c>
    </row>
    <row r="47" spans="2:11" ht="15.75" customHeight="1">
      <c r="B47" s="225" t="s">
        <v>62</v>
      </c>
      <c r="C47" s="225" t="s">
        <v>57</v>
      </c>
      <c r="D47" s="149" t="s">
        <v>45</v>
      </c>
      <c r="E47" s="149" t="s">
        <v>110</v>
      </c>
      <c r="F47" s="376" t="s">
        <v>99</v>
      </c>
      <c r="G47" s="414" t="s">
        <v>99</v>
      </c>
      <c r="H47" s="414"/>
      <c r="I47" s="395"/>
      <c r="J47" s="395"/>
      <c r="K47" s="385"/>
    </row>
    <row r="48" spans="2:11" ht="15.75" customHeight="1">
      <c r="B48" s="65" t="s">
        <v>62</v>
      </c>
      <c r="C48" s="64" t="s">
        <v>59</v>
      </c>
      <c r="D48" s="65" t="s">
        <v>39</v>
      </c>
      <c r="E48" s="65" t="s">
        <v>110</v>
      </c>
      <c r="F48" s="252" t="s">
        <v>99</v>
      </c>
      <c r="G48" s="415" t="s">
        <v>99</v>
      </c>
      <c r="H48" s="415"/>
      <c r="I48" s="394"/>
      <c r="J48" s="394"/>
      <c r="K48" s="385" t="s">
        <v>94</v>
      </c>
    </row>
    <row r="49" spans="1:11" ht="15.75" customHeight="1">
      <c r="B49" s="225" t="s">
        <v>62</v>
      </c>
      <c r="C49" s="225" t="s">
        <v>59</v>
      </c>
      <c r="D49" s="225" t="s">
        <v>45</v>
      </c>
      <c r="E49" s="225" t="s">
        <v>110</v>
      </c>
      <c r="F49" s="376" t="s">
        <v>99</v>
      </c>
      <c r="G49" s="413" t="s">
        <v>99</v>
      </c>
      <c r="H49" s="413"/>
      <c r="I49" s="396"/>
      <c r="J49" s="396"/>
      <c r="K49" s="385"/>
    </row>
    <row r="50" spans="1:11" ht="15.75" customHeight="1">
      <c r="B50" s="349" t="s">
        <v>62</v>
      </c>
      <c r="C50" s="349" t="s">
        <v>154</v>
      </c>
      <c r="D50" s="350" t="s">
        <v>155</v>
      </c>
      <c r="E50" s="349" t="s">
        <v>151</v>
      </c>
      <c r="F50" s="351" t="s">
        <v>151</v>
      </c>
      <c r="G50" s="416" t="s">
        <v>151</v>
      </c>
      <c r="H50" s="416"/>
      <c r="I50" s="397"/>
      <c r="J50" s="397"/>
      <c r="K50" s="385" t="s">
        <v>156</v>
      </c>
    </row>
    <row r="51" spans="1:11" ht="15.75" customHeight="1">
      <c r="B51" s="226" t="s">
        <v>236</v>
      </c>
      <c r="C51" s="231" t="s">
        <v>190</v>
      </c>
      <c r="D51" s="226" t="s">
        <v>102</v>
      </c>
      <c r="E51" s="149" t="s">
        <v>110</v>
      </c>
      <c r="F51" s="352" t="s">
        <v>98</v>
      </c>
      <c r="G51" s="414" t="s">
        <v>98</v>
      </c>
      <c r="H51" s="414"/>
      <c r="I51" s="395"/>
      <c r="J51" s="395"/>
      <c r="K51" s="385" t="s">
        <v>103</v>
      </c>
    </row>
    <row r="52" spans="1:11" ht="15.75" customHeight="1">
      <c r="B52" s="187" t="s">
        <v>129</v>
      </c>
      <c r="C52" s="231" t="s">
        <v>52</v>
      </c>
      <c r="D52" s="187" t="s">
        <v>102</v>
      </c>
      <c r="E52" s="149" t="s">
        <v>110</v>
      </c>
      <c r="F52" s="377" t="s">
        <v>99</v>
      </c>
      <c r="G52" s="414" t="s">
        <v>99</v>
      </c>
      <c r="H52" s="414"/>
      <c r="I52" s="395"/>
      <c r="J52" s="395"/>
      <c r="K52" s="385" t="s">
        <v>103</v>
      </c>
    </row>
    <row r="53" spans="1:11" ht="15.75" customHeight="1">
      <c r="B53" s="230" t="s">
        <v>150</v>
      </c>
      <c r="C53" s="230" t="s">
        <v>57</v>
      </c>
      <c r="D53" s="230" t="s">
        <v>102</v>
      </c>
      <c r="E53" s="225" t="s">
        <v>110</v>
      </c>
      <c r="F53" s="376" t="s">
        <v>99</v>
      </c>
      <c r="G53" s="413" t="s">
        <v>99</v>
      </c>
      <c r="H53" s="413"/>
      <c r="I53" s="396"/>
      <c r="J53" s="396"/>
      <c r="K53" s="385" t="s">
        <v>149</v>
      </c>
    </row>
    <row r="54" spans="1:11" ht="15.75" customHeight="1">
      <c r="A54" s="232" t="s">
        <v>123</v>
      </c>
      <c r="B54" s="226" t="s">
        <v>237</v>
      </c>
      <c r="C54" s="226" t="s">
        <v>36</v>
      </c>
      <c r="D54" s="226" t="s">
        <v>95</v>
      </c>
      <c r="E54" s="149" t="s">
        <v>110</v>
      </c>
      <c r="F54" s="352" t="s">
        <v>98</v>
      </c>
      <c r="G54" s="417" t="s">
        <v>302</v>
      </c>
      <c r="H54" s="417" t="s">
        <v>297</v>
      </c>
      <c r="I54" s="392" t="s">
        <v>312</v>
      </c>
      <c r="J54" s="392"/>
      <c r="K54" s="385" t="s">
        <v>267</v>
      </c>
    </row>
    <row r="55" spans="1:11" ht="15.75" customHeight="1">
      <c r="A55" s="232" t="str">
        <f>A54</f>
        <v>40G MMF</v>
      </c>
      <c r="B55" s="230" t="s">
        <v>238</v>
      </c>
      <c r="C55" s="230" t="s">
        <v>36</v>
      </c>
      <c r="D55" s="230" t="s">
        <v>95</v>
      </c>
      <c r="E55" s="238" t="s">
        <v>111</v>
      </c>
      <c r="F55" s="352" t="s">
        <v>98</v>
      </c>
      <c r="G55" s="414" t="s">
        <v>98</v>
      </c>
      <c r="H55" s="414"/>
      <c r="I55" s="395"/>
      <c r="J55" s="395"/>
      <c r="K55" s="385" t="s">
        <v>268</v>
      </c>
    </row>
    <row r="56" spans="1:11" ht="15.75" customHeight="1">
      <c r="A56" s="232" t="str">
        <f>A54</f>
        <v>40G MMF</v>
      </c>
      <c r="B56" s="228" t="s">
        <v>239</v>
      </c>
      <c r="C56" s="228" t="s">
        <v>43</v>
      </c>
      <c r="D56" s="226" t="s">
        <v>95</v>
      </c>
      <c r="E56" s="241" t="s">
        <v>111</v>
      </c>
      <c r="F56" s="378" t="s">
        <v>98</v>
      </c>
      <c r="G56" s="416" t="s">
        <v>98</v>
      </c>
      <c r="H56" s="416"/>
      <c r="I56" s="397"/>
      <c r="J56" s="397"/>
      <c r="K56" s="385" t="s">
        <v>101</v>
      </c>
    </row>
    <row r="57" spans="1:11" ht="15.75" customHeight="1">
      <c r="A57" s="232" t="s">
        <v>124</v>
      </c>
      <c r="B57" s="227" t="s">
        <v>240</v>
      </c>
      <c r="C57" s="233" t="s">
        <v>46</v>
      </c>
      <c r="D57" s="227" t="s">
        <v>95</v>
      </c>
      <c r="E57" s="239" t="s">
        <v>111</v>
      </c>
      <c r="F57" s="379" t="s">
        <v>99</v>
      </c>
      <c r="G57" s="417" t="s">
        <v>302</v>
      </c>
      <c r="H57" s="417" t="s">
        <v>297</v>
      </c>
      <c r="I57" s="425" t="s">
        <v>318</v>
      </c>
      <c r="J57" s="404" t="s">
        <v>337</v>
      </c>
      <c r="K57" s="385" t="s">
        <v>97</v>
      </c>
    </row>
    <row r="58" spans="1:11" ht="15.75" customHeight="1">
      <c r="A58" s="232"/>
      <c r="B58" s="234" t="s">
        <v>241</v>
      </c>
      <c r="C58" s="226" t="s">
        <v>49</v>
      </c>
      <c r="D58" s="226" t="s">
        <v>40</v>
      </c>
      <c r="E58" s="226" t="s">
        <v>110</v>
      </c>
      <c r="F58" s="380" t="s">
        <v>99</v>
      </c>
      <c r="G58" s="417" t="s">
        <v>99</v>
      </c>
      <c r="H58" s="417"/>
      <c r="I58" s="398"/>
      <c r="J58" s="398"/>
      <c r="K58" s="385"/>
    </row>
    <row r="59" spans="1:11" ht="15.75" customHeight="1">
      <c r="A59" s="232" t="str">
        <f>A57</f>
        <v>40 G SMF 0.5-10km</v>
      </c>
      <c r="B59" s="235" t="s">
        <v>242</v>
      </c>
      <c r="C59" s="230" t="s">
        <v>49</v>
      </c>
      <c r="D59" s="230" t="s">
        <v>95</v>
      </c>
      <c r="E59" s="240" t="s">
        <v>111</v>
      </c>
      <c r="F59" s="376" t="s">
        <v>99</v>
      </c>
      <c r="G59" s="412" t="s">
        <v>99</v>
      </c>
      <c r="H59" s="412"/>
      <c r="I59" s="399"/>
      <c r="J59" s="405" t="s">
        <v>317</v>
      </c>
      <c r="K59" s="385" t="s">
        <v>67</v>
      </c>
    </row>
    <row r="60" spans="1:11" ht="15.75" customHeight="1">
      <c r="A60" s="232"/>
      <c r="B60" s="226" t="s">
        <v>64</v>
      </c>
      <c r="C60" s="231" t="s">
        <v>52</v>
      </c>
      <c r="D60" s="226" t="s">
        <v>40</v>
      </c>
      <c r="E60" s="226" t="s">
        <v>110</v>
      </c>
      <c r="F60" s="380" t="s">
        <v>99</v>
      </c>
      <c r="G60" s="417" t="s">
        <v>99</v>
      </c>
      <c r="H60" s="417"/>
      <c r="I60" s="398"/>
      <c r="J60" s="398"/>
      <c r="K60" s="385"/>
    </row>
    <row r="61" spans="1:11" ht="15.5">
      <c r="A61" s="232" t="str">
        <f>A57</f>
        <v>40 G SMF 0.5-10km</v>
      </c>
      <c r="B61" s="230" t="s">
        <v>64</v>
      </c>
      <c r="C61" s="231" t="s">
        <v>52</v>
      </c>
      <c r="D61" s="230" t="s">
        <v>95</v>
      </c>
      <c r="E61" s="242" t="s">
        <v>110</v>
      </c>
      <c r="F61" s="376" t="s">
        <v>99</v>
      </c>
      <c r="G61" s="412" t="s">
        <v>99</v>
      </c>
      <c r="H61" s="412"/>
      <c r="I61" s="399"/>
      <c r="J61" s="399"/>
      <c r="K61" s="385"/>
    </row>
    <row r="62" spans="1:11" ht="15.5">
      <c r="A62" s="232"/>
      <c r="B62" s="228" t="s">
        <v>64</v>
      </c>
      <c r="C62" s="228" t="s">
        <v>57</v>
      </c>
      <c r="D62" s="228" t="s">
        <v>95</v>
      </c>
      <c r="E62" s="228" t="s">
        <v>110</v>
      </c>
      <c r="F62" s="379" t="s">
        <v>99</v>
      </c>
      <c r="G62" s="418" t="s">
        <v>99</v>
      </c>
      <c r="H62" s="418"/>
      <c r="I62" s="400"/>
      <c r="J62" s="400"/>
      <c r="K62" s="385"/>
    </row>
    <row r="63" spans="1:11" ht="15.5">
      <c r="A63" s="232"/>
      <c r="B63" s="234" t="s">
        <v>243</v>
      </c>
      <c r="C63" s="234" t="s">
        <v>36</v>
      </c>
      <c r="D63" s="226" t="s">
        <v>44</v>
      </c>
      <c r="E63" s="65" t="s">
        <v>110</v>
      </c>
      <c r="F63" s="381" t="s">
        <v>98</v>
      </c>
      <c r="G63" s="415" t="s">
        <v>98</v>
      </c>
      <c r="H63" s="415"/>
      <c r="I63" s="394"/>
      <c r="J63" s="394"/>
      <c r="K63" s="385" t="s">
        <v>120</v>
      </c>
    </row>
    <row r="64" spans="1:11" ht="15.5">
      <c r="A64" s="232"/>
      <c r="B64" s="231" t="s">
        <v>243</v>
      </c>
      <c r="C64" s="231" t="s">
        <v>49</v>
      </c>
      <c r="D64" s="187" t="s">
        <v>44</v>
      </c>
      <c r="E64" s="149" t="s">
        <v>110</v>
      </c>
      <c r="F64" s="377" t="s">
        <v>99</v>
      </c>
      <c r="G64" s="414" t="s">
        <v>99</v>
      </c>
      <c r="H64" s="414"/>
      <c r="I64" s="395"/>
      <c r="J64" s="395"/>
      <c r="K64" s="385" t="s">
        <v>120</v>
      </c>
    </row>
    <row r="65" spans="1:11" ht="15.5">
      <c r="A65" s="232"/>
      <c r="B65" s="231" t="s">
        <v>243</v>
      </c>
      <c r="C65" s="231" t="s">
        <v>52</v>
      </c>
      <c r="D65" s="187" t="s">
        <v>44</v>
      </c>
      <c r="E65" s="149" t="s">
        <v>110</v>
      </c>
      <c r="F65" s="377" t="s">
        <v>99</v>
      </c>
      <c r="G65" s="414" t="s">
        <v>99</v>
      </c>
      <c r="H65" s="414"/>
      <c r="I65" s="395"/>
      <c r="J65" s="395"/>
      <c r="K65" s="385" t="s">
        <v>120</v>
      </c>
    </row>
    <row r="66" spans="1:11" ht="15.5">
      <c r="A66" s="232"/>
      <c r="B66" s="231" t="s">
        <v>243</v>
      </c>
      <c r="C66" s="231" t="s">
        <v>57</v>
      </c>
      <c r="D66" s="187" t="s">
        <v>44</v>
      </c>
      <c r="E66" s="238" t="s">
        <v>111</v>
      </c>
      <c r="F66" s="377" t="s">
        <v>99</v>
      </c>
      <c r="G66" s="414" t="s">
        <v>99</v>
      </c>
      <c r="H66" s="414"/>
      <c r="I66" s="395"/>
      <c r="J66" s="395"/>
      <c r="K66" s="437" t="s">
        <v>330</v>
      </c>
    </row>
    <row r="67" spans="1:11" ht="15.5">
      <c r="A67" s="232"/>
      <c r="B67" s="235" t="s">
        <v>243</v>
      </c>
      <c r="C67" s="235" t="s">
        <v>59</v>
      </c>
      <c r="D67" s="230" t="s">
        <v>44</v>
      </c>
      <c r="E67" s="348" t="s">
        <v>111</v>
      </c>
      <c r="F67" s="376" t="s">
        <v>99</v>
      </c>
      <c r="G67" s="413" t="s">
        <v>99</v>
      </c>
      <c r="H67" s="413"/>
      <c r="I67" s="396"/>
      <c r="J67" s="396"/>
      <c r="K67" s="437" t="s">
        <v>330</v>
      </c>
    </row>
    <row r="68" spans="1:11" ht="15.75" customHeight="1">
      <c r="A68" s="232">
        <v>25</v>
      </c>
      <c r="B68" s="187" t="s">
        <v>244</v>
      </c>
      <c r="C68" s="231" t="s">
        <v>36</v>
      </c>
      <c r="D68" s="187" t="s">
        <v>40</v>
      </c>
      <c r="E68" s="187" t="s">
        <v>110</v>
      </c>
      <c r="F68" s="352" t="s">
        <v>98</v>
      </c>
      <c r="G68" s="419" t="s">
        <v>302</v>
      </c>
      <c r="H68" s="417" t="s">
        <v>297</v>
      </c>
      <c r="I68" s="404" t="s">
        <v>292</v>
      </c>
      <c r="J68" s="404"/>
      <c r="K68" s="385"/>
    </row>
    <row r="69" spans="1:11" ht="15.75" customHeight="1">
      <c r="A69" s="232">
        <v>25</v>
      </c>
      <c r="B69" s="187" t="s">
        <v>244</v>
      </c>
      <c r="C69" s="231" t="s">
        <v>36</v>
      </c>
      <c r="D69" s="187" t="s">
        <v>127</v>
      </c>
      <c r="E69" s="187" t="s">
        <v>110</v>
      </c>
      <c r="F69" s="352" t="s">
        <v>98</v>
      </c>
      <c r="G69" s="419" t="s">
        <v>303</v>
      </c>
      <c r="H69" s="419" t="s">
        <v>298</v>
      </c>
      <c r="I69" s="408" t="s">
        <v>293</v>
      </c>
      <c r="J69" s="408"/>
      <c r="K69" s="385" t="s">
        <v>128</v>
      </c>
    </row>
    <row r="70" spans="1:11" ht="15.75" customHeight="1">
      <c r="A70" s="232">
        <v>25</v>
      </c>
      <c r="B70" s="187" t="s">
        <v>244</v>
      </c>
      <c r="C70" s="231" t="s">
        <v>36</v>
      </c>
      <c r="D70" s="187" t="s">
        <v>42</v>
      </c>
      <c r="E70" s="187" t="s">
        <v>110</v>
      </c>
      <c r="F70" s="352" t="s">
        <v>98</v>
      </c>
      <c r="G70" s="419" t="s">
        <v>302</v>
      </c>
      <c r="H70" s="419" t="s">
        <v>297</v>
      </c>
      <c r="I70" s="408" t="s">
        <v>287</v>
      </c>
      <c r="J70" s="408"/>
      <c r="K70" s="385" t="s">
        <v>209</v>
      </c>
    </row>
    <row r="71" spans="1:11" ht="15.75" customHeight="1">
      <c r="A71" s="232">
        <v>25</v>
      </c>
      <c r="B71" s="187" t="s">
        <v>245</v>
      </c>
      <c r="C71" s="231" t="s">
        <v>36</v>
      </c>
      <c r="D71" s="187" t="s">
        <v>51</v>
      </c>
      <c r="E71" s="187" t="s">
        <v>110</v>
      </c>
      <c r="F71" s="352" t="s">
        <v>98</v>
      </c>
      <c r="G71" s="419" t="s">
        <v>301</v>
      </c>
      <c r="H71" s="419" t="s">
        <v>306</v>
      </c>
      <c r="I71" s="408" t="s">
        <v>313</v>
      </c>
      <c r="J71" s="408"/>
      <c r="K71" s="385" t="s">
        <v>209</v>
      </c>
    </row>
    <row r="72" spans="1:11" ht="15.75" customHeight="1">
      <c r="A72" s="232">
        <v>50</v>
      </c>
      <c r="B72" s="230" t="s">
        <v>246</v>
      </c>
      <c r="C72" s="230" t="s">
        <v>190</v>
      </c>
      <c r="D72" s="230" t="s">
        <v>42</v>
      </c>
      <c r="E72" s="240" t="s">
        <v>111</v>
      </c>
      <c r="F72" s="374" t="s">
        <v>98</v>
      </c>
      <c r="G72" s="412" t="s">
        <v>300</v>
      </c>
      <c r="H72" s="412" t="s">
        <v>299</v>
      </c>
      <c r="I72" s="405" t="s">
        <v>319</v>
      </c>
      <c r="J72" s="405"/>
      <c r="K72" s="385" t="s">
        <v>189</v>
      </c>
    </row>
    <row r="73" spans="1:11" ht="15.75" customHeight="1">
      <c r="A73" s="232">
        <v>25</v>
      </c>
      <c r="B73" s="187" t="s">
        <v>247</v>
      </c>
      <c r="C73" s="230" t="s">
        <v>43</v>
      </c>
      <c r="D73" s="228" t="s">
        <v>42</v>
      </c>
      <c r="E73" s="240" t="s">
        <v>111</v>
      </c>
      <c r="F73" s="374" t="s">
        <v>98</v>
      </c>
      <c r="G73" s="419" t="s">
        <v>302</v>
      </c>
      <c r="H73" s="419" t="s">
        <v>297</v>
      </c>
      <c r="I73" s="408" t="s">
        <v>287</v>
      </c>
      <c r="J73" s="408"/>
      <c r="K73" s="385" t="s">
        <v>178</v>
      </c>
    </row>
    <row r="74" spans="1:11" ht="15.5">
      <c r="A74" s="232">
        <v>25</v>
      </c>
      <c r="B74" s="227" t="s">
        <v>248</v>
      </c>
      <c r="C74" s="227" t="s">
        <v>46</v>
      </c>
      <c r="D74" s="226" t="s">
        <v>42</v>
      </c>
      <c r="E74" s="239" t="s">
        <v>111</v>
      </c>
      <c r="F74" s="380" t="s">
        <v>99</v>
      </c>
      <c r="G74" s="417" t="s">
        <v>310</v>
      </c>
      <c r="H74" s="417" t="s">
        <v>297</v>
      </c>
      <c r="I74" s="392" t="s">
        <v>311</v>
      </c>
      <c r="J74" s="404" t="s">
        <v>324</v>
      </c>
      <c r="K74" s="385" t="s">
        <v>214</v>
      </c>
    </row>
    <row r="75" spans="1:11" ht="15.5">
      <c r="A75" s="232">
        <v>100</v>
      </c>
      <c r="B75" s="231" t="s">
        <v>249</v>
      </c>
      <c r="C75" s="231" t="s">
        <v>46</v>
      </c>
      <c r="D75" s="187" t="s">
        <v>42</v>
      </c>
      <c r="E75" s="149" t="s">
        <v>110</v>
      </c>
      <c r="F75" s="377" t="s">
        <v>99</v>
      </c>
      <c r="G75" s="419" t="s">
        <v>300</v>
      </c>
      <c r="H75" s="419" t="s">
        <v>299</v>
      </c>
      <c r="I75" s="408" t="s">
        <v>319</v>
      </c>
      <c r="J75" s="408"/>
      <c r="K75" s="385" t="s">
        <v>214</v>
      </c>
    </row>
    <row r="76" spans="1:11" ht="15.5">
      <c r="A76" s="232">
        <v>25</v>
      </c>
      <c r="B76" s="235" t="s">
        <v>326</v>
      </c>
      <c r="C76" s="235" t="s">
        <v>46</v>
      </c>
      <c r="D76" s="230" t="s">
        <v>42</v>
      </c>
      <c r="E76" s="240" t="s">
        <v>111</v>
      </c>
      <c r="F76" s="376" t="s">
        <v>99</v>
      </c>
      <c r="G76" s="412" t="s">
        <v>300</v>
      </c>
      <c r="H76" s="412" t="s">
        <v>299</v>
      </c>
      <c r="I76" s="405" t="s">
        <v>319</v>
      </c>
      <c r="J76" s="405" t="s">
        <v>322</v>
      </c>
      <c r="K76" s="385" t="s">
        <v>327</v>
      </c>
    </row>
    <row r="77" spans="1:11" ht="15.5">
      <c r="A77" s="232">
        <v>25</v>
      </c>
      <c r="B77" s="226" t="s">
        <v>250</v>
      </c>
      <c r="C77" s="226" t="s">
        <v>49</v>
      </c>
      <c r="D77" s="234" t="s">
        <v>42</v>
      </c>
      <c r="E77" s="239" t="s">
        <v>111</v>
      </c>
      <c r="F77" s="380" t="s">
        <v>99</v>
      </c>
      <c r="G77" s="417" t="s">
        <v>300</v>
      </c>
      <c r="H77" s="417" t="s">
        <v>299</v>
      </c>
      <c r="I77" s="404" t="s">
        <v>319</v>
      </c>
      <c r="J77" s="404" t="s">
        <v>317</v>
      </c>
      <c r="K77" s="385" t="s">
        <v>210</v>
      </c>
    </row>
    <row r="78" spans="1:11" ht="15.5">
      <c r="A78" s="232">
        <v>100</v>
      </c>
      <c r="B78" s="187" t="s">
        <v>386</v>
      </c>
      <c r="C78" s="230" t="s">
        <v>49</v>
      </c>
      <c r="D78" s="231" t="s">
        <v>42</v>
      </c>
      <c r="E78" s="424" t="s">
        <v>387</v>
      </c>
      <c r="F78" s="377" t="s">
        <v>99</v>
      </c>
      <c r="G78" s="420" t="s">
        <v>300</v>
      </c>
      <c r="H78" s="420" t="s">
        <v>299</v>
      </c>
      <c r="I78" s="405" t="s">
        <v>319</v>
      </c>
      <c r="J78" s="408"/>
      <c r="K78" s="385" t="s">
        <v>211</v>
      </c>
    </row>
    <row r="79" spans="1:11" ht="15.75" customHeight="1">
      <c r="A79" s="232">
        <v>25</v>
      </c>
      <c r="B79" s="226" t="s">
        <v>251</v>
      </c>
      <c r="C79" s="231" t="s">
        <v>52</v>
      </c>
      <c r="D79" s="234" t="s">
        <v>40</v>
      </c>
      <c r="E79" s="226" t="s">
        <v>110</v>
      </c>
      <c r="F79" s="380" t="s">
        <v>99</v>
      </c>
      <c r="G79" s="421" t="s">
        <v>300</v>
      </c>
      <c r="H79" s="421" t="s">
        <v>304</v>
      </c>
      <c r="I79" s="404" t="s">
        <v>319</v>
      </c>
      <c r="J79" s="404"/>
      <c r="K79" s="385"/>
    </row>
    <row r="80" spans="1:11" ht="15.75" customHeight="1">
      <c r="A80" s="232">
        <v>25</v>
      </c>
      <c r="B80" s="187" t="s">
        <v>251</v>
      </c>
      <c r="C80" s="231" t="s">
        <v>52</v>
      </c>
      <c r="D80" s="231" t="s">
        <v>127</v>
      </c>
      <c r="E80" s="187" t="s">
        <v>110</v>
      </c>
      <c r="F80" s="377" t="s">
        <v>99</v>
      </c>
      <c r="G80" s="420" t="s">
        <v>300</v>
      </c>
      <c r="H80" s="420" t="s">
        <v>299</v>
      </c>
      <c r="I80" s="405" t="s">
        <v>319</v>
      </c>
      <c r="J80" s="405"/>
      <c r="K80" s="385" t="s">
        <v>128</v>
      </c>
    </row>
    <row r="81" spans="1:14" ht="15.75" customHeight="1">
      <c r="A81" s="232">
        <v>25</v>
      </c>
      <c r="B81" s="226" t="s">
        <v>385</v>
      </c>
      <c r="C81" s="226" t="s">
        <v>52</v>
      </c>
      <c r="D81" s="234" t="s">
        <v>42</v>
      </c>
      <c r="E81" s="226" t="s">
        <v>110</v>
      </c>
      <c r="F81" s="380" t="s">
        <v>99</v>
      </c>
      <c r="G81" s="421" t="s">
        <v>300</v>
      </c>
      <c r="H81" s="421" t="s">
        <v>304</v>
      </c>
      <c r="I81" s="404" t="s">
        <v>319</v>
      </c>
      <c r="J81" s="404"/>
      <c r="K81" s="385" t="s">
        <v>212</v>
      </c>
    </row>
    <row r="82" spans="1:14" ht="15.75" customHeight="1">
      <c r="A82" s="232">
        <v>25</v>
      </c>
      <c r="B82" s="230" t="s">
        <v>252</v>
      </c>
      <c r="C82" s="230" t="s">
        <v>52</v>
      </c>
      <c r="D82" s="235" t="s">
        <v>42</v>
      </c>
      <c r="E82" s="240" t="s">
        <v>111</v>
      </c>
      <c r="F82" s="376" t="s">
        <v>99</v>
      </c>
      <c r="G82" s="412" t="s">
        <v>300</v>
      </c>
      <c r="H82" s="412" t="s">
        <v>299</v>
      </c>
      <c r="I82" s="405" t="s">
        <v>319</v>
      </c>
      <c r="J82" s="405"/>
      <c r="K82" s="385" t="s">
        <v>213</v>
      </c>
    </row>
    <row r="83" spans="1:14" ht="15.75" customHeight="1">
      <c r="A83" s="232">
        <v>25</v>
      </c>
      <c r="B83" s="230" t="s">
        <v>253</v>
      </c>
      <c r="C83" s="235" t="s">
        <v>187</v>
      </c>
      <c r="D83" s="422" t="s">
        <v>42</v>
      </c>
      <c r="E83" s="243" t="s">
        <v>111</v>
      </c>
      <c r="F83" s="376" t="s">
        <v>99</v>
      </c>
      <c r="G83" s="417" t="s">
        <v>300</v>
      </c>
      <c r="H83" s="417" t="s">
        <v>299</v>
      </c>
      <c r="I83" s="404" t="s">
        <v>319</v>
      </c>
      <c r="J83" s="404"/>
      <c r="K83" s="385" t="s">
        <v>188</v>
      </c>
    </row>
    <row r="84" spans="1:14" ht="15.75" customHeight="1">
      <c r="A84" s="232">
        <v>25</v>
      </c>
      <c r="B84" s="349" t="s">
        <v>254</v>
      </c>
      <c r="C84" s="236" t="s">
        <v>57</v>
      </c>
      <c r="D84" s="423" t="s">
        <v>42</v>
      </c>
      <c r="E84" s="239" t="s">
        <v>151</v>
      </c>
      <c r="F84" s="376" t="s">
        <v>99</v>
      </c>
      <c r="G84" s="417" t="s">
        <v>300</v>
      </c>
      <c r="H84" s="417" t="s">
        <v>299</v>
      </c>
      <c r="I84" s="404" t="s">
        <v>319</v>
      </c>
      <c r="J84" s="404"/>
      <c r="K84" s="385" t="s">
        <v>153</v>
      </c>
    </row>
    <row r="85" spans="1:14" ht="15.75" customHeight="1">
      <c r="A85" s="66">
        <v>50</v>
      </c>
      <c r="B85" s="234" t="s">
        <v>291</v>
      </c>
      <c r="C85" s="234" t="s">
        <v>36</v>
      </c>
      <c r="D85" s="234" t="s">
        <v>186</v>
      </c>
      <c r="E85" s="65" t="s">
        <v>110</v>
      </c>
      <c r="F85" s="253" t="s">
        <v>98</v>
      </c>
      <c r="G85" s="417" t="s">
        <v>302</v>
      </c>
      <c r="H85" s="417" t="s">
        <v>297</v>
      </c>
      <c r="I85" s="407" t="s">
        <v>294</v>
      </c>
      <c r="J85" s="409" t="s">
        <v>320</v>
      </c>
      <c r="K85" s="385" t="s">
        <v>120</v>
      </c>
    </row>
    <row r="86" spans="1:14" ht="15.75" customHeight="1">
      <c r="A86" s="66">
        <v>50</v>
      </c>
      <c r="B86" s="231" t="s">
        <v>215</v>
      </c>
      <c r="C86" s="64" t="s">
        <v>36</v>
      </c>
      <c r="D86" s="231" t="s">
        <v>331</v>
      </c>
      <c r="E86" s="149" t="s">
        <v>110</v>
      </c>
      <c r="F86" s="382" t="s">
        <v>98</v>
      </c>
      <c r="G86" s="419" t="s">
        <v>307</v>
      </c>
      <c r="H86" s="419" t="s">
        <v>308</v>
      </c>
      <c r="I86" s="406" t="s">
        <v>315</v>
      </c>
      <c r="J86" s="408" t="s">
        <v>317</v>
      </c>
      <c r="K86" s="385" t="s">
        <v>201</v>
      </c>
    </row>
    <row r="87" spans="1:14" ht="15.75" customHeight="1">
      <c r="A87" s="66">
        <v>50</v>
      </c>
      <c r="B87" s="231" t="s">
        <v>290</v>
      </c>
      <c r="C87" s="64" t="s">
        <v>49</v>
      </c>
      <c r="D87" s="231" t="s">
        <v>186</v>
      </c>
      <c r="E87" s="149" t="s">
        <v>110</v>
      </c>
      <c r="F87" s="383" t="s">
        <v>99</v>
      </c>
      <c r="G87" s="414" t="s">
        <v>300</v>
      </c>
      <c r="H87" s="414" t="s">
        <v>299</v>
      </c>
      <c r="I87" s="401" t="s">
        <v>319</v>
      </c>
      <c r="J87" s="401" t="s">
        <v>320</v>
      </c>
      <c r="K87" s="385" t="s">
        <v>177</v>
      </c>
    </row>
    <row r="88" spans="1:14" ht="15.75" customHeight="1">
      <c r="A88" s="66">
        <v>50</v>
      </c>
      <c r="B88" s="231" t="s">
        <v>377</v>
      </c>
      <c r="C88" s="235" t="s">
        <v>49</v>
      </c>
      <c r="D88" s="187" t="s">
        <v>200</v>
      </c>
      <c r="E88" s="229" t="s">
        <v>110</v>
      </c>
      <c r="F88" s="376" t="s">
        <v>99</v>
      </c>
      <c r="G88" s="420" t="s">
        <v>305</v>
      </c>
      <c r="H88" s="420" t="s">
        <v>309</v>
      </c>
      <c r="I88" s="406" t="s">
        <v>316</v>
      </c>
      <c r="J88" s="408" t="s">
        <v>317</v>
      </c>
      <c r="K88" s="385" t="s">
        <v>202</v>
      </c>
    </row>
    <row r="89" spans="1:14" ht="15.75" customHeight="1">
      <c r="A89" s="66">
        <v>50</v>
      </c>
      <c r="B89" s="65" t="s">
        <v>384</v>
      </c>
      <c r="C89" s="64" t="s">
        <v>36</v>
      </c>
      <c r="D89" s="65" t="s">
        <v>380</v>
      </c>
      <c r="E89" s="65" t="s">
        <v>110</v>
      </c>
      <c r="F89" s="223" t="s">
        <v>98</v>
      </c>
      <c r="G89" s="415" t="s">
        <v>302</v>
      </c>
      <c r="H89" s="415" t="s">
        <v>297</v>
      </c>
      <c r="I89" s="409" t="s">
        <v>314</v>
      </c>
      <c r="J89" s="409" t="s">
        <v>325</v>
      </c>
      <c r="K89" s="386" t="s">
        <v>216</v>
      </c>
    </row>
    <row r="90" spans="1:14" ht="15.75" customHeight="1">
      <c r="A90" s="66">
        <v>100</v>
      </c>
      <c r="B90" s="149" t="s">
        <v>255</v>
      </c>
      <c r="C90" s="64" t="s">
        <v>46</v>
      </c>
      <c r="D90" s="149" t="s">
        <v>380</v>
      </c>
      <c r="E90" s="149" t="s">
        <v>110</v>
      </c>
      <c r="F90" s="252" t="s">
        <v>99</v>
      </c>
      <c r="G90" s="414" t="s">
        <v>310</v>
      </c>
      <c r="H90" s="414" t="s">
        <v>297</v>
      </c>
      <c r="I90" s="403" t="s">
        <v>288</v>
      </c>
      <c r="J90" s="401" t="s">
        <v>324</v>
      </c>
      <c r="K90" s="385" t="s">
        <v>177</v>
      </c>
    </row>
    <row r="91" spans="1:14" ht="15.75" customHeight="1">
      <c r="A91" s="444">
        <v>100</v>
      </c>
      <c r="B91" s="149" t="s">
        <v>383</v>
      </c>
      <c r="C91" s="64" t="s">
        <v>49</v>
      </c>
      <c r="D91" s="149" t="s">
        <v>380</v>
      </c>
      <c r="E91" s="424" t="s">
        <v>110</v>
      </c>
      <c r="F91" s="252" t="s">
        <v>99</v>
      </c>
      <c r="G91" s="414" t="s">
        <v>300</v>
      </c>
      <c r="H91" s="414" t="s">
        <v>299</v>
      </c>
      <c r="I91" s="408" t="s">
        <v>319</v>
      </c>
      <c r="J91" s="408"/>
      <c r="K91" s="385" t="s">
        <v>177</v>
      </c>
    </row>
    <row r="92" spans="1:14" ht="15.75" customHeight="1">
      <c r="A92" s="445" t="s">
        <v>332</v>
      </c>
      <c r="B92" s="225" t="s">
        <v>256</v>
      </c>
      <c r="C92" s="236" t="s">
        <v>52</v>
      </c>
      <c r="D92" s="225" t="s">
        <v>380</v>
      </c>
      <c r="E92" s="225" t="s">
        <v>402</v>
      </c>
      <c r="F92" s="384" t="s">
        <v>99</v>
      </c>
      <c r="G92" s="413" t="s">
        <v>300</v>
      </c>
      <c r="H92" s="413" t="s">
        <v>299</v>
      </c>
      <c r="I92" s="402" t="s">
        <v>319</v>
      </c>
      <c r="J92" s="402" t="s">
        <v>323</v>
      </c>
      <c r="K92" s="386" t="s">
        <v>401</v>
      </c>
    </row>
    <row r="93" spans="1:14" ht="15.5">
      <c r="A93" s="5">
        <v>100</v>
      </c>
      <c r="B93" s="65" t="s">
        <v>388</v>
      </c>
      <c r="C93" s="65" t="s">
        <v>372</v>
      </c>
      <c r="D93" s="65" t="s">
        <v>379</v>
      </c>
      <c r="E93" s="239" t="s">
        <v>111</v>
      </c>
      <c r="F93" s="223" t="s">
        <v>98</v>
      </c>
      <c r="G93" s="419" t="s">
        <v>307</v>
      </c>
      <c r="H93" s="419" t="s">
        <v>308</v>
      </c>
      <c r="I93" s="406" t="s">
        <v>373</v>
      </c>
      <c r="J93" s="254"/>
      <c r="K93" s="54"/>
      <c r="L93" s="344" t="s">
        <v>269</v>
      </c>
      <c r="M93" s="345"/>
      <c r="N93" s="346"/>
    </row>
    <row r="94" spans="1:14" ht="15.5">
      <c r="A94" s="5">
        <v>200</v>
      </c>
      <c r="B94" s="149" t="s">
        <v>389</v>
      </c>
      <c r="C94" s="149" t="s">
        <v>46</v>
      </c>
      <c r="D94" s="149" t="s">
        <v>379</v>
      </c>
      <c r="E94" s="369" t="s">
        <v>111</v>
      </c>
      <c r="F94" s="252" t="s">
        <v>99</v>
      </c>
      <c r="G94" s="258" t="s">
        <v>390</v>
      </c>
      <c r="H94" s="258" t="s">
        <v>308</v>
      </c>
      <c r="I94" s="258"/>
      <c r="J94" s="258" t="s">
        <v>317</v>
      </c>
      <c r="K94" s="54"/>
      <c r="L94" s="435"/>
      <c r="M94" s="173"/>
      <c r="N94" s="174"/>
    </row>
    <row r="95" spans="1:14" ht="15.5">
      <c r="A95" s="5">
        <v>100</v>
      </c>
      <c r="B95" s="149" t="s">
        <v>378</v>
      </c>
      <c r="C95" s="149" t="s">
        <v>49</v>
      </c>
      <c r="D95" s="149" t="s">
        <v>379</v>
      </c>
      <c r="E95" s="424" t="s">
        <v>110</v>
      </c>
      <c r="F95" s="252" t="s">
        <v>99</v>
      </c>
      <c r="G95" s="258" t="s">
        <v>305</v>
      </c>
      <c r="H95" s="258" t="s">
        <v>309</v>
      </c>
      <c r="I95" s="258"/>
      <c r="K95" s="54"/>
      <c r="L95" s="435"/>
      <c r="M95" s="173"/>
      <c r="N95" s="174"/>
    </row>
    <row r="96" spans="1:14" ht="15.5">
      <c r="B96" s="256"/>
      <c r="C96" s="256"/>
      <c r="D96" s="256"/>
      <c r="E96" s="256"/>
      <c r="F96" s="256"/>
      <c r="G96" s="256"/>
      <c r="H96" s="256"/>
      <c r="I96" s="256"/>
      <c r="J96" s="256"/>
      <c r="K96" s="54"/>
      <c r="L96" s="435"/>
      <c r="M96" s="173"/>
      <c r="N96" s="174"/>
    </row>
    <row r="97" spans="2:14" ht="15.5">
      <c r="B97" s="434"/>
      <c r="D97" s="484" t="s">
        <v>367</v>
      </c>
      <c r="E97" s="54"/>
      <c r="F97" s="54"/>
      <c r="G97" s="54"/>
      <c r="H97" s="54"/>
      <c r="I97" s="266"/>
      <c r="J97" s="266"/>
      <c r="L97" s="347" t="s">
        <v>176</v>
      </c>
      <c r="M97" s="173"/>
      <c r="N97" s="174"/>
    </row>
    <row r="98" spans="2:14" ht="21">
      <c r="B98" s="427" t="s">
        <v>155</v>
      </c>
      <c r="L98" s="347" t="s">
        <v>174</v>
      </c>
      <c r="M98" s="173"/>
      <c r="N98" s="174"/>
    </row>
    <row r="99" spans="2:14" ht="18.5">
      <c r="B99" s="275" t="s">
        <v>160</v>
      </c>
      <c r="L99" s="347" t="s">
        <v>175</v>
      </c>
      <c r="M99" s="173"/>
      <c r="N99" s="174"/>
    </row>
    <row r="100" spans="2:14" ht="15.5">
      <c r="B100" s="357" t="s">
        <v>265</v>
      </c>
      <c r="C100" s="357" t="s">
        <v>154</v>
      </c>
      <c r="D100" s="357" t="s">
        <v>328</v>
      </c>
      <c r="E100" s="357" t="s">
        <v>148</v>
      </c>
      <c r="F100" s="357" t="s">
        <v>147</v>
      </c>
      <c r="G100" s="357" t="s">
        <v>329</v>
      </c>
      <c r="H100" s="410"/>
      <c r="I100" s="390"/>
      <c r="J100" s="390"/>
      <c r="L100" s="360" t="s">
        <v>185</v>
      </c>
      <c r="M100" s="177"/>
      <c r="N100" s="178"/>
    </row>
    <row r="101" spans="2:14" ht="15.75" customHeight="1">
      <c r="B101" s="254" t="s">
        <v>50</v>
      </c>
      <c r="C101" s="254" t="s">
        <v>49</v>
      </c>
      <c r="D101" s="254" t="s">
        <v>51</v>
      </c>
      <c r="E101" s="272" t="s">
        <v>110</v>
      </c>
      <c r="F101" s="255" t="s">
        <v>98</v>
      </c>
      <c r="G101" s="272"/>
      <c r="H101" s="411"/>
      <c r="I101" s="391"/>
      <c r="J101" s="391"/>
      <c r="K101" s="266" t="s">
        <v>157</v>
      </c>
    </row>
    <row r="102" spans="2:14" ht="15.75" customHeight="1">
      <c r="B102" s="256" t="s">
        <v>50</v>
      </c>
      <c r="C102" s="256" t="s">
        <v>56</v>
      </c>
      <c r="D102" s="256" t="s">
        <v>51</v>
      </c>
      <c r="E102" s="273" t="s">
        <v>110</v>
      </c>
      <c r="F102" s="257" t="s">
        <v>99</v>
      </c>
      <c r="G102" s="273"/>
      <c r="H102" s="411"/>
      <c r="I102" s="391"/>
      <c r="J102" s="391"/>
      <c r="K102" s="266" t="s">
        <v>157</v>
      </c>
    </row>
    <row r="103" spans="2:14" ht="15.75" customHeight="1">
      <c r="B103" s="258" t="s">
        <v>61</v>
      </c>
      <c r="C103" s="259" t="s">
        <v>46</v>
      </c>
      <c r="D103" s="254" t="s">
        <v>47</v>
      </c>
      <c r="E103" s="272" t="s">
        <v>110</v>
      </c>
      <c r="F103" s="255" t="s">
        <v>98</v>
      </c>
      <c r="G103" s="272"/>
      <c r="H103" s="411"/>
      <c r="I103" s="391"/>
      <c r="J103" s="391"/>
      <c r="K103" s="266" t="s">
        <v>157</v>
      </c>
      <c r="L103" s="66"/>
      <c r="M103" s="66"/>
    </row>
    <row r="104" spans="2:14" ht="15.75" customHeight="1">
      <c r="B104" s="258" t="s">
        <v>61</v>
      </c>
      <c r="C104" s="256" t="s">
        <v>46</v>
      </c>
      <c r="D104" s="258" t="s">
        <v>41</v>
      </c>
      <c r="E104" s="271" t="s">
        <v>110</v>
      </c>
      <c r="F104" s="260" t="s">
        <v>98</v>
      </c>
      <c r="G104" s="271"/>
      <c r="H104" s="411"/>
      <c r="I104" s="391"/>
      <c r="J104" s="391"/>
      <c r="K104" s="266" t="s">
        <v>157</v>
      </c>
    </row>
    <row r="105" spans="2:14" ht="15.75" customHeight="1">
      <c r="B105" s="254" t="s">
        <v>61</v>
      </c>
      <c r="C105" s="259" t="s">
        <v>52</v>
      </c>
      <c r="D105" s="254" t="s">
        <v>47</v>
      </c>
      <c r="E105" s="272" t="s">
        <v>110</v>
      </c>
      <c r="F105" s="261" t="s">
        <v>99</v>
      </c>
      <c r="G105" s="272"/>
      <c r="H105" s="411"/>
      <c r="I105" s="391"/>
      <c r="J105" s="391"/>
      <c r="K105" s="266" t="s">
        <v>157</v>
      </c>
    </row>
    <row r="106" spans="2:14" ht="15.75" customHeight="1">
      <c r="B106" s="256" t="s">
        <v>61</v>
      </c>
      <c r="C106" s="256" t="s">
        <v>52</v>
      </c>
      <c r="D106" s="256" t="s">
        <v>53</v>
      </c>
      <c r="E106" s="273" t="s">
        <v>110</v>
      </c>
      <c r="F106" s="257" t="s">
        <v>99</v>
      </c>
      <c r="G106" s="273"/>
      <c r="H106" s="411"/>
      <c r="I106" s="391"/>
      <c r="J106" s="391"/>
      <c r="K106" s="266" t="s">
        <v>157</v>
      </c>
    </row>
    <row r="107" spans="2:14" ht="15.75" customHeight="1">
      <c r="B107" s="256" t="s">
        <v>61</v>
      </c>
      <c r="C107" s="263" t="s">
        <v>57</v>
      </c>
      <c r="D107" s="256" t="s">
        <v>41</v>
      </c>
      <c r="E107" s="273" t="s">
        <v>110</v>
      </c>
      <c r="F107" s="257" t="s">
        <v>99</v>
      </c>
      <c r="G107" s="273"/>
      <c r="H107" s="411"/>
      <c r="I107" s="391"/>
      <c r="J107" s="391"/>
      <c r="K107" s="266" t="s">
        <v>157</v>
      </c>
    </row>
    <row r="108" spans="2:14" ht="15.75" customHeight="1">
      <c r="B108" s="263" t="s">
        <v>61</v>
      </c>
      <c r="C108" s="264" t="s">
        <v>59</v>
      </c>
      <c r="D108" s="263" t="s">
        <v>41</v>
      </c>
      <c r="E108" s="274" t="s">
        <v>110</v>
      </c>
      <c r="F108" s="265" t="s">
        <v>99</v>
      </c>
      <c r="G108" s="274"/>
      <c r="H108" s="411"/>
      <c r="I108" s="391"/>
      <c r="J108" s="391"/>
      <c r="K108" s="266" t="s">
        <v>157</v>
      </c>
    </row>
    <row r="109" spans="2:14" ht="15.5">
      <c r="B109" s="357" t="s">
        <v>62</v>
      </c>
      <c r="C109" s="357" t="s">
        <v>154</v>
      </c>
      <c r="D109" s="357" t="s">
        <v>155</v>
      </c>
      <c r="E109" s="357" t="s">
        <v>148</v>
      </c>
      <c r="F109" s="357" t="s">
        <v>147</v>
      </c>
      <c r="G109" s="357"/>
      <c r="H109" s="410"/>
      <c r="I109" s="390"/>
      <c r="J109" s="390"/>
    </row>
    <row r="110" spans="2:14" ht="15.5">
      <c r="B110" s="254" t="s">
        <v>270</v>
      </c>
      <c r="C110" s="267" t="s">
        <v>158</v>
      </c>
      <c r="D110" s="267" t="s">
        <v>51</v>
      </c>
      <c r="E110" s="272"/>
      <c r="F110" s="268" t="s">
        <v>98</v>
      </c>
      <c r="G110" s="272"/>
      <c r="H110" s="411"/>
      <c r="I110" s="391"/>
      <c r="J110" s="391"/>
      <c r="K110" s="266" t="s">
        <v>159</v>
      </c>
    </row>
    <row r="111" spans="2:14" ht="15.5">
      <c r="B111" s="258" t="s">
        <v>62</v>
      </c>
      <c r="C111" s="262" t="s">
        <v>43</v>
      </c>
      <c r="D111" s="262" t="s">
        <v>37</v>
      </c>
      <c r="E111" s="271" t="s">
        <v>110</v>
      </c>
      <c r="F111" s="269" t="s">
        <v>98</v>
      </c>
      <c r="G111" s="271"/>
      <c r="H111" s="411"/>
      <c r="I111" s="391"/>
      <c r="J111" s="391"/>
      <c r="K111" s="266" t="s">
        <v>157</v>
      </c>
    </row>
    <row r="112" spans="2:14" ht="15.5">
      <c r="B112" s="258" t="s">
        <v>62</v>
      </c>
      <c r="C112" s="262" t="s">
        <v>43</v>
      </c>
      <c r="D112" s="262" t="s">
        <v>38</v>
      </c>
      <c r="E112" s="271" t="s">
        <v>110</v>
      </c>
      <c r="F112" s="269" t="s">
        <v>98</v>
      </c>
      <c r="G112" s="271">
        <v>2018</v>
      </c>
      <c r="H112" s="411"/>
      <c r="I112" s="391"/>
      <c r="J112" s="391"/>
      <c r="K112" s="266"/>
    </row>
    <row r="113" spans="2:11" ht="15.5">
      <c r="B113" s="463" t="s">
        <v>234</v>
      </c>
      <c r="C113" s="464" t="s">
        <v>43</v>
      </c>
      <c r="D113" s="465" t="s">
        <v>45</v>
      </c>
      <c r="E113" s="466" t="s">
        <v>111</v>
      </c>
      <c r="F113" s="467" t="s">
        <v>98</v>
      </c>
      <c r="G113" s="462"/>
      <c r="H113" s="411"/>
      <c r="I113" s="391"/>
      <c r="J113" s="391"/>
      <c r="K113" s="266"/>
    </row>
    <row r="114" spans="2:11" ht="15.75" customHeight="1">
      <c r="B114" s="256" t="s">
        <v>235</v>
      </c>
      <c r="C114" s="256" t="s">
        <v>100</v>
      </c>
      <c r="D114" s="256" t="s">
        <v>41</v>
      </c>
      <c r="E114" s="273" t="s">
        <v>110</v>
      </c>
      <c r="F114" s="260" t="s">
        <v>98</v>
      </c>
      <c r="G114" s="273"/>
      <c r="H114" s="411"/>
      <c r="I114" s="391"/>
      <c r="J114" s="391"/>
      <c r="K114" s="266" t="s">
        <v>157</v>
      </c>
    </row>
    <row r="115" spans="2:11" ht="15.75" customHeight="1">
      <c r="B115" s="258" t="s">
        <v>62</v>
      </c>
      <c r="C115" s="258" t="s">
        <v>52</v>
      </c>
      <c r="D115" s="258" t="s">
        <v>55</v>
      </c>
      <c r="E115" s="271"/>
      <c r="F115" s="270" t="s">
        <v>99</v>
      </c>
      <c r="G115" s="580">
        <v>2017</v>
      </c>
      <c r="H115" s="411"/>
      <c r="I115" s="391"/>
      <c r="J115" s="391"/>
      <c r="K115" s="266" t="s">
        <v>159</v>
      </c>
    </row>
    <row r="116" spans="2:11" ht="15.75" customHeight="1">
      <c r="B116" s="258" t="s">
        <v>62</v>
      </c>
      <c r="C116" s="258" t="s">
        <v>52</v>
      </c>
      <c r="D116" s="258" t="s">
        <v>54</v>
      </c>
      <c r="E116" s="271" t="s">
        <v>110</v>
      </c>
      <c r="F116" s="270" t="s">
        <v>99</v>
      </c>
      <c r="G116" s="581"/>
      <c r="H116" s="411"/>
      <c r="I116" s="391"/>
      <c r="J116" s="391"/>
      <c r="K116" s="266" t="s">
        <v>157</v>
      </c>
    </row>
    <row r="117" spans="2:11" ht="15.75" customHeight="1">
      <c r="B117" s="258" t="s">
        <v>62</v>
      </c>
      <c r="C117" s="258" t="s">
        <v>52</v>
      </c>
      <c r="D117" s="258" t="s">
        <v>38</v>
      </c>
      <c r="E117" s="271" t="s">
        <v>110</v>
      </c>
      <c r="F117" s="257" t="s">
        <v>99</v>
      </c>
      <c r="G117" s="582"/>
      <c r="H117" s="411"/>
      <c r="I117" s="391"/>
      <c r="J117" s="391"/>
      <c r="K117" s="266"/>
    </row>
    <row r="118" spans="2:11" ht="15.75" customHeight="1">
      <c r="B118" s="468" t="s">
        <v>339</v>
      </c>
      <c r="C118" s="468" t="s">
        <v>52</v>
      </c>
      <c r="D118" s="468" t="s">
        <v>45</v>
      </c>
      <c r="E118" s="469" t="s">
        <v>111</v>
      </c>
      <c r="F118" s="470" t="s">
        <v>99</v>
      </c>
      <c r="G118" s="271">
        <v>2018</v>
      </c>
      <c r="H118" s="411"/>
      <c r="I118" s="391"/>
      <c r="J118" s="391"/>
      <c r="K118" s="266"/>
    </row>
    <row r="119" spans="2:11" ht="15.75" customHeight="1">
      <c r="B119" s="254" t="s">
        <v>62</v>
      </c>
      <c r="C119" s="254" t="s">
        <v>57</v>
      </c>
      <c r="D119" s="254" t="s">
        <v>58</v>
      </c>
      <c r="E119" s="272"/>
      <c r="F119" s="277" t="s">
        <v>99</v>
      </c>
      <c r="G119" s="272"/>
      <c r="H119" s="411"/>
      <c r="I119" s="391"/>
      <c r="J119" s="391"/>
      <c r="K119" s="266" t="s">
        <v>159</v>
      </c>
    </row>
    <row r="120" spans="2:11" ht="15.75" customHeight="1">
      <c r="B120" s="256" t="s">
        <v>62</v>
      </c>
      <c r="C120" s="256" t="s">
        <v>57</v>
      </c>
      <c r="D120" s="256" t="s">
        <v>38</v>
      </c>
      <c r="E120" s="273" t="s">
        <v>110</v>
      </c>
      <c r="F120" s="257" t="s">
        <v>99</v>
      </c>
      <c r="G120" s="273"/>
      <c r="H120" s="411"/>
      <c r="I120" s="391"/>
      <c r="J120" s="391"/>
      <c r="K120" s="266" t="s">
        <v>157</v>
      </c>
    </row>
    <row r="121" spans="2:11" ht="15.5">
      <c r="B121" s="256" t="s">
        <v>62</v>
      </c>
      <c r="C121" s="256" t="s">
        <v>59</v>
      </c>
      <c r="D121" s="256" t="s">
        <v>60</v>
      </c>
      <c r="E121" s="273"/>
      <c r="F121" s="257" t="s">
        <v>99</v>
      </c>
      <c r="G121" s="273"/>
      <c r="H121" s="411"/>
      <c r="I121" s="391"/>
      <c r="J121" s="391"/>
      <c r="K121" s="266" t="s">
        <v>159</v>
      </c>
    </row>
  </sheetData>
  <mergeCells count="3">
    <mergeCell ref="B6:O6"/>
    <mergeCell ref="B7:O8"/>
    <mergeCell ref="G115:G117"/>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880"/>
  <sheetViews>
    <sheetView showGridLines="0" zoomScale="70" zoomScaleNormal="70" zoomScalePageLayoutView="70" workbookViewId="0">
      <selection activeCell="B2" sqref="B2:D4"/>
    </sheetView>
  </sheetViews>
  <sheetFormatPr defaultColWidth="8.81640625" defaultRowHeight="13"/>
  <cols>
    <col min="1" max="1" width="4.453125" style="190" customWidth="1"/>
    <col min="2" max="2" width="43.6328125" style="190" customWidth="1"/>
    <col min="3" max="3" width="14.36328125" style="190" customWidth="1"/>
    <col min="4" max="4" width="12.81640625" style="190" customWidth="1"/>
    <col min="5" max="13" width="12.1796875" style="190" customWidth="1"/>
    <col min="14" max="14" width="13.36328125" style="190" customWidth="1"/>
    <col min="15" max="15" width="12.1796875" style="190" customWidth="1"/>
    <col min="16" max="16" width="13.1796875" style="190" customWidth="1"/>
    <col min="17" max="18" width="13" style="190" customWidth="1"/>
    <col min="19" max="19" width="19.6328125" style="210" bestFit="1" customWidth="1"/>
    <col min="20" max="30" width="11.81640625" style="190" customWidth="1"/>
    <col min="31" max="16384" width="8.81640625" style="190"/>
  </cols>
  <sheetData>
    <row r="1" spans="1:28" ht="12.5" customHeight="1"/>
    <row r="2" spans="1:28" ht="20.5" customHeight="1">
      <c r="A2" s="56"/>
      <c r="B2" s="6" t="str">
        <f>Introduction!$B$2</f>
        <v>LightCounting Ethernet Transceivers Forecast</v>
      </c>
      <c r="C2" s="337"/>
      <c r="D2" s="337"/>
    </row>
    <row r="3" spans="1:28" ht="15.5">
      <c r="B3" s="40" t="str">
        <f>Introduction!B3</f>
        <v>September 2020 - sample -- for illustrative purposes only</v>
      </c>
      <c r="C3" s="210"/>
      <c r="D3" s="210"/>
    </row>
    <row r="4" spans="1:28" ht="18.5">
      <c r="A4" s="56"/>
      <c r="B4" s="6" t="s">
        <v>350</v>
      </c>
      <c r="C4" s="337"/>
      <c r="D4" s="337"/>
      <c r="F4" s="306"/>
      <c r="G4" s="211"/>
      <c r="H4" s="211"/>
      <c r="I4" s="211"/>
      <c r="J4" s="211"/>
      <c r="K4" s="211"/>
      <c r="L4" s="211"/>
      <c r="M4" s="211"/>
      <c r="N4" s="211"/>
      <c r="O4" s="211"/>
    </row>
    <row r="5" spans="1:28" ht="18.5">
      <c r="A5" s="56"/>
      <c r="B5" s="6"/>
    </row>
    <row r="6" spans="1:28" ht="21">
      <c r="B6" s="216" t="s">
        <v>351</v>
      </c>
      <c r="C6" s="216"/>
      <c r="D6" s="216"/>
      <c r="E6" s="477"/>
      <c r="F6" s="478"/>
      <c r="G6" s="478"/>
      <c r="H6" s="478"/>
      <c r="I6" s="216" t="s">
        <v>356</v>
      </c>
      <c r="K6" s="478"/>
      <c r="L6" s="478"/>
      <c r="M6" s="478"/>
      <c r="N6" s="478"/>
      <c r="O6" s="216"/>
      <c r="P6" s="216"/>
      <c r="Q6" s="216" t="s">
        <v>357</v>
      </c>
      <c r="R6" s="216"/>
      <c r="T6" s="216"/>
      <c r="U6" s="216"/>
      <c r="AB6" s="216" t="s">
        <v>349</v>
      </c>
    </row>
    <row r="7" spans="1:28">
      <c r="A7" s="44"/>
      <c r="B7" s="44"/>
      <c r="C7" s="44"/>
      <c r="D7" s="44"/>
      <c r="E7" s="44"/>
      <c r="F7" s="44"/>
      <c r="G7" s="44"/>
      <c r="H7" s="44"/>
      <c r="I7" s="44"/>
      <c r="J7" s="44"/>
      <c r="K7" s="44"/>
      <c r="L7" s="44"/>
      <c r="M7" s="44"/>
      <c r="N7" s="44"/>
      <c r="O7" s="44"/>
    </row>
    <row r="8" spans="1:28">
      <c r="A8" s="44"/>
      <c r="B8" s="44"/>
      <c r="C8" s="44"/>
      <c r="D8" s="44"/>
      <c r="E8" s="44"/>
      <c r="F8" s="44"/>
      <c r="G8" s="44"/>
      <c r="H8" s="44"/>
      <c r="I8" s="44"/>
      <c r="J8" s="44"/>
      <c r="K8" s="44"/>
      <c r="L8" s="44"/>
      <c r="M8" s="44"/>
      <c r="N8" s="44"/>
      <c r="O8" s="44"/>
    </row>
    <row r="9" spans="1:28">
      <c r="A9" s="44"/>
      <c r="B9" s="44"/>
      <c r="C9" s="44"/>
      <c r="D9" s="44"/>
      <c r="E9" s="44"/>
      <c r="F9" s="44"/>
      <c r="G9" s="44"/>
      <c r="H9" s="44"/>
      <c r="I9" s="44"/>
      <c r="J9" s="44"/>
      <c r="K9" s="44"/>
      <c r="L9" s="44"/>
      <c r="M9" s="44"/>
      <c r="N9" s="44"/>
      <c r="O9" s="44"/>
    </row>
    <row r="10" spans="1:28">
      <c r="A10" s="44"/>
      <c r="B10" s="44"/>
      <c r="C10" s="44"/>
      <c r="D10" s="44"/>
      <c r="E10" s="44"/>
      <c r="F10" s="44"/>
      <c r="G10" s="44"/>
      <c r="H10" s="44"/>
      <c r="I10" s="44"/>
      <c r="J10" s="44"/>
      <c r="K10" s="44"/>
      <c r="L10" s="44"/>
      <c r="M10" s="44"/>
      <c r="N10" s="44"/>
      <c r="O10" s="44"/>
    </row>
    <row r="11" spans="1:28">
      <c r="A11" s="44"/>
      <c r="B11" s="44"/>
      <c r="C11" s="44"/>
      <c r="D11" s="44"/>
      <c r="E11" s="44"/>
      <c r="F11" s="44"/>
      <c r="G11" s="44"/>
      <c r="H11" s="44"/>
      <c r="I11" s="44"/>
      <c r="J11" s="44"/>
      <c r="K11" s="44"/>
      <c r="L11" s="44"/>
      <c r="M11" s="44"/>
      <c r="N11" s="44"/>
      <c r="O11" s="44"/>
    </row>
    <row r="12" spans="1:28">
      <c r="A12" s="44"/>
      <c r="B12" s="44"/>
      <c r="C12" s="44"/>
      <c r="D12" s="44"/>
      <c r="E12" s="44"/>
      <c r="F12" s="44"/>
      <c r="G12" s="44"/>
      <c r="H12" s="44"/>
      <c r="I12" s="44"/>
      <c r="J12" s="44"/>
      <c r="K12" s="44"/>
      <c r="L12" s="44"/>
      <c r="M12" s="44"/>
      <c r="N12" s="44"/>
      <c r="O12" s="44"/>
    </row>
    <row r="13" spans="1:28">
      <c r="A13" s="44"/>
      <c r="B13" s="44"/>
      <c r="C13" s="44"/>
      <c r="D13" s="44"/>
      <c r="E13" s="44"/>
      <c r="F13" s="44"/>
      <c r="G13" s="44"/>
      <c r="H13" s="44"/>
      <c r="I13" s="44"/>
      <c r="J13" s="44"/>
      <c r="K13" s="44"/>
      <c r="L13" s="44"/>
      <c r="M13" s="44"/>
      <c r="N13" s="44"/>
      <c r="O13" s="44"/>
    </row>
    <row r="14" spans="1:28">
      <c r="A14" s="44"/>
      <c r="B14" s="44"/>
      <c r="C14" s="44"/>
      <c r="D14" s="44"/>
      <c r="E14" s="44"/>
      <c r="F14" s="44"/>
      <c r="G14" s="44"/>
      <c r="H14" s="44"/>
      <c r="I14" s="44"/>
      <c r="J14" s="44"/>
      <c r="K14" s="44"/>
      <c r="L14" s="44"/>
      <c r="M14" s="44"/>
      <c r="N14" s="44"/>
      <c r="O14" s="44"/>
    </row>
    <row r="15" spans="1:28">
      <c r="A15" s="44"/>
      <c r="B15" s="44"/>
      <c r="C15" s="44"/>
      <c r="D15" s="44"/>
      <c r="E15" s="44"/>
      <c r="F15" s="44"/>
      <c r="G15" s="44"/>
      <c r="H15" s="44"/>
      <c r="I15" s="44"/>
      <c r="J15" s="44"/>
      <c r="K15" s="44"/>
      <c r="L15" s="44"/>
      <c r="M15" s="44"/>
      <c r="N15" s="44"/>
      <c r="O15" s="44"/>
    </row>
    <row r="16" spans="1:28">
      <c r="A16" s="44"/>
      <c r="B16" s="44"/>
      <c r="C16" s="44"/>
      <c r="D16" s="44"/>
      <c r="E16" s="44"/>
      <c r="F16" s="44"/>
      <c r="G16" s="44"/>
      <c r="H16" s="44"/>
      <c r="I16" s="44"/>
      <c r="J16" s="44"/>
      <c r="K16" s="44"/>
      <c r="L16" s="44"/>
      <c r="M16" s="44"/>
      <c r="N16" s="44"/>
      <c r="O16" s="44"/>
    </row>
    <row r="17" spans="1:21">
      <c r="A17" s="44"/>
      <c r="B17" s="44"/>
      <c r="C17" s="44"/>
      <c r="D17" s="44"/>
      <c r="E17" s="44"/>
      <c r="F17" s="44"/>
      <c r="G17" s="44"/>
      <c r="H17" s="44"/>
      <c r="I17" s="44"/>
      <c r="J17" s="44"/>
      <c r="K17" s="44"/>
      <c r="L17" s="44"/>
      <c r="M17" s="44"/>
      <c r="N17" s="44"/>
      <c r="O17" s="44"/>
    </row>
    <row r="18" spans="1:21">
      <c r="A18" s="44"/>
      <c r="B18" s="44"/>
      <c r="C18" s="44"/>
      <c r="D18" s="44"/>
      <c r="E18" s="44"/>
      <c r="F18" s="44"/>
      <c r="G18" s="44"/>
      <c r="H18" s="44"/>
      <c r="I18" s="44"/>
      <c r="J18" s="44"/>
      <c r="K18" s="44"/>
      <c r="L18" s="44"/>
      <c r="M18" s="44"/>
      <c r="N18" s="44"/>
      <c r="O18" s="44"/>
    </row>
    <row r="19" spans="1:21">
      <c r="A19" s="44"/>
      <c r="B19" s="44"/>
      <c r="C19" s="44"/>
      <c r="D19" s="44"/>
      <c r="E19" s="44"/>
      <c r="F19" s="44"/>
      <c r="G19" s="44"/>
      <c r="H19" s="44"/>
      <c r="I19" s="44"/>
      <c r="J19" s="44"/>
      <c r="K19" s="44"/>
      <c r="L19" s="44"/>
      <c r="M19" s="44"/>
      <c r="N19" s="44"/>
      <c r="O19" s="44"/>
    </row>
    <row r="20" spans="1:21">
      <c r="A20" s="44"/>
      <c r="B20" s="44"/>
      <c r="C20" s="44"/>
      <c r="D20" s="44"/>
      <c r="E20" s="44"/>
      <c r="F20" s="44"/>
      <c r="G20" s="44"/>
      <c r="H20" s="44"/>
      <c r="I20" s="44"/>
      <c r="J20" s="44"/>
      <c r="K20" s="44"/>
      <c r="L20" s="44"/>
      <c r="M20" s="44"/>
      <c r="N20" s="44"/>
      <c r="O20" s="44"/>
    </row>
    <row r="21" spans="1:21">
      <c r="A21" s="44"/>
      <c r="B21" s="44"/>
      <c r="C21" s="44"/>
      <c r="D21" s="44"/>
      <c r="E21" s="44"/>
      <c r="F21" s="44"/>
      <c r="G21" s="44"/>
      <c r="H21" s="44"/>
      <c r="I21" s="44"/>
      <c r="J21" s="44"/>
      <c r="K21" s="44"/>
      <c r="L21" s="44"/>
      <c r="M21" s="44"/>
      <c r="N21" s="44"/>
      <c r="O21" s="44"/>
    </row>
    <row r="22" spans="1:21">
      <c r="A22" s="44"/>
      <c r="B22" s="44"/>
      <c r="C22" s="44"/>
      <c r="D22" s="44"/>
      <c r="E22" s="44"/>
      <c r="F22" s="44"/>
      <c r="G22" s="44"/>
      <c r="H22" s="44"/>
      <c r="I22" s="44"/>
      <c r="J22" s="44"/>
      <c r="K22" s="44"/>
      <c r="L22" s="44"/>
      <c r="M22" s="44"/>
      <c r="N22" s="44"/>
      <c r="O22" s="44"/>
    </row>
    <row r="23" spans="1:21">
      <c r="A23" s="44"/>
      <c r="B23" s="44"/>
      <c r="C23" s="44"/>
      <c r="D23" s="44"/>
      <c r="E23" s="44"/>
      <c r="F23" s="44"/>
      <c r="G23" s="44"/>
      <c r="H23" s="44"/>
      <c r="I23" s="44"/>
      <c r="J23" s="44"/>
      <c r="K23" s="44"/>
      <c r="L23" s="44"/>
      <c r="M23" s="44"/>
      <c r="N23" s="44"/>
      <c r="O23" s="44"/>
    </row>
    <row r="24" spans="1:21">
      <c r="A24" s="44"/>
      <c r="B24" s="44"/>
      <c r="C24" s="44"/>
      <c r="D24" s="44"/>
      <c r="E24" s="44"/>
      <c r="F24" s="44"/>
      <c r="G24" s="44"/>
      <c r="H24" s="44"/>
      <c r="I24" s="44"/>
      <c r="J24" s="44"/>
      <c r="K24" s="44"/>
      <c r="L24" s="44"/>
      <c r="M24" s="44"/>
      <c r="N24" s="44"/>
      <c r="O24" s="44"/>
    </row>
    <row r="25" spans="1:21">
      <c r="A25" s="44"/>
      <c r="B25" s="44"/>
      <c r="C25" s="44"/>
      <c r="D25" s="44"/>
      <c r="E25" s="44"/>
      <c r="F25" s="44"/>
      <c r="G25" s="44"/>
      <c r="H25" s="44"/>
      <c r="I25" s="44"/>
      <c r="J25" s="44"/>
      <c r="K25" s="44"/>
      <c r="L25" s="44"/>
      <c r="M25" s="44"/>
      <c r="N25" s="44"/>
      <c r="O25" s="44"/>
    </row>
    <row r="26" spans="1:21">
      <c r="A26" s="44"/>
      <c r="B26" s="44"/>
      <c r="C26" s="44"/>
      <c r="D26" s="44"/>
      <c r="E26" s="44"/>
      <c r="F26" s="44"/>
      <c r="G26" s="44"/>
      <c r="H26" s="44"/>
      <c r="I26" s="44"/>
      <c r="J26" s="44"/>
      <c r="K26" s="44"/>
      <c r="L26" s="44"/>
      <c r="M26" s="44"/>
      <c r="N26" s="44"/>
      <c r="O26" s="44"/>
    </row>
    <row r="27" spans="1:21">
      <c r="A27" s="44"/>
      <c r="B27" s="44"/>
      <c r="C27" s="44"/>
      <c r="D27" s="44"/>
      <c r="E27" s="44"/>
      <c r="F27" s="44"/>
      <c r="G27" s="44"/>
      <c r="H27" s="44"/>
      <c r="I27" s="44"/>
      <c r="J27" s="44"/>
      <c r="K27" s="44"/>
      <c r="L27" s="44"/>
      <c r="M27" s="44"/>
      <c r="N27" s="44"/>
      <c r="O27" s="44"/>
    </row>
    <row r="28" spans="1:21" ht="21">
      <c r="B28" s="216" t="s">
        <v>352</v>
      </c>
      <c r="C28" s="216"/>
      <c r="D28" s="216"/>
      <c r="E28" s="477"/>
      <c r="F28" s="478"/>
      <c r="G28" s="478"/>
      <c r="H28" s="478"/>
      <c r="I28" s="216" t="s">
        <v>354</v>
      </c>
      <c r="K28" s="478"/>
      <c r="L28" s="478"/>
      <c r="M28" s="478"/>
      <c r="N28" s="478"/>
      <c r="O28" s="216"/>
      <c r="P28" s="216"/>
      <c r="Q28" s="216" t="s">
        <v>355</v>
      </c>
      <c r="R28" s="216"/>
      <c r="T28" s="216"/>
      <c r="U28" s="216"/>
    </row>
    <row r="29" spans="1:21">
      <c r="A29" s="44"/>
      <c r="B29" s="44"/>
      <c r="C29" s="44"/>
      <c r="D29" s="44"/>
      <c r="E29" s="44"/>
      <c r="F29" s="44"/>
      <c r="G29" s="44"/>
      <c r="H29" s="44"/>
      <c r="I29" s="44"/>
      <c r="J29" s="44"/>
      <c r="K29" s="44"/>
      <c r="L29" s="44"/>
      <c r="M29" s="44"/>
      <c r="N29" s="44"/>
      <c r="O29" s="44"/>
    </row>
    <row r="30" spans="1:21">
      <c r="A30" s="44"/>
      <c r="B30" s="44"/>
      <c r="C30" s="44"/>
      <c r="D30" s="44"/>
      <c r="E30" s="44"/>
      <c r="F30" s="44"/>
      <c r="G30" s="44"/>
      <c r="H30" s="44"/>
      <c r="I30" s="44"/>
      <c r="J30" s="44"/>
      <c r="K30" s="44"/>
      <c r="L30" s="44"/>
      <c r="M30" s="44"/>
      <c r="N30" s="44"/>
      <c r="O30" s="44"/>
    </row>
    <row r="31" spans="1:21">
      <c r="A31" s="44"/>
      <c r="B31" s="44"/>
      <c r="C31" s="44"/>
      <c r="D31" s="44"/>
      <c r="E31" s="44"/>
      <c r="F31" s="44"/>
      <c r="G31" s="44"/>
      <c r="H31" s="44"/>
      <c r="I31" s="44"/>
      <c r="J31" s="44"/>
      <c r="K31" s="44"/>
      <c r="L31" s="44"/>
      <c r="M31" s="44"/>
      <c r="N31" s="44"/>
      <c r="O31" s="44"/>
    </row>
    <row r="32" spans="1:21">
      <c r="A32" s="44"/>
      <c r="B32" s="44"/>
      <c r="C32" s="44"/>
      <c r="D32" s="44"/>
      <c r="E32" s="44"/>
      <c r="F32" s="44"/>
      <c r="G32" s="44"/>
      <c r="H32" s="44"/>
      <c r="I32" s="44"/>
      <c r="J32" s="44"/>
      <c r="K32" s="44"/>
      <c r="L32" s="44"/>
      <c r="M32" s="44"/>
      <c r="N32" s="44"/>
      <c r="O32" s="44"/>
    </row>
    <row r="33" spans="1:15">
      <c r="A33" s="44"/>
      <c r="B33" s="44"/>
      <c r="C33" s="44"/>
      <c r="D33" s="44"/>
      <c r="E33" s="44"/>
      <c r="F33" s="44"/>
      <c r="G33" s="44"/>
      <c r="H33" s="44"/>
      <c r="I33" s="44"/>
      <c r="J33" s="44"/>
      <c r="K33" s="44"/>
      <c r="L33" s="44"/>
      <c r="M33" s="44"/>
      <c r="N33" s="44"/>
      <c r="O33" s="44"/>
    </row>
    <row r="34" spans="1:15">
      <c r="A34" s="44"/>
      <c r="B34" s="44"/>
      <c r="C34" s="44"/>
      <c r="D34" s="44"/>
      <c r="E34" s="44"/>
      <c r="F34" s="44"/>
      <c r="G34" s="44"/>
      <c r="H34" s="44"/>
      <c r="I34" s="44"/>
      <c r="J34" s="44"/>
      <c r="K34" s="44"/>
      <c r="L34" s="44"/>
      <c r="M34" s="44"/>
      <c r="N34" s="44"/>
      <c r="O34" s="44"/>
    </row>
    <row r="35" spans="1:15">
      <c r="A35" s="44"/>
      <c r="B35" s="44"/>
      <c r="C35" s="44"/>
      <c r="D35" s="44"/>
      <c r="E35" s="44"/>
      <c r="F35" s="44"/>
      <c r="G35" s="44"/>
      <c r="H35" s="44"/>
      <c r="I35" s="44"/>
      <c r="J35" s="44"/>
      <c r="K35" s="44"/>
      <c r="L35" s="44"/>
      <c r="M35" s="44"/>
      <c r="N35" s="44"/>
      <c r="O35" s="44"/>
    </row>
    <row r="36" spans="1:15">
      <c r="A36" s="44"/>
      <c r="B36" s="44"/>
      <c r="C36" s="44"/>
      <c r="D36" s="44"/>
      <c r="E36" s="44"/>
      <c r="F36" s="44"/>
      <c r="G36" s="44"/>
      <c r="H36" s="44"/>
      <c r="I36" s="44"/>
      <c r="J36" s="44"/>
      <c r="K36" s="44"/>
      <c r="L36" s="44"/>
      <c r="M36" s="44"/>
      <c r="N36" s="44"/>
      <c r="O36" s="44"/>
    </row>
    <row r="37" spans="1:15">
      <c r="A37" s="44"/>
      <c r="B37" s="44"/>
      <c r="C37" s="44"/>
      <c r="D37" s="44"/>
      <c r="E37" s="44"/>
      <c r="F37" s="44"/>
      <c r="G37" s="44"/>
      <c r="H37" s="44"/>
      <c r="I37" s="44"/>
      <c r="J37" s="44"/>
      <c r="K37" s="44"/>
      <c r="L37" s="44"/>
      <c r="M37" s="44"/>
      <c r="N37" s="44"/>
      <c r="O37" s="44"/>
    </row>
    <row r="38" spans="1:15">
      <c r="A38" s="44"/>
      <c r="B38" s="44"/>
      <c r="C38" s="44"/>
      <c r="D38" s="44"/>
      <c r="E38" s="44"/>
      <c r="F38" s="44"/>
      <c r="G38" s="44"/>
      <c r="H38" s="44"/>
      <c r="I38" s="44"/>
      <c r="J38" s="44"/>
      <c r="K38" s="44"/>
      <c r="L38" s="44"/>
      <c r="M38" s="44"/>
      <c r="N38" s="44"/>
      <c r="O38" s="44"/>
    </row>
    <row r="39" spans="1:15">
      <c r="A39" s="44"/>
      <c r="B39" s="44"/>
      <c r="C39" s="44"/>
      <c r="D39" s="44"/>
      <c r="E39" s="44"/>
      <c r="F39" s="44"/>
      <c r="G39" s="44"/>
      <c r="H39" s="44"/>
      <c r="I39" s="44"/>
      <c r="J39" s="44"/>
      <c r="K39" s="44"/>
      <c r="L39" s="44"/>
      <c r="M39" s="44"/>
      <c r="N39" s="44"/>
      <c r="O39" s="44"/>
    </row>
    <row r="40" spans="1:15">
      <c r="A40" s="44"/>
      <c r="B40" s="44"/>
      <c r="C40" s="44"/>
      <c r="D40" s="44"/>
      <c r="E40" s="44"/>
      <c r="F40" s="44"/>
      <c r="G40" s="44"/>
      <c r="H40" s="44"/>
      <c r="I40" s="44"/>
      <c r="J40" s="44"/>
      <c r="K40" s="44"/>
      <c r="L40" s="44"/>
      <c r="M40" s="44"/>
      <c r="N40" s="44"/>
      <c r="O40" s="44"/>
    </row>
    <row r="41" spans="1:15">
      <c r="A41" s="44"/>
      <c r="B41" s="44"/>
      <c r="C41" s="44"/>
      <c r="D41" s="44"/>
      <c r="E41" s="44"/>
      <c r="F41" s="44"/>
      <c r="G41" s="44"/>
      <c r="H41" s="44"/>
      <c r="I41" s="44"/>
      <c r="J41" s="44"/>
      <c r="K41" s="44"/>
      <c r="L41" s="44"/>
      <c r="M41" s="44"/>
      <c r="N41" s="44"/>
      <c r="O41" s="44"/>
    </row>
    <row r="42" spans="1:15">
      <c r="A42" s="44"/>
      <c r="B42" s="44"/>
      <c r="C42" s="44"/>
      <c r="D42" s="44"/>
      <c r="E42" s="44"/>
      <c r="F42" s="44"/>
      <c r="G42" s="44"/>
      <c r="H42" s="44"/>
      <c r="I42" s="44"/>
      <c r="J42" s="44"/>
      <c r="K42" s="44"/>
      <c r="L42" s="44"/>
      <c r="M42" s="44"/>
      <c r="N42" s="44"/>
      <c r="O42" s="44"/>
    </row>
    <row r="43" spans="1:15">
      <c r="A43" s="44"/>
      <c r="B43" s="44"/>
      <c r="C43" s="44"/>
      <c r="D43" s="44"/>
      <c r="E43" s="44"/>
      <c r="F43" s="44"/>
      <c r="G43" s="44"/>
      <c r="H43" s="44"/>
      <c r="I43" s="44"/>
      <c r="J43" s="44"/>
      <c r="K43" s="44"/>
      <c r="L43" s="44"/>
      <c r="M43" s="44"/>
      <c r="N43" s="44"/>
      <c r="O43" s="44"/>
    </row>
    <row r="44" spans="1:15">
      <c r="A44" s="44"/>
      <c r="B44" s="44"/>
      <c r="C44" s="44"/>
      <c r="D44" s="44"/>
      <c r="E44" s="44"/>
      <c r="F44" s="44"/>
      <c r="G44" s="44"/>
      <c r="H44" s="44"/>
      <c r="I44" s="44"/>
      <c r="J44" s="44"/>
      <c r="K44" s="44"/>
      <c r="L44" s="44"/>
      <c r="M44" s="44"/>
      <c r="N44" s="44"/>
      <c r="O44" s="44"/>
    </row>
    <row r="45" spans="1:15">
      <c r="A45" s="44"/>
      <c r="B45" s="44"/>
      <c r="C45" s="44"/>
      <c r="D45" s="44"/>
      <c r="E45" s="44"/>
      <c r="F45" s="44"/>
      <c r="G45" s="44"/>
      <c r="H45" s="44"/>
      <c r="I45" s="44"/>
      <c r="J45" s="44"/>
      <c r="K45" s="44"/>
      <c r="L45" s="44"/>
      <c r="M45" s="44"/>
      <c r="N45" s="44"/>
      <c r="O45" s="44"/>
    </row>
    <row r="46" spans="1:15">
      <c r="A46" s="44"/>
      <c r="B46" s="44"/>
      <c r="C46" s="44"/>
      <c r="D46" s="44"/>
      <c r="E46" s="44"/>
      <c r="F46" s="44"/>
      <c r="G46" s="44"/>
      <c r="H46" s="44"/>
      <c r="I46" s="44"/>
      <c r="J46" s="44"/>
      <c r="K46" s="44"/>
      <c r="L46" s="44"/>
      <c r="M46" s="44"/>
      <c r="N46" s="44"/>
      <c r="O46" s="44"/>
    </row>
    <row r="47" spans="1:15">
      <c r="A47" s="44"/>
      <c r="B47" s="44"/>
      <c r="C47" s="44"/>
      <c r="D47" s="44"/>
      <c r="E47" s="44"/>
      <c r="F47" s="44"/>
      <c r="G47" s="44"/>
      <c r="H47" s="44"/>
      <c r="I47" s="44"/>
      <c r="J47" s="44"/>
      <c r="K47" s="44"/>
      <c r="L47" s="44"/>
      <c r="M47" s="44"/>
      <c r="N47" s="44"/>
      <c r="O47" s="44"/>
    </row>
    <row r="48" spans="1:15">
      <c r="A48" s="44"/>
      <c r="B48" s="44"/>
      <c r="C48" s="44"/>
      <c r="D48" s="44"/>
      <c r="E48" s="44"/>
      <c r="F48" s="44"/>
      <c r="G48" s="44"/>
      <c r="H48" s="44"/>
      <c r="I48" s="44"/>
      <c r="J48" s="44"/>
      <c r="K48" s="44"/>
      <c r="L48" s="44"/>
      <c r="M48" s="44"/>
      <c r="N48" s="44"/>
      <c r="O48" s="44"/>
    </row>
    <row r="49" spans="1:18">
      <c r="A49" s="44"/>
      <c r="B49" s="44"/>
      <c r="C49" s="44"/>
      <c r="D49" s="44"/>
      <c r="E49" s="44"/>
      <c r="F49" s="44"/>
      <c r="G49" s="44"/>
      <c r="H49" s="44"/>
      <c r="I49" s="44"/>
      <c r="J49" s="44"/>
      <c r="K49" s="44"/>
      <c r="L49" s="44"/>
      <c r="M49" s="44"/>
      <c r="N49" s="44"/>
      <c r="O49" s="44"/>
    </row>
    <row r="50" spans="1:18" ht="21">
      <c r="A50" s="44"/>
      <c r="B50" s="476" t="s">
        <v>362</v>
      </c>
      <c r="C50" s="44"/>
      <c r="D50" s="44"/>
      <c r="E50" s="44"/>
      <c r="F50" s="44"/>
      <c r="G50" s="44"/>
      <c r="H50" s="44"/>
      <c r="I50" s="476" t="s">
        <v>361</v>
      </c>
      <c r="J50" s="44"/>
      <c r="K50" s="44"/>
      <c r="L50" s="44"/>
      <c r="M50" s="44"/>
      <c r="N50" s="44"/>
      <c r="O50" s="44"/>
      <c r="Q50" s="476" t="s">
        <v>346</v>
      </c>
      <c r="R50" s="476"/>
    </row>
    <row r="51" spans="1:18">
      <c r="A51" s="44"/>
      <c r="B51" s="44"/>
      <c r="C51" s="44"/>
      <c r="D51" s="44"/>
      <c r="E51" s="44"/>
      <c r="F51" s="44"/>
      <c r="G51" s="44"/>
      <c r="H51" s="44"/>
      <c r="I51" s="44"/>
      <c r="J51" s="44"/>
      <c r="K51" s="44"/>
      <c r="L51" s="44"/>
      <c r="M51" s="44"/>
      <c r="N51" s="44"/>
      <c r="O51" s="44"/>
    </row>
    <row r="52" spans="1:18">
      <c r="A52" s="44"/>
      <c r="B52" s="44"/>
      <c r="C52" s="44"/>
      <c r="D52" s="44"/>
      <c r="E52" s="44"/>
      <c r="F52" s="44"/>
      <c r="G52" s="44"/>
      <c r="H52" s="44"/>
      <c r="I52" s="44"/>
      <c r="J52" s="44"/>
      <c r="K52" s="44"/>
      <c r="L52" s="44"/>
      <c r="M52" s="44"/>
      <c r="N52" s="44"/>
      <c r="O52" s="44"/>
    </row>
    <row r="53" spans="1:18">
      <c r="A53" s="44"/>
      <c r="B53" s="44"/>
      <c r="C53" s="44"/>
      <c r="D53" s="44"/>
      <c r="E53" s="44"/>
      <c r="F53" s="44"/>
      <c r="G53" s="44"/>
      <c r="H53" s="44"/>
      <c r="I53" s="44"/>
      <c r="J53" s="44"/>
      <c r="K53" s="44"/>
      <c r="L53" s="44"/>
      <c r="M53" s="44"/>
      <c r="N53" s="44"/>
      <c r="O53" s="44"/>
    </row>
    <row r="54" spans="1:18">
      <c r="A54" s="44"/>
      <c r="B54" s="44"/>
      <c r="C54" s="44"/>
      <c r="D54" s="44"/>
      <c r="E54" s="44"/>
      <c r="F54" s="44"/>
      <c r="G54" s="44"/>
      <c r="H54" s="44"/>
      <c r="I54" s="44"/>
      <c r="J54" s="44"/>
      <c r="K54" s="44"/>
      <c r="L54" s="44"/>
      <c r="M54" s="44"/>
      <c r="N54" s="44"/>
      <c r="O54" s="44"/>
    </row>
    <row r="55" spans="1:18">
      <c r="A55" s="44"/>
      <c r="B55" s="44"/>
      <c r="C55" s="44"/>
      <c r="D55" s="44"/>
      <c r="E55" s="44"/>
      <c r="F55" s="44"/>
      <c r="G55" s="44"/>
      <c r="H55" s="44"/>
      <c r="I55" s="44"/>
      <c r="J55" s="44"/>
      <c r="K55" s="44"/>
      <c r="L55" s="44"/>
      <c r="M55" s="44"/>
      <c r="N55" s="44"/>
      <c r="O55" s="44"/>
    </row>
    <row r="56" spans="1:18">
      <c r="A56" s="44"/>
      <c r="B56" s="44"/>
      <c r="C56" s="44"/>
      <c r="D56" s="44"/>
      <c r="E56" s="44"/>
      <c r="F56" s="44"/>
      <c r="G56" s="44"/>
      <c r="H56" s="44"/>
      <c r="I56" s="44"/>
      <c r="J56" s="44"/>
      <c r="K56" s="44"/>
      <c r="L56" s="44"/>
      <c r="M56" s="44"/>
      <c r="N56" s="44"/>
      <c r="O56" s="44"/>
    </row>
    <row r="57" spans="1:18">
      <c r="A57" s="44"/>
      <c r="B57" s="44"/>
      <c r="C57" s="44"/>
      <c r="D57" s="44"/>
      <c r="E57" s="44"/>
      <c r="F57" s="44"/>
      <c r="G57" s="44"/>
      <c r="H57" s="44"/>
      <c r="I57" s="44"/>
      <c r="J57" s="44"/>
      <c r="K57" s="44"/>
      <c r="L57" s="44"/>
      <c r="M57" s="44"/>
      <c r="N57" s="44"/>
      <c r="O57" s="44"/>
    </row>
    <row r="58" spans="1:18">
      <c r="A58" s="44"/>
      <c r="B58" s="44"/>
      <c r="C58" s="44"/>
      <c r="D58" s="44"/>
      <c r="E58" s="44"/>
      <c r="F58" s="44"/>
      <c r="G58" s="44"/>
      <c r="H58" s="44"/>
      <c r="I58" s="44"/>
      <c r="J58" s="44"/>
      <c r="K58" s="44"/>
      <c r="L58" s="44"/>
      <c r="M58" s="44"/>
      <c r="N58" s="44"/>
      <c r="O58" s="44"/>
    </row>
    <row r="59" spans="1:18">
      <c r="A59" s="44"/>
      <c r="B59" s="44"/>
      <c r="C59" s="44"/>
      <c r="D59" s="44"/>
      <c r="E59" s="44"/>
      <c r="F59" s="44"/>
      <c r="G59" s="44"/>
      <c r="H59" s="44"/>
      <c r="I59" s="44"/>
      <c r="J59" s="44"/>
      <c r="K59" s="44"/>
      <c r="L59" s="44"/>
      <c r="M59" s="44"/>
      <c r="N59" s="44"/>
      <c r="O59" s="44"/>
    </row>
    <row r="60" spans="1:18">
      <c r="A60" s="44"/>
      <c r="B60" s="44"/>
      <c r="C60" s="44"/>
      <c r="D60" s="44"/>
      <c r="E60" s="44"/>
      <c r="F60" s="44"/>
      <c r="G60" s="44"/>
      <c r="H60" s="44"/>
      <c r="I60" s="44"/>
      <c r="J60" s="44"/>
      <c r="K60" s="44"/>
      <c r="L60" s="44"/>
      <c r="M60" s="44"/>
      <c r="N60" s="44"/>
      <c r="O60" s="44"/>
    </row>
    <row r="61" spans="1:18">
      <c r="A61" s="44"/>
      <c r="B61" s="44"/>
      <c r="C61" s="44"/>
      <c r="D61" s="44"/>
      <c r="E61" s="44"/>
      <c r="F61" s="44"/>
      <c r="G61" s="44"/>
      <c r="H61" s="44"/>
      <c r="I61" s="44"/>
      <c r="J61" s="44"/>
      <c r="K61" s="44"/>
      <c r="L61" s="44"/>
      <c r="M61" s="44"/>
      <c r="N61" s="44"/>
      <c r="O61" s="44"/>
    </row>
    <row r="62" spans="1:18">
      <c r="A62" s="44"/>
      <c r="B62" s="44"/>
      <c r="C62" s="44"/>
      <c r="D62" s="44"/>
      <c r="E62" s="44"/>
      <c r="F62" s="44"/>
      <c r="G62" s="44"/>
      <c r="H62" s="44"/>
      <c r="I62" s="44"/>
      <c r="J62" s="44"/>
      <c r="K62" s="44"/>
      <c r="L62" s="44"/>
      <c r="M62" s="44"/>
      <c r="N62" s="44"/>
      <c r="O62" s="44"/>
    </row>
    <row r="63" spans="1:18">
      <c r="A63" s="44"/>
      <c r="B63" s="44"/>
      <c r="C63" s="44"/>
      <c r="D63" s="44"/>
      <c r="E63" s="44"/>
      <c r="F63" s="44"/>
      <c r="G63" s="44"/>
      <c r="H63" s="44"/>
      <c r="I63" s="44"/>
      <c r="J63" s="44"/>
      <c r="K63" s="44"/>
      <c r="L63" s="44"/>
      <c r="M63" s="44"/>
      <c r="N63" s="44"/>
      <c r="O63" s="44"/>
    </row>
    <row r="64" spans="1:18">
      <c r="A64" s="44"/>
      <c r="B64" s="44"/>
      <c r="C64" s="44"/>
      <c r="D64" s="44"/>
      <c r="E64" s="44"/>
      <c r="F64" s="44"/>
      <c r="G64" s="44"/>
      <c r="H64" s="44"/>
      <c r="I64" s="44"/>
      <c r="J64" s="44"/>
      <c r="K64" s="44"/>
      <c r="L64" s="44"/>
      <c r="M64" s="44"/>
      <c r="N64" s="44"/>
      <c r="O64" s="44"/>
    </row>
    <row r="65" spans="1:15">
      <c r="A65" s="44"/>
      <c r="B65" s="44"/>
      <c r="C65" s="44"/>
      <c r="D65" s="44"/>
      <c r="E65" s="44"/>
      <c r="F65" s="44"/>
      <c r="G65" s="44"/>
      <c r="H65" s="44"/>
      <c r="I65" s="44"/>
      <c r="J65" s="44"/>
      <c r="K65" s="44"/>
      <c r="L65" s="44"/>
      <c r="M65" s="44"/>
      <c r="N65" s="44"/>
      <c r="O65" s="44"/>
    </row>
    <row r="66" spans="1:15">
      <c r="A66" s="44"/>
      <c r="B66" s="44"/>
      <c r="C66" s="44"/>
      <c r="D66" s="44"/>
      <c r="E66" s="44"/>
      <c r="F66" s="44"/>
      <c r="G66" s="44"/>
      <c r="H66" s="44"/>
      <c r="I66" s="44"/>
      <c r="J66" s="44"/>
      <c r="K66" s="44"/>
      <c r="L66" s="44"/>
      <c r="M66" s="44"/>
      <c r="N66" s="44"/>
      <c r="O66" s="44"/>
    </row>
    <row r="67" spans="1:15">
      <c r="A67" s="44"/>
      <c r="B67" s="44"/>
      <c r="C67" s="44"/>
      <c r="D67" s="44"/>
      <c r="E67" s="44"/>
      <c r="F67" s="44"/>
      <c r="G67" s="44"/>
      <c r="H67" s="44"/>
      <c r="I67" s="44"/>
      <c r="J67" s="44"/>
      <c r="K67" s="44"/>
      <c r="L67" s="44"/>
      <c r="M67" s="44"/>
      <c r="N67" s="44"/>
      <c r="O67" s="44"/>
    </row>
    <row r="68" spans="1:15">
      <c r="A68" s="44"/>
      <c r="B68" s="44"/>
      <c r="C68" s="44"/>
      <c r="D68" s="44"/>
      <c r="E68" s="44"/>
      <c r="F68" s="44"/>
      <c r="G68" s="44"/>
      <c r="H68" s="44"/>
      <c r="I68" s="44"/>
      <c r="J68" s="44"/>
      <c r="K68" s="44"/>
      <c r="L68" s="44"/>
      <c r="M68" s="44"/>
      <c r="N68" s="44"/>
      <c r="O68" s="44"/>
    </row>
    <row r="69" spans="1:15">
      <c r="A69" s="44"/>
      <c r="B69" s="44"/>
      <c r="C69" s="44"/>
      <c r="D69" s="44"/>
      <c r="E69" s="44"/>
      <c r="F69" s="44"/>
      <c r="G69" s="44"/>
      <c r="H69" s="44"/>
      <c r="I69" s="44"/>
      <c r="J69" s="44"/>
      <c r="K69" s="44"/>
      <c r="L69" s="44"/>
      <c r="M69" s="44"/>
      <c r="N69" s="44"/>
      <c r="O69" s="44"/>
    </row>
    <row r="70" spans="1:15">
      <c r="A70" s="44"/>
      <c r="B70" s="44"/>
      <c r="C70" s="44"/>
      <c r="D70" s="44"/>
      <c r="E70" s="44"/>
      <c r="F70" s="44"/>
      <c r="G70" s="44"/>
      <c r="H70" s="44"/>
      <c r="I70" s="44"/>
      <c r="J70" s="44"/>
      <c r="K70" s="44"/>
      <c r="L70" s="44"/>
      <c r="M70" s="44"/>
      <c r="N70" s="44"/>
      <c r="O70" s="44"/>
    </row>
    <row r="71" spans="1:15">
      <c r="A71" s="44"/>
      <c r="B71" s="44"/>
      <c r="C71" s="44"/>
      <c r="D71" s="44"/>
      <c r="E71" s="44"/>
      <c r="F71" s="44"/>
      <c r="G71" s="44"/>
      <c r="H71" s="44"/>
      <c r="I71" s="44"/>
      <c r="J71" s="44"/>
      <c r="K71" s="44"/>
      <c r="L71" s="44"/>
      <c r="M71" s="44"/>
      <c r="N71" s="44"/>
      <c r="O71" s="44"/>
    </row>
    <row r="72" spans="1:15">
      <c r="A72" s="44"/>
      <c r="B72" s="44"/>
      <c r="C72" s="44"/>
      <c r="D72" s="44"/>
      <c r="E72" s="44"/>
      <c r="F72" s="44"/>
      <c r="G72" s="44"/>
      <c r="H72" s="44"/>
      <c r="I72" s="44"/>
      <c r="J72" s="44"/>
      <c r="K72" s="44"/>
      <c r="L72" s="44"/>
      <c r="M72" s="44"/>
      <c r="N72" s="44"/>
      <c r="O72" s="44"/>
    </row>
    <row r="73" spans="1:15" ht="21">
      <c r="A73" s="44"/>
      <c r="B73" s="476" t="s">
        <v>358</v>
      </c>
      <c r="C73" s="44"/>
      <c r="D73" s="44"/>
      <c r="E73" s="44"/>
      <c r="F73" s="44"/>
      <c r="G73" s="44"/>
      <c r="H73" s="44"/>
      <c r="I73" s="476" t="s">
        <v>359</v>
      </c>
      <c r="J73" s="44"/>
      <c r="K73" s="44"/>
      <c r="L73" s="44"/>
      <c r="M73" s="44"/>
      <c r="N73" s="44"/>
      <c r="O73" s="44"/>
    </row>
    <row r="74" spans="1:15">
      <c r="A74" s="44"/>
      <c r="B74" s="44"/>
      <c r="C74" s="44"/>
      <c r="D74" s="44"/>
      <c r="E74" s="44"/>
      <c r="F74" s="44"/>
      <c r="G74" s="44"/>
      <c r="H74" s="44"/>
      <c r="I74" s="44"/>
      <c r="J74" s="44"/>
      <c r="K74" s="44"/>
      <c r="L74" s="44"/>
      <c r="M74" s="44"/>
      <c r="N74" s="44"/>
      <c r="O74" s="44"/>
    </row>
    <row r="75" spans="1:15">
      <c r="A75" s="44"/>
      <c r="B75" s="44"/>
      <c r="C75" s="44"/>
      <c r="D75" s="44"/>
      <c r="E75" s="44"/>
      <c r="F75" s="44"/>
      <c r="G75" s="44"/>
      <c r="H75" s="44"/>
      <c r="I75" s="44"/>
      <c r="J75" s="44"/>
      <c r="K75" s="44"/>
      <c r="L75" s="44"/>
      <c r="M75" s="44"/>
      <c r="N75" s="44"/>
      <c r="O75" s="44"/>
    </row>
    <row r="76" spans="1:15">
      <c r="A76" s="44"/>
      <c r="B76" s="44"/>
      <c r="C76" s="44"/>
      <c r="D76" s="44"/>
      <c r="E76" s="44"/>
      <c r="F76" s="44"/>
      <c r="G76" s="44"/>
      <c r="H76" s="44"/>
      <c r="I76" s="44"/>
      <c r="J76" s="44"/>
      <c r="K76" s="44"/>
      <c r="L76" s="44"/>
      <c r="M76" s="44"/>
      <c r="N76" s="44"/>
      <c r="O76" s="44"/>
    </row>
    <row r="77" spans="1:15">
      <c r="A77" s="44"/>
      <c r="B77" s="44"/>
      <c r="C77" s="44"/>
      <c r="D77" s="44"/>
      <c r="E77" s="44"/>
      <c r="F77" s="44"/>
      <c r="G77" s="44"/>
      <c r="H77" s="44"/>
      <c r="I77" s="44"/>
      <c r="J77" s="44"/>
      <c r="K77" s="44"/>
      <c r="L77" s="44"/>
      <c r="M77" s="44"/>
      <c r="N77" s="44"/>
      <c r="O77" s="44"/>
    </row>
    <row r="78" spans="1:15">
      <c r="A78" s="44"/>
      <c r="B78" s="44"/>
      <c r="C78" s="44"/>
      <c r="D78" s="44"/>
      <c r="E78" s="44"/>
      <c r="F78" s="44"/>
      <c r="G78" s="44"/>
      <c r="H78" s="44"/>
      <c r="I78" s="44"/>
      <c r="J78" s="44"/>
      <c r="K78" s="44"/>
      <c r="L78" s="44"/>
      <c r="M78" s="44"/>
      <c r="N78" s="44"/>
      <c r="O78" s="44"/>
    </row>
    <row r="79" spans="1:15">
      <c r="A79" s="44"/>
      <c r="B79" s="44"/>
      <c r="C79" s="44"/>
      <c r="D79" s="44"/>
      <c r="E79" s="44"/>
      <c r="F79" s="44"/>
      <c r="G79" s="44"/>
      <c r="H79" s="44"/>
      <c r="I79" s="44"/>
      <c r="J79" s="44"/>
      <c r="K79" s="44"/>
      <c r="L79" s="44"/>
      <c r="M79" s="44"/>
      <c r="N79" s="44"/>
      <c r="O79" s="44"/>
    </row>
    <row r="80" spans="1:15">
      <c r="A80" s="44"/>
      <c r="B80" s="44"/>
      <c r="C80" s="44"/>
      <c r="D80" s="44"/>
      <c r="E80" s="44"/>
      <c r="F80" s="44"/>
      <c r="G80" s="44"/>
      <c r="H80" s="44"/>
      <c r="I80" s="44"/>
      <c r="J80" s="44"/>
      <c r="K80" s="44"/>
      <c r="L80" s="44"/>
      <c r="M80" s="44"/>
      <c r="N80" s="44"/>
      <c r="O80" s="44"/>
    </row>
    <row r="81" spans="1:15">
      <c r="A81" s="44"/>
      <c r="B81" s="44"/>
      <c r="C81" s="44"/>
      <c r="D81" s="44"/>
      <c r="E81" s="44"/>
      <c r="F81" s="44"/>
      <c r="G81" s="44"/>
      <c r="H81" s="44"/>
      <c r="I81" s="44"/>
      <c r="J81" s="44"/>
      <c r="K81" s="44"/>
      <c r="L81" s="44"/>
      <c r="M81" s="44"/>
      <c r="N81" s="44"/>
      <c r="O81" s="44"/>
    </row>
    <row r="82" spans="1:15">
      <c r="A82" s="44"/>
      <c r="B82" s="44"/>
      <c r="C82" s="44"/>
      <c r="D82" s="44"/>
      <c r="E82" s="44"/>
      <c r="F82" s="44"/>
      <c r="G82" s="44"/>
      <c r="H82" s="44"/>
      <c r="I82" s="44"/>
      <c r="J82" s="44"/>
      <c r="K82" s="44"/>
      <c r="L82" s="44"/>
      <c r="M82" s="44"/>
      <c r="N82" s="44"/>
      <c r="O82" s="44"/>
    </row>
    <row r="83" spans="1:15">
      <c r="A83" s="44"/>
      <c r="B83" s="44"/>
      <c r="C83" s="44"/>
      <c r="D83" s="44"/>
      <c r="E83" s="44"/>
      <c r="F83" s="44"/>
      <c r="G83" s="44"/>
      <c r="H83" s="44"/>
      <c r="I83" s="44"/>
      <c r="J83" s="44"/>
      <c r="K83" s="44"/>
      <c r="L83" s="44"/>
      <c r="M83" s="44"/>
      <c r="N83" s="44"/>
      <c r="O83" s="44"/>
    </row>
    <row r="84" spans="1:15">
      <c r="A84" s="44"/>
      <c r="B84" s="44"/>
      <c r="C84" s="44"/>
      <c r="D84" s="44"/>
      <c r="E84" s="44"/>
      <c r="F84" s="44"/>
      <c r="G84" s="44"/>
      <c r="H84" s="44"/>
      <c r="I84" s="44"/>
      <c r="J84" s="44"/>
      <c r="K84" s="44"/>
      <c r="L84" s="44"/>
      <c r="M84" s="44"/>
      <c r="N84" s="44"/>
      <c r="O84" s="44"/>
    </row>
    <row r="85" spans="1:15">
      <c r="A85" s="44"/>
      <c r="B85" s="44"/>
      <c r="C85" s="44"/>
      <c r="D85" s="44"/>
      <c r="E85" s="44"/>
      <c r="F85" s="44"/>
      <c r="G85" s="44"/>
      <c r="H85" s="44"/>
      <c r="I85" s="44"/>
      <c r="J85" s="44"/>
      <c r="K85" s="44"/>
      <c r="L85" s="44"/>
      <c r="M85" s="44"/>
      <c r="N85" s="44"/>
      <c r="O85" s="44"/>
    </row>
    <row r="86" spans="1:15">
      <c r="A86" s="44"/>
      <c r="B86" s="44"/>
      <c r="C86" s="44"/>
      <c r="D86" s="44"/>
      <c r="E86" s="44"/>
      <c r="F86" s="44"/>
      <c r="G86" s="44"/>
      <c r="H86" s="44"/>
      <c r="I86" s="44"/>
      <c r="J86" s="44"/>
      <c r="K86" s="44"/>
      <c r="L86" s="44"/>
      <c r="M86" s="44"/>
      <c r="N86" s="44"/>
      <c r="O86" s="44"/>
    </row>
    <row r="87" spans="1:15">
      <c r="A87" s="44"/>
      <c r="B87" s="44"/>
      <c r="C87" s="44"/>
      <c r="D87" s="44"/>
      <c r="E87" s="44"/>
      <c r="F87" s="44"/>
      <c r="G87" s="44"/>
      <c r="H87" s="44"/>
      <c r="I87" s="44"/>
      <c r="J87" s="44"/>
      <c r="K87" s="44"/>
      <c r="L87" s="44"/>
      <c r="M87" s="44"/>
      <c r="N87" s="44"/>
      <c r="O87" s="44"/>
    </row>
    <row r="88" spans="1:15">
      <c r="A88" s="44"/>
      <c r="B88" s="44"/>
      <c r="C88" s="44"/>
      <c r="D88" s="44"/>
      <c r="E88" s="44"/>
      <c r="F88" s="44"/>
      <c r="G88" s="44"/>
      <c r="H88" s="44"/>
      <c r="I88" s="44"/>
      <c r="J88" s="44"/>
      <c r="K88" s="44"/>
      <c r="L88" s="44"/>
      <c r="M88" s="44"/>
      <c r="N88" s="44"/>
      <c r="O88" s="44"/>
    </row>
    <row r="89" spans="1:15">
      <c r="A89" s="44"/>
      <c r="B89" s="44"/>
      <c r="C89" s="44"/>
      <c r="D89" s="44"/>
      <c r="E89" s="44"/>
      <c r="F89" s="44"/>
      <c r="G89" s="44"/>
      <c r="H89" s="44"/>
      <c r="I89" s="44"/>
      <c r="J89" s="44"/>
      <c r="K89" s="44"/>
      <c r="L89" s="44"/>
      <c r="M89" s="44"/>
      <c r="N89" s="44"/>
      <c r="O89" s="44"/>
    </row>
    <row r="90" spans="1:15">
      <c r="A90" s="44"/>
      <c r="B90" s="44"/>
      <c r="C90" s="44"/>
      <c r="D90" s="44"/>
      <c r="E90" s="44"/>
      <c r="F90" s="44"/>
      <c r="G90" s="44"/>
      <c r="H90" s="44"/>
      <c r="I90" s="44"/>
      <c r="J90" s="44"/>
      <c r="K90" s="44"/>
      <c r="L90" s="44"/>
      <c r="M90" s="44"/>
      <c r="N90" s="44"/>
      <c r="O90" s="44"/>
    </row>
    <row r="91" spans="1:15">
      <c r="A91" s="44"/>
      <c r="B91" s="44"/>
      <c r="C91" s="44"/>
      <c r="D91" s="44"/>
      <c r="E91" s="44"/>
      <c r="F91" s="44"/>
      <c r="G91" s="44"/>
      <c r="H91" s="44"/>
      <c r="I91" s="44"/>
      <c r="J91" s="44"/>
      <c r="K91" s="44"/>
      <c r="L91" s="44"/>
      <c r="M91" s="44"/>
      <c r="N91" s="44"/>
      <c r="O91" s="44"/>
    </row>
    <row r="92" spans="1:15">
      <c r="A92" s="44"/>
      <c r="B92" s="44"/>
      <c r="C92" s="44"/>
      <c r="D92" s="44"/>
      <c r="E92" s="44"/>
      <c r="F92" s="44"/>
      <c r="G92" s="44"/>
      <c r="H92" s="44"/>
      <c r="I92" s="44"/>
      <c r="J92" s="44"/>
      <c r="K92" s="44"/>
      <c r="L92" s="44"/>
      <c r="M92" s="44"/>
      <c r="N92" s="44"/>
      <c r="O92" s="44"/>
    </row>
    <row r="93" spans="1:15">
      <c r="A93" s="44"/>
      <c r="B93" s="44"/>
      <c r="C93" s="44"/>
      <c r="D93" s="44"/>
      <c r="E93" s="44"/>
      <c r="F93" s="44"/>
      <c r="G93" s="44"/>
      <c r="H93" s="44"/>
      <c r="I93" s="44"/>
      <c r="J93" s="44"/>
      <c r="K93" s="44"/>
      <c r="L93" s="44"/>
      <c r="M93" s="44"/>
      <c r="N93" s="44"/>
      <c r="O93" s="44"/>
    </row>
    <row r="94" spans="1:15">
      <c r="A94" s="44"/>
      <c r="B94" s="44"/>
      <c r="C94" s="44"/>
      <c r="D94" s="44"/>
      <c r="E94" s="44"/>
      <c r="F94" s="44"/>
      <c r="G94" s="44"/>
      <c r="H94" s="44"/>
      <c r="I94" s="44"/>
      <c r="J94" s="44"/>
      <c r="K94" s="44"/>
      <c r="L94" s="44"/>
      <c r="M94" s="44"/>
      <c r="N94" s="44"/>
      <c r="O94" s="44"/>
    </row>
    <row r="95" spans="1:15" ht="21">
      <c r="A95" s="44"/>
      <c r="B95" s="476" t="s">
        <v>353</v>
      </c>
      <c r="C95" s="44"/>
      <c r="D95" s="44"/>
      <c r="E95" s="44"/>
      <c r="F95" s="44"/>
      <c r="G95" s="44"/>
      <c r="H95" s="44"/>
      <c r="I95" s="476" t="s">
        <v>353</v>
      </c>
      <c r="J95" s="44"/>
      <c r="K95" s="44"/>
      <c r="L95" s="44"/>
      <c r="M95" s="44"/>
      <c r="N95" s="44"/>
      <c r="O95" s="44"/>
    </row>
    <row r="96" spans="1:15">
      <c r="A96" s="44"/>
      <c r="B96" s="44"/>
      <c r="C96" s="44"/>
      <c r="D96" s="44"/>
      <c r="E96" s="44"/>
      <c r="F96" s="44"/>
      <c r="G96" s="44"/>
      <c r="H96" s="44"/>
      <c r="I96" s="44"/>
      <c r="J96" s="44"/>
      <c r="K96" s="44"/>
      <c r="L96" s="44"/>
      <c r="M96" s="44"/>
      <c r="N96" s="44"/>
      <c r="O96" s="44"/>
    </row>
    <row r="97" spans="1:19">
      <c r="A97" s="44"/>
      <c r="B97" s="44"/>
      <c r="C97" s="44"/>
      <c r="D97" s="44"/>
      <c r="E97" s="44"/>
      <c r="F97" s="44"/>
      <c r="G97" s="44"/>
      <c r="H97" s="44"/>
      <c r="I97" s="44"/>
      <c r="J97" s="44"/>
      <c r="K97" s="44"/>
      <c r="L97" s="44"/>
      <c r="M97" s="44"/>
      <c r="N97" s="44"/>
      <c r="O97" s="44"/>
    </row>
    <row r="98" spans="1:19">
      <c r="A98" s="44"/>
      <c r="B98" s="44"/>
      <c r="C98" s="44"/>
      <c r="D98" s="44"/>
      <c r="E98" s="44"/>
      <c r="F98" s="44"/>
      <c r="G98" s="44"/>
      <c r="H98" s="44"/>
      <c r="I98" s="44"/>
      <c r="J98" s="44"/>
      <c r="K98" s="44"/>
      <c r="L98" s="44"/>
      <c r="M98" s="44"/>
      <c r="N98" s="44"/>
      <c r="O98" s="44"/>
    </row>
    <row r="99" spans="1:19">
      <c r="A99" s="44"/>
      <c r="B99" s="44"/>
      <c r="C99" s="44"/>
      <c r="D99" s="44"/>
      <c r="E99" s="44"/>
      <c r="F99" s="44"/>
      <c r="G99" s="44"/>
      <c r="H99" s="44"/>
      <c r="I99" s="44"/>
      <c r="J99" s="44"/>
      <c r="K99" s="44"/>
      <c r="L99" s="44"/>
      <c r="M99" s="44"/>
      <c r="N99" s="44"/>
      <c r="O99" s="44"/>
    </row>
    <row r="100" spans="1:19">
      <c r="A100" s="44"/>
      <c r="B100" s="44"/>
      <c r="C100" s="44"/>
      <c r="D100" s="44"/>
      <c r="E100" s="44"/>
      <c r="F100" s="44"/>
      <c r="G100" s="44"/>
      <c r="H100" s="44"/>
      <c r="I100" s="44"/>
      <c r="J100" s="44"/>
      <c r="K100" s="44"/>
      <c r="L100" s="44"/>
      <c r="M100" s="44"/>
      <c r="N100" s="44"/>
      <c r="O100" s="44"/>
      <c r="S100" s="190"/>
    </row>
    <row r="101" spans="1:19">
      <c r="A101" s="44"/>
      <c r="B101" s="44"/>
      <c r="C101" s="44"/>
      <c r="D101" s="44"/>
      <c r="E101" s="44"/>
      <c r="F101" s="44"/>
      <c r="G101" s="44"/>
      <c r="H101" s="44"/>
      <c r="I101" s="44"/>
      <c r="J101" s="44"/>
      <c r="K101" s="44"/>
      <c r="L101" s="44"/>
      <c r="M101" s="44"/>
      <c r="N101" s="44"/>
      <c r="O101" s="44"/>
      <c r="S101" s="190"/>
    </row>
    <row r="102" spans="1:19">
      <c r="A102" s="44"/>
      <c r="B102" s="44"/>
      <c r="C102" s="44"/>
      <c r="D102" s="44"/>
      <c r="E102" s="44"/>
      <c r="F102" s="44"/>
      <c r="G102" s="44"/>
      <c r="H102" s="44"/>
      <c r="I102" s="44"/>
      <c r="J102" s="44"/>
      <c r="K102" s="44"/>
      <c r="L102" s="44"/>
      <c r="M102" s="44"/>
      <c r="N102" s="44"/>
      <c r="O102" s="44"/>
    </row>
    <row r="103" spans="1:19">
      <c r="A103" s="44"/>
      <c r="B103" s="44"/>
      <c r="C103" s="44"/>
      <c r="D103" s="44"/>
      <c r="E103" s="44"/>
      <c r="F103" s="44"/>
      <c r="G103" s="44"/>
      <c r="H103" s="44"/>
      <c r="I103" s="44"/>
      <c r="J103" s="44"/>
      <c r="K103" s="44"/>
      <c r="L103" s="44"/>
      <c r="M103" s="44"/>
      <c r="N103" s="44"/>
      <c r="O103" s="44"/>
    </row>
    <row r="104" spans="1:19">
      <c r="A104" s="44"/>
      <c r="B104" s="44"/>
      <c r="C104" s="44"/>
      <c r="D104" s="44"/>
      <c r="E104" s="44"/>
      <c r="F104" s="44"/>
      <c r="G104" s="44"/>
      <c r="H104" s="44"/>
      <c r="I104" s="44"/>
      <c r="J104" s="44"/>
      <c r="K104" s="44"/>
      <c r="L104" s="44"/>
      <c r="M104" s="44"/>
      <c r="N104" s="44"/>
      <c r="O104" s="44"/>
    </row>
    <row r="105" spans="1:19">
      <c r="A105" s="44"/>
      <c r="B105" s="44"/>
      <c r="C105" s="44"/>
      <c r="D105" s="44"/>
      <c r="E105" s="44"/>
      <c r="F105" s="44"/>
      <c r="G105" s="44"/>
      <c r="H105" s="44"/>
      <c r="I105" s="44"/>
      <c r="J105" s="44"/>
      <c r="K105" s="44"/>
      <c r="L105" s="44"/>
      <c r="M105" s="44"/>
      <c r="N105" s="44"/>
      <c r="O105" s="44"/>
    </row>
    <row r="106" spans="1:19">
      <c r="A106" s="44"/>
      <c r="B106" s="44"/>
      <c r="C106" s="44"/>
      <c r="D106" s="44"/>
      <c r="E106" s="44"/>
      <c r="F106" s="44"/>
      <c r="G106" s="44"/>
      <c r="H106" s="44"/>
      <c r="I106" s="44"/>
      <c r="J106" s="44"/>
      <c r="K106" s="44"/>
      <c r="L106" s="44"/>
      <c r="M106" s="44"/>
      <c r="N106" s="44"/>
      <c r="O106" s="44"/>
    </row>
    <row r="107" spans="1:19">
      <c r="A107" s="44"/>
      <c r="B107" s="44"/>
      <c r="C107" s="44"/>
      <c r="D107" s="44"/>
      <c r="E107" s="44"/>
      <c r="F107" s="44"/>
      <c r="G107" s="44"/>
      <c r="H107" s="44"/>
      <c r="I107" s="44"/>
      <c r="J107" s="44"/>
      <c r="K107" s="44"/>
      <c r="L107" s="44"/>
      <c r="M107" s="44"/>
      <c r="N107" s="44"/>
      <c r="O107" s="44"/>
    </row>
    <row r="108" spans="1:19">
      <c r="A108" s="44"/>
      <c r="B108" s="44"/>
      <c r="C108" s="44"/>
      <c r="D108" s="44"/>
      <c r="E108" s="44"/>
      <c r="F108" s="44"/>
      <c r="G108" s="44"/>
      <c r="H108" s="44"/>
      <c r="I108" s="44"/>
      <c r="J108" s="44"/>
      <c r="K108" s="44"/>
      <c r="L108" s="44"/>
      <c r="M108" s="44"/>
      <c r="N108" s="44"/>
      <c r="O108" s="44"/>
    </row>
    <row r="109" spans="1:19">
      <c r="A109" s="44"/>
      <c r="B109" s="44"/>
      <c r="C109" s="44"/>
      <c r="D109" s="44"/>
      <c r="E109" s="44"/>
      <c r="F109" s="44"/>
      <c r="G109" s="44"/>
      <c r="H109" s="44"/>
      <c r="I109" s="44"/>
      <c r="J109" s="44"/>
      <c r="K109" s="44"/>
      <c r="L109" s="44"/>
      <c r="M109" s="44"/>
      <c r="N109" s="44"/>
      <c r="O109" s="44"/>
    </row>
    <row r="110" spans="1:19">
      <c r="A110" s="44"/>
      <c r="B110" s="44"/>
      <c r="C110" s="44"/>
      <c r="D110" s="44"/>
      <c r="E110" s="44"/>
      <c r="F110" s="44"/>
      <c r="G110" s="44"/>
      <c r="H110" s="44"/>
      <c r="I110" s="44"/>
      <c r="J110" s="44"/>
      <c r="K110" s="44"/>
      <c r="L110" s="44"/>
      <c r="M110" s="44"/>
      <c r="N110" s="44"/>
      <c r="O110" s="44"/>
    </row>
    <row r="111" spans="1:19">
      <c r="A111" s="44"/>
      <c r="B111" s="44"/>
      <c r="C111" s="44"/>
      <c r="D111" s="44"/>
      <c r="E111" s="44"/>
      <c r="F111" s="44"/>
      <c r="G111" s="44"/>
      <c r="H111" s="44"/>
      <c r="I111" s="44"/>
      <c r="J111" s="44"/>
      <c r="K111" s="44"/>
      <c r="L111" s="44"/>
      <c r="M111" s="44"/>
      <c r="N111" s="44"/>
      <c r="O111" s="44"/>
    </row>
    <row r="112" spans="1:19">
      <c r="A112" s="44"/>
      <c r="B112" s="44"/>
      <c r="C112" s="44"/>
      <c r="D112" s="44"/>
      <c r="E112" s="44"/>
      <c r="F112" s="44"/>
      <c r="G112" s="44"/>
      <c r="H112" s="44"/>
      <c r="I112" s="44"/>
      <c r="J112" s="44"/>
      <c r="K112" s="44"/>
      <c r="L112" s="44"/>
      <c r="M112" s="44"/>
      <c r="N112" s="44"/>
      <c r="O112" s="44"/>
    </row>
    <row r="113" spans="1:20">
      <c r="A113" s="44"/>
      <c r="B113" s="44"/>
      <c r="C113" s="44"/>
      <c r="D113" s="44"/>
      <c r="E113" s="44"/>
      <c r="F113" s="44"/>
      <c r="G113" s="44"/>
      <c r="H113" s="44"/>
      <c r="I113" s="44"/>
      <c r="J113" s="44"/>
      <c r="K113" s="44"/>
      <c r="L113" s="44"/>
      <c r="M113" s="44"/>
      <c r="N113" s="44"/>
      <c r="O113" s="44"/>
    </row>
    <row r="114" spans="1:20">
      <c r="A114" s="44"/>
      <c r="B114" s="44"/>
      <c r="C114" s="44"/>
      <c r="D114" s="44"/>
      <c r="E114" s="44"/>
      <c r="F114" s="44"/>
      <c r="G114" s="44"/>
      <c r="H114" s="44"/>
      <c r="I114" s="44"/>
      <c r="J114" s="44"/>
      <c r="K114" s="44"/>
      <c r="L114" s="44"/>
      <c r="M114" s="44"/>
      <c r="N114" s="44"/>
      <c r="O114" s="44"/>
    </row>
    <row r="115" spans="1:20">
      <c r="A115" s="44"/>
      <c r="B115" s="44"/>
      <c r="C115" s="44"/>
      <c r="D115" s="44"/>
      <c r="E115" s="44"/>
      <c r="F115" s="44"/>
      <c r="G115" s="44"/>
      <c r="H115" s="44"/>
      <c r="I115" s="44"/>
      <c r="J115" s="44"/>
      <c r="K115" s="44"/>
      <c r="L115" s="44"/>
      <c r="M115" s="44"/>
      <c r="N115" s="44"/>
      <c r="O115" s="44"/>
    </row>
    <row r="116" spans="1:20">
      <c r="A116" s="44"/>
      <c r="C116" s="44"/>
      <c r="D116" s="44"/>
      <c r="E116" s="44"/>
      <c r="F116" s="44"/>
      <c r="G116" s="44"/>
      <c r="H116" s="44"/>
      <c r="I116" s="44"/>
      <c r="J116" s="44"/>
      <c r="K116" s="44"/>
      <c r="L116" s="44"/>
      <c r="M116" s="44"/>
      <c r="N116" s="44"/>
      <c r="O116" s="44"/>
    </row>
    <row r="117" spans="1:20" ht="21">
      <c r="A117" s="44"/>
      <c r="B117" s="14" t="s">
        <v>84</v>
      </c>
      <c r="C117" s="60"/>
      <c r="D117" s="60"/>
      <c r="E117" s="60"/>
      <c r="F117" s="60"/>
      <c r="G117" s="60"/>
      <c r="H117" s="60"/>
    </row>
    <row r="118" spans="1:20">
      <c r="C118" s="307">
        <v>2016</v>
      </c>
      <c r="D118" s="308">
        <v>2017</v>
      </c>
      <c r="E118" s="308">
        <v>2018</v>
      </c>
      <c r="F118" s="308">
        <v>2019</v>
      </c>
      <c r="G118" s="308">
        <v>2020</v>
      </c>
      <c r="H118" s="308">
        <v>2021</v>
      </c>
      <c r="I118" s="308">
        <v>2022</v>
      </c>
      <c r="J118" s="308">
        <v>2023</v>
      </c>
      <c r="K118" s="308">
        <v>2024</v>
      </c>
      <c r="L118" s="308">
        <v>2025</v>
      </c>
    </row>
    <row r="119" spans="1:20">
      <c r="B119" s="194" t="s">
        <v>65</v>
      </c>
      <c r="C119" s="309">
        <f>SUM('Products x speed'!E9:E12)</f>
        <v>13567410.105</v>
      </c>
      <c r="D119" s="310">
        <f>SUM('Products x speed'!F9:F12)</f>
        <v>11273695.050000001</v>
      </c>
      <c r="E119" s="310">
        <f>SUM('Products x speed'!G9:G12)</f>
        <v>14338976</v>
      </c>
      <c r="F119" s="310">
        <f>SUM('Products x speed'!H9:H12)</f>
        <v>0</v>
      </c>
      <c r="G119" s="310">
        <f>SUM('Products x speed'!I9:I12)</f>
        <v>0</v>
      </c>
      <c r="H119" s="310">
        <f>SUM('Products x speed'!J9:J12)</f>
        <v>0</v>
      </c>
      <c r="I119" s="310">
        <f>SUM('Products x speed'!K9:K12)</f>
        <v>0</v>
      </c>
      <c r="J119" s="310">
        <f>SUM('Products x speed'!L9:L12)</f>
        <v>0</v>
      </c>
      <c r="K119" s="310">
        <f>SUM('Products x speed'!M9:M12)</f>
        <v>0</v>
      </c>
      <c r="L119" s="310">
        <f>SUM('Products x speed'!N9:N12)</f>
        <v>0</v>
      </c>
    </row>
    <row r="120" spans="1:20" ht="15.5">
      <c r="B120" s="195" t="s">
        <v>62</v>
      </c>
      <c r="C120" s="311">
        <f>SUM('Products x speed'!E14:E22)</f>
        <v>18516818.93</v>
      </c>
      <c r="D120" s="312">
        <f>SUM('Products x speed'!F14:F22)</f>
        <v>19945022.100000001</v>
      </c>
      <c r="E120" s="312">
        <f>SUM('Products x speed'!G14:G22)</f>
        <v>22017005.100000001</v>
      </c>
      <c r="F120" s="312">
        <f>SUM('Products x speed'!H14:H22)</f>
        <v>0</v>
      </c>
      <c r="G120" s="312">
        <f>SUM('Products x speed'!I14:I22)</f>
        <v>0</v>
      </c>
      <c r="H120" s="312">
        <f>SUM('Products x speed'!J14:J22)</f>
        <v>0</v>
      </c>
      <c r="I120" s="312">
        <f>SUM('Products x speed'!K14:K22)</f>
        <v>0</v>
      </c>
      <c r="J120" s="312">
        <f>SUM('Products x speed'!L14:L22)</f>
        <v>0</v>
      </c>
      <c r="K120" s="312">
        <f>SUM('Products x speed'!M14:M22)</f>
        <v>0</v>
      </c>
      <c r="L120" s="312">
        <f>SUM('Products x speed'!N14:N22)</f>
        <v>0</v>
      </c>
      <c r="S120" s="486">
        <f>SUM(C119:L129)</f>
        <v>241191685.04338938</v>
      </c>
    </row>
    <row r="121" spans="1:20" ht="15.5">
      <c r="B121" s="195" t="s">
        <v>77</v>
      </c>
      <c r="C121" s="311">
        <f>SUM('Products x speed'!E24:E26)</f>
        <v>11694</v>
      </c>
      <c r="D121" s="312">
        <f>SUM('Products x speed'!F24:F26)</f>
        <v>113327</v>
      </c>
      <c r="E121" s="312">
        <f>SUM('Products x speed'!G24:G26)</f>
        <v>375687</v>
      </c>
      <c r="F121" s="312">
        <f>SUM('Products x speed'!H24:H26)</f>
        <v>0</v>
      </c>
      <c r="G121" s="312">
        <f>SUM('Products x speed'!I24:I26)</f>
        <v>0</v>
      </c>
      <c r="H121" s="312">
        <f>SUM('Products x speed'!J24:J26)</f>
        <v>0</v>
      </c>
      <c r="I121" s="312">
        <f>SUM('Products x speed'!K24:K26)</f>
        <v>0</v>
      </c>
      <c r="J121" s="312">
        <f>SUM('Products x speed'!L24:L26)</f>
        <v>0</v>
      </c>
      <c r="K121" s="312">
        <f>SUM('Products x speed'!M24:M26)</f>
        <v>0</v>
      </c>
      <c r="L121" s="312">
        <f>SUM('Products x speed'!N24:N26)</f>
        <v>0</v>
      </c>
      <c r="S121" s="487">
        <f>SUM('Products x speed'!E9:N70)</f>
        <v>241191685.04338935</v>
      </c>
    </row>
    <row r="122" spans="1:20" ht="15.5">
      <c r="B122" s="195" t="s">
        <v>64</v>
      </c>
      <c r="C122" s="311">
        <f>SUM('Products x speed'!E27:E35)</f>
        <v>3153068</v>
      </c>
      <c r="D122" s="312">
        <f>SUM('Products x speed'!F27:F35)</f>
        <v>3864160</v>
      </c>
      <c r="E122" s="312">
        <f>SUM('Products x speed'!G27:G35)</f>
        <v>3098123.5</v>
      </c>
      <c r="F122" s="312">
        <f>SUM('Products x speed'!H27:H35)</f>
        <v>0</v>
      </c>
      <c r="G122" s="312">
        <f>SUM('Products x speed'!I27:I35)</f>
        <v>0</v>
      </c>
      <c r="H122" s="312">
        <f>SUM('Products x speed'!J27:J35)</f>
        <v>0</v>
      </c>
      <c r="I122" s="312">
        <f>SUM('Products x speed'!K27:K35)</f>
        <v>0</v>
      </c>
      <c r="J122" s="312">
        <f>SUM('Products x speed'!L27:L35)</f>
        <v>0</v>
      </c>
      <c r="K122" s="312">
        <f>SUM('Products x speed'!M27:M35)</f>
        <v>0</v>
      </c>
      <c r="L122" s="312">
        <f>SUM('Products x speed'!N27:N35)</f>
        <v>0</v>
      </c>
      <c r="S122" s="487">
        <f>(S120-S121)/2</f>
        <v>1.4901161193847656E-8</v>
      </c>
    </row>
    <row r="123" spans="1:20">
      <c r="B123" s="195" t="s">
        <v>121</v>
      </c>
      <c r="C123" s="311"/>
      <c r="D123" s="312"/>
      <c r="E123" s="312">
        <f>SUM('Products x speed'!G36:G40)</f>
        <v>0</v>
      </c>
      <c r="F123" s="312">
        <f>SUM('Products x speed'!H36:H40)</f>
        <v>0</v>
      </c>
      <c r="G123" s="312">
        <f>SUM('Products x speed'!I36:I40)</f>
        <v>0</v>
      </c>
      <c r="H123" s="312">
        <f>SUM('Products x speed'!J36:J40)</f>
        <v>0</v>
      </c>
      <c r="I123" s="312">
        <f>SUM('Products x speed'!K36:K40)</f>
        <v>0</v>
      </c>
      <c r="J123" s="312">
        <f>SUM('Products x speed'!L36:L40)</f>
        <v>0</v>
      </c>
      <c r="K123" s="312">
        <f>SUM('Products x speed'!M36:M40)</f>
        <v>0</v>
      </c>
      <c r="L123" s="312">
        <f>SUM('Products x speed'!N36:N40)</f>
        <v>0</v>
      </c>
    </row>
    <row r="124" spans="1:20">
      <c r="B124" s="195" t="s">
        <v>63</v>
      </c>
      <c r="C124" s="311">
        <f>SUM('Products x speed'!E41:E57)</f>
        <v>919370</v>
      </c>
      <c r="D124" s="312">
        <f>SUM('Products x speed'!F41:F57)</f>
        <v>2881490</v>
      </c>
      <c r="E124" s="312">
        <f>SUM('Products x speed'!G41:G57)</f>
        <v>6187024.7366946787</v>
      </c>
      <c r="F124" s="312">
        <f>SUM('Products x speed'!H41:H57)</f>
        <v>0</v>
      </c>
      <c r="G124" s="312">
        <f>SUM('Products x speed'!I41:I57)</f>
        <v>0</v>
      </c>
      <c r="H124" s="312">
        <f>SUM('Products x speed'!J41:J57)</f>
        <v>0</v>
      </c>
      <c r="I124" s="312">
        <f>SUM('Products x speed'!K41:K57)</f>
        <v>0</v>
      </c>
      <c r="J124" s="312">
        <f>SUM('Products x speed'!L41:L57)</f>
        <v>0</v>
      </c>
      <c r="K124" s="312">
        <f>SUM('Products x speed'!M41:M57)</f>
        <v>0</v>
      </c>
      <c r="L124" s="312">
        <f>SUM('Products x speed'!N41:N57)</f>
        <v>0</v>
      </c>
      <c r="T124" s="471"/>
    </row>
    <row r="125" spans="1:20">
      <c r="B125" s="195" t="s">
        <v>122</v>
      </c>
      <c r="C125" s="311"/>
      <c r="D125" s="62"/>
      <c r="E125" s="312">
        <f>'Products x speed'!G58+'Products x speed'!G60</f>
        <v>1000</v>
      </c>
      <c r="F125" s="312">
        <f>'Products x speed'!H58+'Products x speed'!H60</f>
        <v>0</v>
      </c>
      <c r="G125" s="312">
        <f>'Products x speed'!I58+'Products x speed'!I60</f>
        <v>0</v>
      </c>
      <c r="H125" s="312">
        <f>'Products x speed'!J58+'Products x speed'!J60</f>
        <v>0</v>
      </c>
      <c r="I125" s="312">
        <f>'Products x speed'!K58+'Products x speed'!K60</f>
        <v>0</v>
      </c>
      <c r="J125" s="312">
        <f>'Products x speed'!L58+'Products x speed'!L60</f>
        <v>0</v>
      </c>
      <c r="K125" s="312">
        <f>'Products x speed'!M58+'Products x speed'!M60</f>
        <v>0</v>
      </c>
      <c r="L125" s="312">
        <f>'Products x speed'!N58+'Products x speed'!N60</f>
        <v>0</v>
      </c>
    </row>
    <row r="126" spans="1:20">
      <c r="B126" s="195" t="s">
        <v>112</v>
      </c>
      <c r="C126" s="311"/>
      <c r="D126" s="133">
        <f>SUM('Products x speed'!F61:F65)+'Products x speed'!F59</f>
        <v>89</v>
      </c>
      <c r="E126" s="133">
        <f>SUM('Products x speed'!G61:G65)+'Products x speed'!G59</f>
        <v>39000</v>
      </c>
      <c r="F126" s="133">
        <f>SUM('Products x speed'!H61:H65)+'Products x speed'!H59</f>
        <v>0</v>
      </c>
      <c r="G126" s="133">
        <f>SUM('Products x speed'!I61:I65)+'Products x speed'!I59</f>
        <v>0</v>
      </c>
      <c r="H126" s="133">
        <f>SUM('Products x speed'!J61:J65)+'Products x speed'!J59</f>
        <v>0</v>
      </c>
      <c r="I126" s="133">
        <f>SUM('Products x speed'!K61:K65)+'Products x speed'!K59</f>
        <v>0</v>
      </c>
      <c r="J126" s="133">
        <f>SUM('Products x speed'!L61:L65)+'Products x speed'!L59</f>
        <v>0</v>
      </c>
      <c r="K126" s="133">
        <f>SUM('Products x speed'!M61:M65)+'Products x speed'!M59</f>
        <v>0</v>
      </c>
      <c r="L126" s="133">
        <f>SUM('Products x speed'!N61:N65)+'Products x speed'!N59</f>
        <v>0</v>
      </c>
    </row>
    <row r="127" spans="1:20">
      <c r="B127" s="195" t="s">
        <v>375</v>
      </c>
      <c r="C127" s="311"/>
      <c r="D127" s="312"/>
      <c r="E127" s="312"/>
      <c r="F127" s="312">
        <f>SUM('Products x speed'!H66:H69)</f>
        <v>0</v>
      </c>
      <c r="G127" s="312">
        <f>SUM('Products x speed'!I66:I69)</f>
        <v>0</v>
      </c>
      <c r="H127" s="312">
        <f>SUM('Products x speed'!J66:J69)</f>
        <v>0</v>
      </c>
      <c r="I127" s="312">
        <f>SUM('Products x speed'!K66:K69)</f>
        <v>0</v>
      </c>
      <c r="J127" s="312">
        <f>SUM('Products x speed'!L66:L69)</f>
        <v>0</v>
      </c>
      <c r="K127" s="312">
        <f>SUM('Products x speed'!M66:M69)</f>
        <v>0</v>
      </c>
      <c r="L127" s="312">
        <f>SUM('Products x speed'!N66:N69)</f>
        <v>0</v>
      </c>
    </row>
    <row r="128" spans="1:20">
      <c r="B128" s="297" t="str">
        <f>'Products x speed'!D23</f>
        <v>Legacy/discontinued</v>
      </c>
      <c r="C128" s="313">
        <f>'Products x speed'!E13+'Products x speed'!E23</f>
        <v>265053</v>
      </c>
      <c r="D128" s="305">
        <f>'Products x speed'!F13+'Products x speed'!F23</f>
        <v>24329</v>
      </c>
      <c r="E128" s="305">
        <f>'Products x speed'!G13+'Products x speed'!G23</f>
        <v>3500</v>
      </c>
      <c r="F128" s="305">
        <f>'Products x speed'!H13+'Products x speed'!H23</f>
        <v>0</v>
      </c>
      <c r="G128" s="305"/>
      <c r="H128" s="305"/>
      <c r="I128" s="305"/>
      <c r="J128" s="305"/>
      <c r="K128" s="305"/>
      <c r="L128" s="305"/>
    </row>
    <row r="129" spans="1:19">
      <c r="B129" s="192" t="s">
        <v>13</v>
      </c>
      <c r="C129" s="313">
        <f t="shared" ref="C129:L129" si="0">SUM(C119:C128)</f>
        <v>36433414.034999996</v>
      </c>
      <c r="D129" s="305">
        <f t="shared" si="0"/>
        <v>38102112.150000006</v>
      </c>
      <c r="E129" s="305">
        <f t="shared" si="0"/>
        <v>46060316.33669468</v>
      </c>
      <c r="F129" s="305">
        <f t="shared" si="0"/>
        <v>0</v>
      </c>
      <c r="G129" s="305">
        <f t="shared" si="0"/>
        <v>0</v>
      </c>
      <c r="H129" s="305">
        <f t="shared" si="0"/>
        <v>0</v>
      </c>
      <c r="I129" s="305">
        <f t="shared" si="0"/>
        <v>0</v>
      </c>
      <c r="J129" s="305">
        <f t="shared" si="0"/>
        <v>0</v>
      </c>
      <c r="K129" s="305">
        <f t="shared" si="0"/>
        <v>0</v>
      </c>
      <c r="L129" s="305">
        <f t="shared" si="0"/>
        <v>0</v>
      </c>
    </row>
    <row r="130" spans="1:19">
      <c r="B130" s="246" t="s">
        <v>92</v>
      </c>
      <c r="C130" s="191" t="e">
        <f>C129/#REF!-1</f>
        <v>#REF!</v>
      </c>
      <c r="D130" s="191">
        <f t="shared" ref="D130:L130" si="1">D129/C129-1</f>
        <v>4.5801310670390727E-2</v>
      </c>
      <c r="E130" s="191">
        <f t="shared" si="1"/>
        <v>0.20886517144679262</v>
      </c>
      <c r="F130" s="191">
        <f t="shared" si="1"/>
        <v>-1</v>
      </c>
      <c r="G130" s="191" t="e">
        <f t="shared" si="1"/>
        <v>#DIV/0!</v>
      </c>
      <c r="H130" s="191" t="e">
        <f t="shared" si="1"/>
        <v>#DIV/0!</v>
      </c>
      <c r="I130" s="191" t="e">
        <f t="shared" si="1"/>
        <v>#DIV/0!</v>
      </c>
      <c r="J130" s="191" t="e">
        <f t="shared" si="1"/>
        <v>#DIV/0!</v>
      </c>
      <c r="K130" s="191" t="e">
        <f t="shared" si="1"/>
        <v>#DIV/0!</v>
      </c>
      <c r="L130" s="191" t="e">
        <f t="shared" si="1"/>
        <v>#DIV/0!</v>
      </c>
    </row>
    <row r="131" spans="1:19">
      <c r="B131" s="246" t="s">
        <v>271</v>
      </c>
      <c r="C131" s="191" t="e">
        <f>SUM(C121:C126)/SUM(#REF!)-1</f>
        <v>#REF!</v>
      </c>
      <c r="D131" s="191">
        <f t="shared" ref="D131:L131" si="2">SUM(D121:D126)/SUM(C121:C126)-1</f>
        <v>0.67944278000808978</v>
      </c>
      <c r="E131" s="191">
        <f t="shared" si="2"/>
        <v>0.41430848408437515</v>
      </c>
      <c r="F131" s="191">
        <f t="shared" si="2"/>
        <v>-1</v>
      </c>
      <c r="G131" s="191" t="e">
        <f t="shared" si="2"/>
        <v>#DIV/0!</v>
      </c>
      <c r="H131" s="191" t="e">
        <f t="shared" si="2"/>
        <v>#DIV/0!</v>
      </c>
      <c r="I131" s="191" t="e">
        <f t="shared" si="2"/>
        <v>#DIV/0!</v>
      </c>
      <c r="J131" s="191" t="e">
        <f t="shared" si="2"/>
        <v>#DIV/0!</v>
      </c>
      <c r="K131" s="191" t="e">
        <f t="shared" si="2"/>
        <v>#DIV/0!</v>
      </c>
      <c r="L131" s="191" t="e">
        <f t="shared" si="2"/>
        <v>#DIV/0!</v>
      </c>
    </row>
    <row r="132" spans="1:19">
      <c r="B132" s="246"/>
      <c r="C132" s="62">
        <f>C129-'Products x speed'!E70</f>
        <v>0</v>
      </c>
      <c r="D132" s="62">
        <f>D129-'Products x speed'!F70</f>
        <v>0</v>
      </c>
      <c r="E132" s="62">
        <f>E129-'Products x speed'!G70</f>
        <v>0</v>
      </c>
      <c r="F132" s="62">
        <f>F129-'Products x speed'!H70</f>
        <v>0</v>
      </c>
      <c r="G132" s="62">
        <f>G129-'Products x speed'!I70</f>
        <v>0</v>
      </c>
      <c r="H132" s="62">
        <f>H129-'Products x speed'!J70</f>
        <v>0</v>
      </c>
      <c r="I132" s="62">
        <f>I129-'Products x speed'!K70</f>
        <v>0</v>
      </c>
      <c r="J132" s="62">
        <f>J129-'Products x speed'!L70</f>
        <v>0</v>
      </c>
      <c r="K132" s="62">
        <f>K129-'Products x speed'!M70</f>
        <v>0</v>
      </c>
      <c r="L132" s="62">
        <f>L129-'Products x speed'!N70</f>
        <v>0</v>
      </c>
    </row>
    <row r="133" spans="1:19">
      <c r="C133" s="62"/>
      <c r="D133" s="62"/>
      <c r="E133" s="62"/>
      <c r="F133" s="62"/>
      <c r="G133" s="62"/>
      <c r="H133" s="62"/>
      <c r="I133" s="62"/>
      <c r="J133" s="62"/>
      <c r="K133" s="62"/>
      <c r="L133" s="62"/>
      <c r="M133" s="62"/>
      <c r="N133" s="62"/>
      <c r="O133" s="62"/>
    </row>
    <row r="134" spans="1:19" ht="21">
      <c r="A134" s="44"/>
      <c r="B134" s="14" t="s">
        <v>85</v>
      </c>
      <c r="C134" s="44"/>
      <c r="D134" s="44"/>
    </row>
    <row r="135" spans="1:19">
      <c r="C135" s="307">
        <v>2016</v>
      </c>
      <c r="D135" s="308">
        <v>2017</v>
      </c>
      <c r="E135" s="308">
        <v>2018</v>
      </c>
      <c r="F135" s="308">
        <v>2019</v>
      </c>
      <c r="G135" s="308">
        <v>2020</v>
      </c>
      <c r="H135" s="308">
        <v>2021</v>
      </c>
      <c r="I135" s="308">
        <v>2022</v>
      </c>
      <c r="J135" s="308">
        <v>2023</v>
      </c>
      <c r="K135" s="308">
        <v>2024</v>
      </c>
      <c r="L135" s="308">
        <v>2025</v>
      </c>
    </row>
    <row r="136" spans="1:19">
      <c r="B136" s="194" t="str">
        <f t="shared" ref="B136:B144" si="3">B119</f>
        <v>1G</v>
      </c>
      <c r="C136" s="314">
        <f>SUM('Products x speed'!E159:E162)</f>
        <v>154.16513112975395</v>
      </c>
      <c r="D136" s="315">
        <f>SUM('Products x speed'!F159:F162)</f>
        <v>110.62740763127242</v>
      </c>
      <c r="E136" s="315">
        <f>SUM('Products x speed'!G159:G162)</f>
        <v>131.91376511999999</v>
      </c>
      <c r="F136" s="315">
        <f>SUM('Products x speed'!H159:H162)</f>
        <v>0</v>
      </c>
      <c r="G136" s="315">
        <f>SUM('Products x speed'!I159:I162)</f>
        <v>0</v>
      </c>
      <c r="H136" s="315">
        <f>SUM('Products x speed'!J159:J162)</f>
        <v>0</v>
      </c>
      <c r="I136" s="315">
        <f>SUM('Products x speed'!K159:K162)</f>
        <v>0</v>
      </c>
      <c r="J136" s="315">
        <f>SUM('Products x speed'!L159:L162)</f>
        <v>0</v>
      </c>
      <c r="K136" s="315">
        <f>SUM('Products x speed'!M159:M162)</f>
        <v>0</v>
      </c>
      <c r="L136" s="315">
        <f>SUM('Products x speed'!N159:N162)</f>
        <v>0</v>
      </c>
    </row>
    <row r="137" spans="1:19">
      <c r="B137" s="195" t="str">
        <f t="shared" si="3"/>
        <v>10G</v>
      </c>
      <c r="C137" s="316">
        <f>SUM('Products x speed'!E164:E172)</f>
        <v>588.89972784362988</v>
      </c>
      <c r="D137" s="199">
        <f>SUM('Products x speed'!F164:F172)</f>
        <v>486.60483553423245</v>
      </c>
      <c r="E137" s="199">
        <f>SUM('Products x speed'!G164:G172)</f>
        <v>471.41983653865219</v>
      </c>
      <c r="F137" s="199">
        <f>SUM('Products x speed'!H164:H172)</f>
        <v>0</v>
      </c>
      <c r="G137" s="199">
        <f>SUM('Products x speed'!I164:I172)</f>
        <v>0</v>
      </c>
      <c r="H137" s="199">
        <f>SUM('Products x speed'!J164:J172)</f>
        <v>0</v>
      </c>
      <c r="I137" s="199">
        <f>SUM('Products x speed'!K164:K172)</f>
        <v>0</v>
      </c>
      <c r="J137" s="199">
        <f>SUM('Products x speed'!L164:L172)</f>
        <v>0</v>
      </c>
      <c r="K137" s="199">
        <f>SUM('Products x speed'!M164:M172)</f>
        <v>0</v>
      </c>
      <c r="L137" s="199">
        <f>SUM('Products x speed'!N164:N172)</f>
        <v>0</v>
      </c>
    </row>
    <row r="138" spans="1:19">
      <c r="B138" s="195" t="str">
        <f t="shared" si="3"/>
        <v>25G</v>
      </c>
      <c r="C138" s="201">
        <f>SUM('Products x speed'!E174:E176)</f>
        <v>3.4123060000000001</v>
      </c>
      <c r="D138" s="199">
        <f>SUM('Products x speed'!F174:F176)</f>
        <v>19.187075306914231</v>
      </c>
      <c r="E138" s="199">
        <f>SUM('Products x speed'!G174:G176)</f>
        <v>38.882710120000013</v>
      </c>
      <c r="F138" s="199">
        <f>SUM('Products x speed'!H174:H176)</f>
        <v>0</v>
      </c>
      <c r="G138" s="199">
        <f>SUM('Products x speed'!I174:I176)</f>
        <v>0</v>
      </c>
      <c r="H138" s="199">
        <f>SUM('Products x speed'!J174:J176)</f>
        <v>0</v>
      </c>
      <c r="I138" s="199">
        <f>SUM('Products x speed'!K174:K176)</f>
        <v>0</v>
      </c>
      <c r="J138" s="199">
        <f>SUM('Products x speed'!L174:L176)</f>
        <v>0</v>
      </c>
      <c r="K138" s="199">
        <f>SUM('Products x speed'!M174:M176)</f>
        <v>0</v>
      </c>
      <c r="L138" s="199">
        <f>SUM('Products x speed'!N174:N176)</f>
        <v>0</v>
      </c>
    </row>
    <row r="139" spans="1:19" ht="15.5">
      <c r="B139" s="195" t="str">
        <f t="shared" si="3"/>
        <v>40G</v>
      </c>
      <c r="C139" s="316">
        <f>SUM('Products x speed'!E177:E185)</f>
        <v>787.93297017215446</v>
      </c>
      <c r="D139" s="199">
        <f>SUM('Products x speed'!F177:F185)</f>
        <v>904.27751564220159</v>
      </c>
      <c r="E139" s="199">
        <f>SUM('Products x speed'!G177:G185)</f>
        <v>539.48394892970373</v>
      </c>
      <c r="F139" s="199">
        <f>SUM('Products x speed'!H177:H185)</f>
        <v>0</v>
      </c>
      <c r="G139" s="199">
        <f>SUM('Products x speed'!I177:I185)</f>
        <v>0</v>
      </c>
      <c r="H139" s="199">
        <f>SUM('Products x speed'!J177:J185)</f>
        <v>0</v>
      </c>
      <c r="I139" s="199">
        <f>SUM('Products x speed'!K177:K185)</f>
        <v>0</v>
      </c>
      <c r="J139" s="199">
        <f>SUM('Products x speed'!L177:L185)</f>
        <v>0</v>
      </c>
      <c r="K139" s="199">
        <f>SUM('Products x speed'!M177:M185)</f>
        <v>0</v>
      </c>
      <c r="L139" s="199">
        <f>SUM('Products x speed'!N177:N185)</f>
        <v>0</v>
      </c>
      <c r="S139" s="486">
        <f>SUM(C136:L146)</f>
        <v>18510.084067777516</v>
      </c>
    </row>
    <row r="140" spans="1:19" ht="15.5">
      <c r="B140" s="195" t="str">
        <f t="shared" si="3"/>
        <v>50G</v>
      </c>
      <c r="C140" s="316"/>
      <c r="D140" s="199"/>
      <c r="E140" s="199">
        <f>SUM('Products x speed'!G186:G190)</f>
        <v>0</v>
      </c>
      <c r="F140" s="199">
        <f>SUM('Products x speed'!H186:H190)</f>
        <v>0</v>
      </c>
      <c r="G140" s="199">
        <f>SUM('Products x speed'!I186:I190)</f>
        <v>0</v>
      </c>
      <c r="H140" s="199">
        <f>SUM('Products x speed'!J186:J190)</f>
        <v>0</v>
      </c>
      <c r="I140" s="199">
        <f>SUM('Products x speed'!K186:K190)</f>
        <v>0</v>
      </c>
      <c r="J140" s="199">
        <f>SUM('Products x speed'!L186:L190)</f>
        <v>0</v>
      </c>
      <c r="K140" s="199">
        <f>SUM('Products x speed'!M186:M190)</f>
        <v>0</v>
      </c>
      <c r="L140" s="199">
        <f>SUM('Products x speed'!N186:N190)</f>
        <v>0</v>
      </c>
      <c r="S140" s="487">
        <f>SUM('Products x speed'!E159:N220)</f>
        <v>18510.084067777516</v>
      </c>
    </row>
    <row r="141" spans="1:19" ht="15.5">
      <c r="B141" s="195" t="str">
        <f t="shared" si="3"/>
        <v>100G</v>
      </c>
      <c r="C141" s="316">
        <f>SUM('Products x speed'!E191:E207)</f>
        <v>1143.1589641396481</v>
      </c>
      <c r="D141" s="199">
        <f>SUM('Products x speed'!F191:F207)</f>
        <v>1653.8532387335786</v>
      </c>
      <c r="E141" s="199">
        <f>SUM('Products x speed'!G191:G207)</f>
        <v>2156.8222260170164</v>
      </c>
      <c r="F141" s="199">
        <f>SUM('Products x speed'!H191:H207)</f>
        <v>0</v>
      </c>
      <c r="G141" s="199">
        <f>SUM('Products x speed'!I191:I207)</f>
        <v>0</v>
      </c>
      <c r="H141" s="199">
        <f>SUM('Products x speed'!J191:J207)</f>
        <v>0</v>
      </c>
      <c r="I141" s="199">
        <f>SUM('Products x speed'!K191:K207)</f>
        <v>0</v>
      </c>
      <c r="J141" s="199">
        <f>SUM('Products x speed'!L191:L207)</f>
        <v>0</v>
      </c>
      <c r="K141" s="199">
        <f>SUM('Products x speed'!M191:M207)</f>
        <v>0</v>
      </c>
      <c r="L141" s="199">
        <f>SUM('Products x speed'!N191:N207)</f>
        <v>0</v>
      </c>
      <c r="S141" s="487">
        <f>(S139-S140)</f>
        <v>0</v>
      </c>
    </row>
    <row r="142" spans="1:19">
      <c r="B142" s="195" t="str">
        <f t="shared" si="3"/>
        <v>200G</v>
      </c>
      <c r="C142" s="316"/>
      <c r="D142" s="554"/>
      <c r="E142" s="142">
        <f>'Products x speed'!G208+'Products x speed'!G210</f>
        <v>1.1000000000000001</v>
      </c>
      <c r="F142" s="142">
        <f>'Products x speed'!H208+'Products x speed'!H210</f>
        <v>0</v>
      </c>
      <c r="G142" s="142">
        <f>'Products x speed'!I208+'Products x speed'!I210</f>
        <v>0</v>
      </c>
      <c r="H142" s="142">
        <f>'Products x speed'!J208+'Products x speed'!J210</f>
        <v>0</v>
      </c>
      <c r="I142" s="142">
        <f>'Products x speed'!K208+'Products x speed'!K210</f>
        <v>0</v>
      </c>
      <c r="J142" s="142">
        <f>'Products x speed'!L208+'Products x speed'!L210</f>
        <v>0</v>
      </c>
      <c r="K142" s="142">
        <f>'Products x speed'!M208+'Products x speed'!M210</f>
        <v>0</v>
      </c>
      <c r="L142" s="142">
        <f>'Products x speed'!N208+'Products x speed'!N210</f>
        <v>0</v>
      </c>
    </row>
    <row r="143" spans="1:19">
      <c r="B143" s="195" t="str">
        <f t="shared" si="3"/>
        <v>400G</v>
      </c>
      <c r="C143" s="316"/>
      <c r="D143" s="142">
        <f>SUM('Products x speed'!F211:F215)+'Products x speed'!F209</f>
        <v>1.3482999999999998</v>
      </c>
      <c r="E143" s="142">
        <f>SUM('Products x speed'!G211:G215)+'Products x speed'!G209</f>
        <v>49.211999999999996</v>
      </c>
      <c r="F143" s="142">
        <f>SUM('Products x speed'!H211:H215)+'Products x speed'!H209</f>
        <v>0</v>
      </c>
      <c r="G143" s="142">
        <f>SUM('Products x speed'!I211:I215)+'Products x speed'!I209</f>
        <v>0</v>
      </c>
      <c r="H143" s="142">
        <f>SUM('Products x speed'!J211:J215)+'Products x speed'!J209</f>
        <v>0</v>
      </c>
      <c r="I143" s="142">
        <f>SUM('Products x speed'!K211:K215)+'Products x speed'!K209</f>
        <v>0</v>
      </c>
      <c r="J143" s="142">
        <f>SUM('Products x speed'!L211:L215)+'Products x speed'!L209</f>
        <v>0</v>
      </c>
      <c r="K143" s="142">
        <f>SUM('Products x speed'!M211:M215)+'Products x speed'!M209</f>
        <v>0</v>
      </c>
      <c r="L143" s="142">
        <f>SUM('Products x speed'!N211:N215)+'Products x speed'!N209</f>
        <v>0</v>
      </c>
    </row>
    <row r="144" spans="1:19">
      <c r="B144" s="195" t="str">
        <f t="shared" si="3"/>
        <v>800G</v>
      </c>
      <c r="C144" s="316"/>
      <c r="D144" s="199"/>
      <c r="E144" s="199"/>
      <c r="F144" s="199"/>
      <c r="G144" s="199">
        <f>SUM('Products x speed'!I216:I219)</f>
        <v>0</v>
      </c>
      <c r="H144" s="199">
        <f>SUM('Products x speed'!J216:J219)</f>
        <v>0</v>
      </c>
      <c r="I144" s="199">
        <f>SUM('Products x speed'!K216:K219)</f>
        <v>0</v>
      </c>
      <c r="J144" s="199">
        <f>SUM('Products x speed'!L216:L219)</f>
        <v>0</v>
      </c>
      <c r="K144" s="199">
        <f>SUM('Products x speed'!M216:M219)</f>
        <v>0</v>
      </c>
      <c r="L144" s="199">
        <f>SUM('Products x speed'!N216:N219)</f>
        <v>0</v>
      </c>
    </row>
    <row r="145" spans="2:12">
      <c r="B145" s="297" t="str">
        <f>B128</f>
        <v>Legacy/discontinued</v>
      </c>
      <c r="C145" s="317">
        <f>'Products x speed'!E173+'Products x speed'!E163</f>
        <v>10.04630903</v>
      </c>
      <c r="D145" s="318">
        <f>'Products x speed'!F173+'Products x speed'!F163</f>
        <v>2.2937660000000006</v>
      </c>
      <c r="E145" s="318">
        <f>'Products x speed'!G173+'Products x speed'!G163</f>
        <v>0.4</v>
      </c>
      <c r="F145" s="318">
        <f>'Products x speed'!H173+'Products x speed'!H163</f>
        <v>0</v>
      </c>
      <c r="G145" s="318"/>
      <c r="H145" s="318"/>
      <c r="I145" s="318"/>
      <c r="J145" s="318"/>
      <c r="K145" s="318"/>
      <c r="L145" s="318"/>
    </row>
    <row r="146" spans="2:12">
      <c r="B146" s="192" t="str">
        <f>B129</f>
        <v>Total</v>
      </c>
      <c r="C146" s="317">
        <f t="shared" ref="C146:L146" si="4">SUM(C136:C145)</f>
        <v>2687.6154083151864</v>
      </c>
      <c r="D146" s="318">
        <f t="shared" si="4"/>
        <v>3178.1921388481992</v>
      </c>
      <c r="E146" s="318">
        <f t="shared" si="4"/>
        <v>3389.2344867253723</v>
      </c>
      <c r="F146" s="318">
        <f t="shared" si="4"/>
        <v>0</v>
      </c>
      <c r="G146" s="318">
        <f t="shared" si="4"/>
        <v>0</v>
      </c>
      <c r="H146" s="318">
        <f t="shared" si="4"/>
        <v>0</v>
      </c>
      <c r="I146" s="318">
        <f t="shared" si="4"/>
        <v>0</v>
      </c>
      <c r="J146" s="318">
        <f t="shared" si="4"/>
        <v>0</v>
      </c>
      <c r="K146" s="318">
        <f t="shared" si="4"/>
        <v>0</v>
      </c>
      <c r="L146" s="318">
        <f t="shared" si="4"/>
        <v>0</v>
      </c>
    </row>
    <row r="147" spans="2:12">
      <c r="B147" s="246" t="s">
        <v>92</v>
      </c>
      <c r="C147" s="191" t="e">
        <f>C146/#REF!-1</f>
        <v>#REF!</v>
      </c>
      <c r="D147" s="191">
        <f t="shared" ref="D147:L147" si="5">D146/C146-1</f>
        <v>0.18253234038442501</v>
      </c>
      <c r="E147" s="191">
        <f t="shared" si="5"/>
        <v>6.640326910935479E-2</v>
      </c>
      <c r="F147" s="191">
        <f t="shared" si="5"/>
        <v>-1</v>
      </c>
      <c r="G147" s="191" t="e">
        <f t="shared" si="5"/>
        <v>#DIV/0!</v>
      </c>
      <c r="H147" s="191" t="e">
        <f t="shared" si="5"/>
        <v>#DIV/0!</v>
      </c>
      <c r="I147" s="191" t="e">
        <f t="shared" si="5"/>
        <v>#DIV/0!</v>
      </c>
      <c r="J147" s="191" t="e">
        <f t="shared" si="5"/>
        <v>#DIV/0!</v>
      </c>
      <c r="K147" s="191" t="e">
        <f t="shared" si="5"/>
        <v>#DIV/0!</v>
      </c>
      <c r="L147" s="191" t="e">
        <f t="shared" si="5"/>
        <v>#DIV/0!</v>
      </c>
    </row>
    <row r="148" spans="2:12">
      <c r="B148" s="246" t="s">
        <v>271</v>
      </c>
      <c r="C148" s="191" t="e">
        <f>SUM(C138:C143)/SUM(#REF!)-1</f>
        <v>#REF!</v>
      </c>
      <c r="D148" s="191">
        <f t="shared" ref="D148:L148" si="6">SUM(D138:D143)/SUM(C138:C143)-1</f>
        <v>0.33298551429748557</v>
      </c>
      <c r="E148" s="191">
        <f t="shared" si="6"/>
        <v>8.0209978718523089E-2</v>
      </c>
      <c r="F148" s="191">
        <f t="shared" si="6"/>
        <v>-1</v>
      </c>
      <c r="G148" s="191" t="e">
        <f t="shared" si="6"/>
        <v>#DIV/0!</v>
      </c>
      <c r="H148" s="191" t="e">
        <f t="shared" si="6"/>
        <v>#DIV/0!</v>
      </c>
      <c r="I148" s="191" t="e">
        <f t="shared" si="6"/>
        <v>#DIV/0!</v>
      </c>
      <c r="J148" s="191" t="e">
        <f t="shared" si="6"/>
        <v>#DIV/0!</v>
      </c>
      <c r="K148" s="191" t="e">
        <f t="shared" si="6"/>
        <v>#DIV/0!</v>
      </c>
      <c r="L148" s="191" t="e">
        <f t="shared" si="6"/>
        <v>#DIV/0!</v>
      </c>
    </row>
    <row r="149" spans="2:12" ht="11.5" customHeight="1">
      <c r="C149" s="62">
        <f>C146-'Products x speed'!E220</f>
        <v>0</v>
      </c>
      <c r="D149" s="62">
        <f>D146-'Products x speed'!F220</f>
        <v>0</v>
      </c>
      <c r="E149" s="62">
        <f>E146-'Products x speed'!G220</f>
        <v>0</v>
      </c>
      <c r="F149" s="62">
        <f>F146-'Products x speed'!H220</f>
        <v>0</v>
      </c>
      <c r="G149" s="62">
        <f>G146-'Products x speed'!I220</f>
        <v>0</v>
      </c>
      <c r="H149" s="62">
        <f>H146-'Products x speed'!J220</f>
        <v>0</v>
      </c>
      <c r="I149" s="62">
        <f>I146-'Products x speed'!K220</f>
        <v>0</v>
      </c>
      <c r="J149" s="62">
        <f>J146-'Products x speed'!L220</f>
        <v>0</v>
      </c>
      <c r="K149" s="62">
        <f>K146-'Products x speed'!M220</f>
        <v>0</v>
      </c>
      <c r="L149" s="62">
        <f>L146-'Products x speed'!N220</f>
        <v>0</v>
      </c>
    </row>
    <row r="151" spans="2:12">
      <c r="B151" s="479" t="s">
        <v>22</v>
      </c>
      <c r="C151" s="302">
        <v>2016</v>
      </c>
      <c r="D151" s="303">
        <v>2017</v>
      </c>
      <c r="E151" s="303">
        <v>2018</v>
      </c>
      <c r="F151" s="303">
        <v>2019</v>
      </c>
      <c r="G151" s="303">
        <v>2020</v>
      </c>
      <c r="H151" s="303">
        <v>2021</v>
      </c>
      <c r="I151" s="303">
        <v>2022</v>
      </c>
      <c r="J151" s="303">
        <v>2023</v>
      </c>
      <c r="K151" s="303">
        <v>2024</v>
      </c>
      <c r="L151" s="461">
        <v>2025</v>
      </c>
    </row>
    <row r="152" spans="2:12">
      <c r="B152" s="495" t="s">
        <v>347</v>
      </c>
      <c r="C152" s="130">
        <f t="shared" ref="C152:L152" si="7">SUM(C119:C124)</f>
        <v>36168361.034999996</v>
      </c>
      <c r="D152" s="131">
        <f t="shared" si="7"/>
        <v>38077694.150000006</v>
      </c>
      <c r="E152" s="131">
        <f t="shared" si="7"/>
        <v>46016816.33669468</v>
      </c>
      <c r="F152" s="131">
        <f t="shared" si="7"/>
        <v>0</v>
      </c>
      <c r="G152" s="131">
        <f t="shared" si="7"/>
        <v>0</v>
      </c>
      <c r="H152" s="131">
        <f t="shared" si="7"/>
        <v>0</v>
      </c>
      <c r="I152" s="131">
        <f t="shared" si="7"/>
        <v>0</v>
      </c>
      <c r="J152" s="131">
        <f t="shared" si="7"/>
        <v>0</v>
      </c>
      <c r="K152" s="131">
        <f t="shared" si="7"/>
        <v>0</v>
      </c>
      <c r="L152" s="480">
        <f t="shared" si="7"/>
        <v>0</v>
      </c>
    </row>
    <row r="153" spans="2:12">
      <c r="B153" s="496" t="s">
        <v>348</v>
      </c>
      <c r="C153" s="134">
        <f t="shared" ref="C153:L153" si="8">SUM(C125:C127)</f>
        <v>0</v>
      </c>
      <c r="D153" s="135">
        <f t="shared" si="8"/>
        <v>89</v>
      </c>
      <c r="E153" s="135">
        <f t="shared" si="8"/>
        <v>40000</v>
      </c>
      <c r="F153" s="135">
        <f t="shared" si="8"/>
        <v>0</v>
      </c>
      <c r="G153" s="135">
        <f t="shared" si="8"/>
        <v>0</v>
      </c>
      <c r="H153" s="135">
        <f t="shared" si="8"/>
        <v>0</v>
      </c>
      <c r="I153" s="135">
        <f t="shared" si="8"/>
        <v>0</v>
      </c>
      <c r="J153" s="135">
        <f t="shared" si="8"/>
        <v>0</v>
      </c>
      <c r="K153" s="135">
        <f t="shared" si="8"/>
        <v>0</v>
      </c>
      <c r="L153" s="481">
        <f t="shared" si="8"/>
        <v>0</v>
      </c>
    </row>
    <row r="154" spans="2:12">
      <c r="B154" s="246"/>
      <c r="C154" s="191"/>
      <c r="D154" s="191"/>
      <c r="E154" s="191"/>
      <c r="F154" s="191"/>
      <c r="G154" s="191"/>
      <c r="H154" s="191"/>
      <c r="I154" s="191"/>
      <c r="J154" s="191"/>
      <c r="K154" s="191"/>
      <c r="L154" s="191"/>
    </row>
    <row r="155" spans="2:12">
      <c r="B155" s="479" t="s">
        <v>15</v>
      </c>
      <c r="C155" s="302">
        <v>2016</v>
      </c>
      <c r="D155" s="303">
        <v>2017</v>
      </c>
      <c r="E155" s="303">
        <v>2018</v>
      </c>
      <c r="F155" s="303">
        <v>2019</v>
      </c>
      <c r="G155" s="303">
        <v>2020</v>
      </c>
      <c r="H155" s="303">
        <v>2021</v>
      </c>
      <c r="I155" s="303">
        <v>2022</v>
      </c>
      <c r="J155" s="303">
        <v>2023</v>
      </c>
      <c r="K155" s="303">
        <v>2024</v>
      </c>
      <c r="L155" s="461">
        <v>2025</v>
      </c>
    </row>
    <row r="156" spans="2:12">
      <c r="B156" s="495" t="s">
        <v>347</v>
      </c>
      <c r="C156" s="143">
        <f t="shared" ref="C156:L156" si="9">SUM(C136:C141)</f>
        <v>2677.5690992851864</v>
      </c>
      <c r="D156" s="140">
        <f t="shared" si="9"/>
        <v>3174.5500728481993</v>
      </c>
      <c r="E156" s="140">
        <f t="shared" si="9"/>
        <v>3338.5224867253723</v>
      </c>
      <c r="F156" s="140">
        <f t="shared" si="9"/>
        <v>0</v>
      </c>
      <c r="G156" s="140">
        <f t="shared" si="9"/>
        <v>0</v>
      </c>
      <c r="H156" s="140">
        <f t="shared" si="9"/>
        <v>0</v>
      </c>
      <c r="I156" s="140">
        <f t="shared" si="9"/>
        <v>0</v>
      </c>
      <c r="J156" s="140">
        <f t="shared" si="9"/>
        <v>0</v>
      </c>
      <c r="K156" s="140">
        <f t="shared" si="9"/>
        <v>0</v>
      </c>
      <c r="L156" s="141">
        <f t="shared" si="9"/>
        <v>0</v>
      </c>
    </row>
    <row r="157" spans="2:12">
      <c r="B157" s="496" t="s">
        <v>348</v>
      </c>
      <c r="C157" s="148">
        <f t="shared" ref="C157:L157" si="10">SUM(C142:C144)</f>
        <v>0</v>
      </c>
      <c r="D157" s="138">
        <f t="shared" si="10"/>
        <v>1.3482999999999998</v>
      </c>
      <c r="E157" s="138">
        <f t="shared" si="10"/>
        <v>50.311999999999998</v>
      </c>
      <c r="F157" s="138">
        <f t="shared" si="10"/>
        <v>0</v>
      </c>
      <c r="G157" s="138">
        <f t="shared" si="10"/>
        <v>0</v>
      </c>
      <c r="H157" s="138">
        <f t="shared" si="10"/>
        <v>0</v>
      </c>
      <c r="I157" s="138">
        <f t="shared" si="10"/>
        <v>0</v>
      </c>
      <c r="J157" s="138">
        <f t="shared" si="10"/>
        <v>0</v>
      </c>
      <c r="K157" s="138">
        <f t="shared" si="10"/>
        <v>0</v>
      </c>
      <c r="L157" s="139">
        <f t="shared" si="10"/>
        <v>0</v>
      </c>
    </row>
    <row r="158" spans="2:12">
      <c r="B158" s="246"/>
      <c r="C158" s="191"/>
      <c r="D158" s="191"/>
      <c r="E158" s="191"/>
      <c r="F158" s="191"/>
      <c r="G158" s="191"/>
      <c r="H158" s="191"/>
      <c r="I158" s="191"/>
      <c r="J158" s="191"/>
      <c r="K158" s="191"/>
      <c r="L158" s="191"/>
    </row>
    <row r="159" spans="2:12">
      <c r="B159" s="479" t="s">
        <v>15</v>
      </c>
      <c r="C159" s="302">
        <v>2016</v>
      </c>
      <c r="D159" s="303">
        <v>2017</v>
      </c>
      <c r="E159" s="303">
        <v>2018</v>
      </c>
      <c r="F159" s="303">
        <v>2019</v>
      </c>
      <c r="G159" s="303">
        <v>2020</v>
      </c>
      <c r="H159" s="303">
        <v>2021</v>
      </c>
      <c r="I159" s="303">
        <v>2022</v>
      </c>
      <c r="J159" s="303">
        <v>2023</v>
      </c>
      <c r="K159" s="303">
        <v>2024</v>
      </c>
      <c r="L159" s="461">
        <v>2025</v>
      </c>
    </row>
    <row r="160" spans="2:12">
      <c r="B160" s="497" t="s">
        <v>360</v>
      </c>
      <c r="C160" s="97">
        <f t="shared" ref="C160:L160" si="11">SUM(C136:C140)</f>
        <v>1534.4101351455383</v>
      </c>
      <c r="D160" s="98">
        <f t="shared" si="11"/>
        <v>1520.6968341146207</v>
      </c>
      <c r="E160" s="98">
        <f t="shared" si="11"/>
        <v>1181.7002607083559</v>
      </c>
      <c r="F160" s="98">
        <f t="shared" si="11"/>
        <v>0</v>
      </c>
      <c r="G160" s="98">
        <f t="shared" si="11"/>
        <v>0</v>
      </c>
      <c r="H160" s="98">
        <f t="shared" si="11"/>
        <v>0</v>
      </c>
      <c r="I160" s="98">
        <f t="shared" si="11"/>
        <v>0</v>
      </c>
      <c r="J160" s="98">
        <f t="shared" si="11"/>
        <v>0</v>
      </c>
      <c r="K160" s="98">
        <f t="shared" si="11"/>
        <v>0</v>
      </c>
      <c r="L160" s="99">
        <f t="shared" si="11"/>
        <v>0</v>
      </c>
    </row>
    <row r="161" spans="2:18">
      <c r="B161" s="246"/>
      <c r="C161" s="62"/>
      <c r="D161" s="191"/>
      <c r="E161" s="191"/>
      <c r="F161" s="191"/>
      <c r="G161" s="191"/>
      <c r="H161" s="191"/>
      <c r="I161" s="191"/>
      <c r="J161" s="191"/>
      <c r="K161" s="191"/>
      <c r="L161" s="191"/>
      <c r="M161" s="191"/>
      <c r="N161" s="191"/>
      <c r="O161" s="191"/>
      <c r="P161" s="191"/>
      <c r="Q161" s="191"/>
      <c r="R161" s="191"/>
    </row>
    <row r="163" spans="2:18" ht="21">
      <c r="B163" s="125" t="s">
        <v>426</v>
      </c>
      <c r="H163" s="125" t="s">
        <v>425</v>
      </c>
    </row>
    <row r="186" spans="2:19" s="4" customFormat="1" ht="22.5" customHeight="1">
      <c r="B186" s="14"/>
      <c r="S186" s="26"/>
    </row>
    <row r="188" spans="2:19" s="4" customFormat="1" ht="13.5" customHeight="1">
      <c r="B188" s="14"/>
      <c r="S188" s="26"/>
    </row>
    <row r="189" spans="2:19" s="4" customFormat="1" ht="13.5" customHeight="1">
      <c r="B189" s="14"/>
      <c r="S189" s="26"/>
    </row>
    <row r="190" spans="2:19" s="4" customFormat="1" ht="13.5" customHeight="1">
      <c r="B190" s="14"/>
      <c r="S190" s="26"/>
    </row>
    <row r="191" spans="2:19" s="4" customFormat="1" ht="13.5" customHeight="1">
      <c r="B191" s="14"/>
      <c r="S191" s="26"/>
    </row>
    <row r="192" spans="2:19" s="4" customFormat="1" ht="13.5" customHeight="1">
      <c r="B192" s="14"/>
      <c r="S192" s="26"/>
    </row>
    <row r="193" spans="2:19" s="4" customFormat="1" ht="12.5">
      <c r="S193" s="26"/>
    </row>
    <row r="194" spans="2:19" s="4" customFormat="1" ht="12.5">
      <c r="S194" s="26"/>
    </row>
    <row r="195" spans="2:19" s="4" customFormat="1" ht="12.5">
      <c r="S195" s="26"/>
    </row>
    <row r="196" spans="2:19" s="4" customFormat="1" ht="12.5">
      <c r="S196" s="26"/>
    </row>
    <row r="197" spans="2:19" s="4" customFormat="1" ht="12.5">
      <c r="S197" s="26"/>
    </row>
    <row r="198" spans="2:19" s="4" customFormat="1" ht="12.5">
      <c r="S198" s="26"/>
    </row>
    <row r="199" spans="2:19" s="4" customFormat="1" ht="12.5">
      <c r="S199" s="26"/>
    </row>
    <row r="200" spans="2:19" s="4" customFormat="1" ht="12.5">
      <c r="S200" s="26"/>
    </row>
    <row r="201" spans="2:19" s="4" customFormat="1" ht="12.5">
      <c r="S201" s="26"/>
    </row>
    <row r="202" spans="2:19" s="4" customFormat="1" ht="12.5">
      <c r="S202" s="26"/>
    </row>
    <row r="203" spans="2:19" s="4" customFormat="1" ht="12.5">
      <c r="S203" s="26"/>
    </row>
    <row r="204" spans="2:19" s="4" customFormat="1" ht="12.5">
      <c r="S204" s="26"/>
    </row>
    <row r="205" spans="2:19" s="4" customFormat="1">
      <c r="B205" s="3"/>
      <c r="S205" s="26"/>
    </row>
    <row r="206" spans="2:19" s="4" customFormat="1">
      <c r="C206" s="307">
        <v>2016</v>
      </c>
      <c r="D206" s="308">
        <v>2017</v>
      </c>
      <c r="E206" s="308">
        <v>2018</v>
      </c>
      <c r="F206" s="308">
        <v>2019</v>
      </c>
      <c r="G206" s="308">
        <v>2020</v>
      </c>
      <c r="H206" s="308">
        <v>2021</v>
      </c>
      <c r="I206" s="308">
        <v>2022</v>
      </c>
      <c r="J206" s="308">
        <v>2023</v>
      </c>
      <c r="K206" s="308">
        <v>2024</v>
      </c>
      <c r="L206" s="308">
        <v>2025</v>
      </c>
      <c r="S206" s="26"/>
    </row>
    <row r="207" spans="2:19" s="4" customFormat="1">
      <c r="B207" s="319" t="s">
        <v>109</v>
      </c>
      <c r="C207" s="498"/>
      <c r="D207" s="320"/>
      <c r="E207" s="320"/>
      <c r="F207" s="320"/>
      <c r="G207" s="320"/>
      <c r="H207" s="320"/>
      <c r="I207" s="320"/>
      <c r="J207" s="320"/>
      <c r="K207" s="320"/>
      <c r="L207" s="320"/>
      <c r="S207" s="26"/>
    </row>
    <row r="208" spans="2:19" s="4" customFormat="1">
      <c r="B208" s="203" t="s">
        <v>161</v>
      </c>
      <c r="C208" s="499">
        <f>'Products x speed'!E9</f>
        <v>4496175.0999999996</v>
      </c>
      <c r="D208" s="321">
        <f>'Products x speed'!F9</f>
        <v>4278484</v>
      </c>
      <c r="E208" s="321">
        <f>'Products x speed'!G9</f>
        <v>4962296</v>
      </c>
      <c r="F208" s="321">
        <f>'Products x speed'!H9</f>
        <v>0</v>
      </c>
      <c r="G208" s="321">
        <f>'Products x speed'!I9</f>
        <v>0</v>
      </c>
      <c r="H208" s="321">
        <f>'Products x speed'!J9</f>
        <v>0</v>
      </c>
      <c r="I208" s="321">
        <f>'Products x speed'!K9</f>
        <v>0</v>
      </c>
      <c r="J208" s="321">
        <f>'Products x speed'!L9</f>
        <v>0</v>
      </c>
      <c r="K208" s="321">
        <f>'Products x speed'!M9</f>
        <v>0</v>
      </c>
      <c r="L208" s="321">
        <f>'Products x speed'!N9</f>
        <v>0</v>
      </c>
      <c r="S208" s="26"/>
    </row>
    <row r="209" spans="1:19" s="4" customFormat="1" ht="15.5">
      <c r="B209" s="203" t="s">
        <v>72</v>
      </c>
      <c r="C209" s="499">
        <f>+'Products x speed'!E14+'Products x speed'!E15+'Products x speed'!E16</f>
        <v>11471385.93</v>
      </c>
      <c r="D209" s="321">
        <f>+'Products x speed'!F14+'Products x speed'!F15+'Products x speed'!F16</f>
        <v>12691744</v>
      </c>
      <c r="E209" s="321">
        <f>+'Products x speed'!G14+'Products x speed'!G15+'Products x speed'!G16</f>
        <v>14084264</v>
      </c>
      <c r="F209" s="321">
        <f>+'Products x speed'!H14+'Products x speed'!H15+'Products x speed'!H16</f>
        <v>0</v>
      </c>
      <c r="G209" s="321">
        <f>+'Products x speed'!I14+'Products x speed'!I15+'Products x speed'!I16</f>
        <v>0</v>
      </c>
      <c r="H209" s="321">
        <f>+'Products x speed'!J14+'Products x speed'!J15+'Products x speed'!J16</f>
        <v>0</v>
      </c>
      <c r="I209" s="321">
        <f>+'Products x speed'!K14+'Products x speed'!K15+'Products x speed'!K16</f>
        <v>0</v>
      </c>
      <c r="J209" s="321">
        <f>+'Products x speed'!L14+'Products x speed'!L15+'Products x speed'!L16</f>
        <v>0</v>
      </c>
      <c r="K209" s="321">
        <f>+'Products x speed'!M14+'Products x speed'!M15+'Products x speed'!M16</f>
        <v>0</v>
      </c>
      <c r="L209" s="321">
        <f>+'Products x speed'!N14+'Products x speed'!N15+'Products x speed'!N16</f>
        <v>0</v>
      </c>
      <c r="S209" s="486">
        <f>SUM(C129:L129)*2</f>
        <v>241191685.04338938</v>
      </c>
    </row>
    <row r="210" spans="1:19" s="4" customFormat="1" ht="15.5">
      <c r="B210" s="203" t="s">
        <v>73</v>
      </c>
      <c r="C210" s="499">
        <f>'Products x speed'!E24</f>
        <v>7146</v>
      </c>
      <c r="D210" s="321">
        <f>'Products x speed'!F24</f>
        <v>95865</v>
      </c>
      <c r="E210" s="321">
        <f>'Products x speed'!G24</f>
        <v>318978</v>
      </c>
      <c r="F210" s="321">
        <f>'Products x speed'!H24</f>
        <v>0</v>
      </c>
      <c r="G210" s="321">
        <f>'Products x speed'!I24</f>
        <v>0</v>
      </c>
      <c r="H210" s="321">
        <f>'Products x speed'!J24</f>
        <v>0</v>
      </c>
      <c r="I210" s="321">
        <f>'Products x speed'!K24</f>
        <v>0</v>
      </c>
      <c r="J210" s="321">
        <f>'Products x speed'!L24</f>
        <v>0</v>
      </c>
      <c r="K210" s="321">
        <f>'Products x speed'!M24</f>
        <v>0</v>
      </c>
      <c r="L210" s="321">
        <f>'Products x speed'!N24</f>
        <v>0</v>
      </c>
      <c r="S210" s="486">
        <f>SUM(C119:L129)</f>
        <v>241191685.04338938</v>
      </c>
    </row>
    <row r="211" spans="1:19" s="4" customFormat="1" ht="15.5">
      <c r="A211" s="190"/>
      <c r="B211" s="203" t="s">
        <v>123</v>
      </c>
      <c r="C211" s="499">
        <f>'Products x speed'!E27+'Products x speed'!E28+'Products x speed'!E29</f>
        <v>1529498</v>
      </c>
      <c r="D211" s="321">
        <f>'Products x speed'!F27+'Products x speed'!F28+'Products x speed'!F29</f>
        <v>2010866</v>
      </c>
      <c r="E211" s="321">
        <f>'Products x speed'!G27+'Products x speed'!G28+'Products x speed'!G29</f>
        <v>2046033.5</v>
      </c>
      <c r="F211" s="321">
        <f>'Products x speed'!H27+'Products x speed'!H28+'Products x speed'!H29</f>
        <v>0</v>
      </c>
      <c r="G211" s="321">
        <f>'Products x speed'!I27+'Products x speed'!I28+'Products x speed'!I29</f>
        <v>0</v>
      </c>
      <c r="H211" s="321">
        <f>'Products x speed'!J27+'Products x speed'!J28+'Products x speed'!J29</f>
        <v>0</v>
      </c>
      <c r="I211" s="321">
        <f>'Products x speed'!K27+'Products x speed'!K28+'Products x speed'!K29</f>
        <v>0</v>
      </c>
      <c r="J211" s="321">
        <f>'Products x speed'!L27+'Products x speed'!L28+'Products x speed'!L29</f>
        <v>0</v>
      </c>
      <c r="K211" s="321">
        <f>'Products x speed'!M27+'Products x speed'!M28+'Products x speed'!M29</f>
        <v>0</v>
      </c>
      <c r="L211" s="321">
        <f>'Products x speed'!N27+'Products x speed'!N28+'Products x speed'!N29</f>
        <v>0</v>
      </c>
      <c r="S211" s="487">
        <f>(SUM(C207:L226)+SUM('Products x speed'!E13:N13)+SUM('Products x speed'!E23:N23))*2</f>
        <v>241191685.04338932</v>
      </c>
    </row>
    <row r="212" spans="1:19" s="4" customFormat="1" ht="15.5">
      <c r="A212" s="190"/>
      <c r="B212" s="203" t="s">
        <v>131</v>
      </c>
      <c r="C212" s="499"/>
      <c r="D212" s="321"/>
      <c r="E212" s="321">
        <f>'Products x speed'!G36</f>
        <v>0</v>
      </c>
      <c r="F212" s="321">
        <f>'Products x speed'!H36</f>
        <v>0</v>
      </c>
      <c r="G212" s="321">
        <f>'Products x speed'!I36</f>
        <v>0</v>
      </c>
      <c r="H212" s="321">
        <f>'Products x speed'!J36</f>
        <v>0</v>
      </c>
      <c r="I212" s="321">
        <f>'Products x speed'!K36</f>
        <v>0</v>
      </c>
      <c r="J212" s="321">
        <f>'Products x speed'!L36</f>
        <v>0</v>
      </c>
      <c r="K212" s="321">
        <f>'Products x speed'!M36</f>
        <v>0</v>
      </c>
      <c r="L212" s="321">
        <f>'Products x speed'!N36</f>
        <v>0</v>
      </c>
      <c r="S212" s="487">
        <f>(S210-S211)/2</f>
        <v>2.9802322387695313E-8</v>
      </c>
    </row>
    <row r="213" spans="1:19" s="4" customFormat="1">
      <c r="A213" s="190"/>
      <c r="B213" s="203" t="s">
        <v>139</v>
      </c>
      <c r="C213" s="499">
        <f>SUM('Products x speed'!E41:E46)</f>
        <v>299241</v>
      </c>
      <c r="D213" s="321">
        <f>SUM('Products x speed'!F41:F46)</f>
        <v>631974</v>
      </c>
      <c r="E213" s="321">
        <f>SUM('Products x speed'!G41:G46)</f>
        <v>2082911</v>
      </c>
      <c r="F213" s="321">
        <f>SUM('Products x speed'!H41:H46)</f>
        <v>0</v>
      </c>
      <c r="G213" s="321">
        <f>SUM('Products x speed'!I41:I46)</f>
        <v>0</v>
      </c>
      <c r="H213" s="321">
        <f>SUM('Products x speed'!J41:J46)</f>
        <v>0</v>
      </c>
      <c r="I213" s="321">
        <f>SUM('Products x speed'!K41:K46)</f>
        <v>0</v>
      </c>
      <c r="J213" s="321">
        <f>SUM('Products x speed'!L41:L46)</f>
        <v>0</v>
      </c>
      <c r="K213" s="321">
        <f>SUM('Products x speed'!M41:M46)</f>
        <v>0</v>
      </c>
      <c r="L213" s="321">
        <f>SUM('Products x speed'!N41:N46)</f>
        <v>0</v>
      </c>
      <c r="S213" s="26"/>
    </row>
    <row r="214" spans="1:19" s="4" customFormat="1">
      <c r="A214" s="190"/>
      <c r="B214" s="203" t="s">
        <v>140</v>
      </c>
      <c r="C214" s="499"/>
      <c r="D214" s="321">
        <f>'Products x speed'!F58</f>
        <v>0</v>
      </c>
      <c r="E214" s="321">
        <f>'Products x speed'!G58</f>
        <v>500</v>
      </c>
      <c r="F214" s="321">
        <f>'Products x speed'!H58</f>
        <v>0</v>
      </c>
      <c r="G214" s="321">
        <f>'Products x speed'!I58</f>
        <v>0</v>
      </c>
      <c r="H214" s="321">
        <f>'Products x speed'!J58</f>
        <v>0</v>
      </c>
      <c r="I214" s="321">
        <f>'Products x speed'!K58</f>
        <v>0</v>
      </c>
      <c r="J214" s="321">
        <f>'Products x speed'!L58</f>
        <v>0</v>
      </c>
      <c r="K214" s="321">
        <f>'Products x speed'!M58</f>
        <v>0</v>
      </c>
      <c r="L214" s="321">
        <f>'Products x speed'!N58</f>
        <v>0</v>
      </c>
      <c r="S214" s="26"/>
    </row>
    <row r="215" spans="1:19" s="4" customFormat="1">
      <c r="A215" s="190"/>
      <c r="B215" s="203" t="s">
        <v>141</v>
      </c>
      <c r="C215" s="499"/>
      <c r="D215" s="321">
        <f>'Products x speed'!F62+'Products x speed'!F59</f>
        <v>0</v>
      </c>
      <c r="E215" s="321">
        <f>'Products x speed'!G62+'Products x speed'!G59</f>
        <v>23000</v>
      </c>
      <c r="F215" s="321">
        <f>'Products x speed'!H62+'Products x speed'!H59</f>
        <v>0</v>
      </c>
      <c r="G215" s="321">
        <f>'Products x speed'!I62+'Products x speed'!I59</f>
        <v>0</v>
      </c>
      <c r="H215" s="321">
        <f>'Products x speed'!J62+'Products x speed'!J59</f>
        <v>0</v>
      </c>
      <c r="I215" s="321">
        <f>'Products x speed'!K62+'Products x speed'!K59</f>
        <v>0</v>
      </c>
      <c r="J215" s="321">
        <f>'Products x speed'!L62+'Products x speed'!L59</f>
        <v>0</v>
      </c>
      <c r="K215" s="321">
        <f>'Products x speed'!M62+'Products x speed'!M59</f>
        <v>0</v>
      </c>
      <c r="L215" s="321">
        <f>'Products x speed'!N62+'Products x speed'!N59</f>
        <v>0</v>
      </c>
      <c r="S215" s="26"/>
    </row>
    <row r="216" spans="1:19" s="4" customFormat="1">
      <c r="A216" s="190"/>
      <c r="B216" s="441" t="s">
        <v>427</v>
      </c>
      <c r="C216" s="499"/>
      <c r="D216" s="442"/>
      <c r="E216" s="442"/>
      <c r="F216" s="442"/>
      <c r="G216" s="442">
        <f>'Products x speed'!I66</f>
        <v>0</v>
      </c>
      <c r="H216" s="442">
        <f>'Products x speed'!J66</f>
        <v>0</v>
      </c>
      <c r="I216" s="442">
        <f>'Products x speed'!K66</f>
        <v>0</v>
      </c>
      <c r="J216" s="442">
        <f>'Products x speed'!L66</f>
        <v>0</v>
      </c>
      <c r="K216" s="442">
        <f>'Products x speed'!M66</f>
        <v>0</v>
      </c>
      <c r="L216" s="442">
        <f>'Products x speed'!N66</f>
        <v>0</v>
      </c>
      <c r="S216" s="26"/>
    </row>
    <row r="217" spans="1:19" s="4" customFormat="1">
      <c r="A217" s="190"/>
      <c r="B217" s="322" t="s">
        <v>117</v>
      </c>
      <c r="C217" s="500"/>
      <c r="D217" s="323"/>
      <c r="E217" s="323"/>
      <c r="F217" s="323"/>
      <c r="G217" s="323"/>
      <c r="H217" s="323"/>
      <c r="I217" s="323"/>
      <c r="J217" s="323"/>
      <c r="K217" s="323"/>
      <c r="L217" s="323"/>
      <c r="S217" s="26"/>
    </row>
    <row r="218" spans="1:19" s="4" customFormat="1">
      <c r="A218" s="190"/>
      <c r="B218" s="324" t="s">
        <v>162</v>
      </c>
      <c r="C218" s="500">
        <f>'Products x speed'!E10+'Products x speed'!E11+'Products x speed'!E12</f>
        <v>9071235.0050000008</v>
      </c>
      <c r="D218" s="325">
        <f>'Products x speed'!F10+'Products x speed'!F11+'Products x speed'!F12</f>
        <v>6995211.0500000007</v>
      </c>
      <c r="E218" s="325">
        <f>'Products x speed'!G10+'Products x speed'!G11+'Products x speed'!G12</f>
        <v>9376680</v>
      </c>
      <c r="F218" s="325">
        <f>'Products x speed'!H10+'Products x speed'!H11+'Products x speed'!H12</f>
        <v>0</v>
      </c>
      <c r="G218" s="325">
        <f>'Products x speed'!I10+'Products x speed'!I11+'Products x speed'!I12</f>
        <v>0</v>
      </c>
      <c r="H218" s="325">
        <f>'Products x speed'!J10+'Products x speed'!J11+'Products x speed'!J12</f>
        <v>0</v>
      </c>
      <c r="I218" s="325">
        <f>'Products x speed'!K10+'Products x speed'!K11+'Products x speed'!K12</f>
        <v>0</v>
      </c>
      <c r="J218" s="325">
        <f>'Products x speed'!L10+'Products x speed'!L11+'Products x speed'!L12</f>
        <v>0</v>
      </c>
      <c r="K218" s="325">
        <f>'Products x speed'!M10+'Products x speed'!M11+'Products x speed'!M12</f>
        <v>0</v>
      </c>
      <c r="L218" s="325">
        <f>'Products x speed'!N10+'Products x speed'!N11+'Products x speed'!N12</f>
        <v>0</v>
      </c>
      <c r="S218" s="26"/>
    </row>
    <row r="219" spans="1:19" s="4" customFormat="1">
      <c r="A219" s="190"/>
      <c r="B219" s="324" t="s">
        <v>75</v>
      </c>
      <c r="C219" s="500">
        <f>SUM('Products x speed'!E17:E22)</f>
        <v>7045433</v>
      </c>
      <c r="D219" s="325">
        <f>SUM('Products x speed'!F17:F22)</f>
        <v>7253278.0999999996</v>
      </c>
      <c r="E219" s="325">
        <f>SUM('Products x speed'!G17:G22)</f>
        <v>7932741.0999999996</v>
      </c>
      <c r="F219" s="325">
        <f>SUM('Products x speed'!H17:H22)</f>
        <v>0</v>
      </c>
      <c r="G219" s="325">
        <f>SUM('Products x speed'!I17:I22)</f>
        <v>0</v>
      </c>
      <c r="H219" s="325">
        <f>SUM('Products x speed'!J17:J22)</f>
        <v>0</v>
      </c>
      <c r="I219" s="325">
        <f>SUM('Products x speed'!K17:K22)</f>
        <v>0</v>
      </c>
      <c r="J219" s="325">
        <f>SUM('Products x speed'!L17:L22)</f>
        <v>0</v>
      </c>
      <c r="K219" s="325">
        <f>SUM('Products x speed'!M17:M22)</f>
        <v>0</v>
      </c>
      <c r="L219" s="325">
        <f>SUM('Products x speed'!N17:N22)</f>
        <v>0</v>
      </c>
      <c r="S219" s="26"/>
    </row>
    <row r="220" spans="1:19" s="4" customFormat="1">
      <c r="A220" s="190"/>
      <c r="B220" s="324" t="s">
        <v>76</v>
      </c>
      <c r="C220" s="500">
        <f>SUM('Products x speed'!E25:E26)</f>
        <v>4548</v>
      </c>
      <c r="D220" s="325">
        <f>SUM('Products x speed'!F25:F26)</f>
        <v>17462</v>
      </c>
      <c r="E220" s="325">
        <f>SUM('Products x speed'!G25:G26)</f>
        <v>56709</v>
      </c>
      <c r="F220" s="325">
        <f>SUM('Products x speed'!H25:H26)</f>
        <v>0</v>
      </c>
      <c r="G220" s="325">
        <f>SUM('Products x speed'!I25:I26)</f>
        <v>0</v>
      </c>
      <c r="H220" s="325">
        <f>SUM('Products x speed'!J25:J26)</f>
        <v>0</v>
      </c>
      <c r="I220" s="325">
        <f>SUM('Products x speed'!K25:K26)</f>
        <v>0</v>
      </c>
      <c r="J220" s="325">
        <f>SUM('Products x speed'!L25:L26)</f>
        <v>0</v>
      </c>
      <c r="K220" s="325">
        <f>SUM('Products x speed'!M25:M26)</f>
        <v>0</v>
      </c>
      <c r="L220" s="325">
        <f>SUM('Products x speed'!N25:N26)</f>
        <v>0</v>
      </c>
      <c r="S220" s="26"/>
    </row>
    <row r="221" spans="1:19" s="4" customFormat="1">
      <c r="A221" s="190"/>
      <c r="B221" s="324" t="s">
        <v>126</v>
      </c>
      <c r="C221" s="500">
        <f>SUM('Products x speed'!E30:E35)</f>
        <v>1623570</v>
      </c>
      <c r="D221" s="325">
        <f>SUM('Products x speed'!F30:F35)</f>
        <v>1853294</v>
      </c>
      <c r="E221" s="325">
        <f>SUM('Products x speed'!G30:G35)</f>
        <v>1052090</v>
      </c>
      <c r="F221" s="325">
        <f>SUM('Products x speed'!H30:H35)</f>
        <v>0</v>
      </c>
      <c r="G221" s="325">
        <f>SUM('Products x speed'!I30:I35)</f>
        <v>0</v>
      </c>
      <c r="H221" s="325">
        <f>SUM('Products x speed'!J30:J35)</f>
        <v>0</v>
      </c>
      <c r="I221" s="325">
        <f>SUM('Products x speed'!K30:K35)</f>
        <v>0</v>
      </c>
      <c r="J221" s="325">
        <f>SUM('Products x speed'!L30:L35)</f>
        <v>0</v>
      </c>
      <c r="K221" s="325">
        <f>SUM('Products x speed'!M30:M35)</f>
        <v>0</v>
      </c>
      <c r="L221" s="325">
        <f>SUM('Products x speed'!N30:N35)</f>
        <v>0</v>
      </c>
      <c r="S221" s="26"/>
    </row>
    <row r="222" spans="1:19" s="4" customFormat="1">
      <c r="A222" s="190"/>
      <c r="B222" s="324" t="s">
        <v>130</v>
      </c>
      <c r="C222" s="500"/>
      <c r="D222" s="325"/>
      <c r="E222" s="325">
        <f>SUM('Products x speed'!G37:G40)</f>
        <v>0</v>
      </c>
      <c r="F222" s="325">
        <f>SUM('Products x speed'!H37:H40)</f>
        <v>0</v>
      </c>
      <c r="G222" s="325">
        <f>SUM('Products x speed'!I37:I40)</f>
        <v>0</v>
      </c>
      <c r="H222" s="325">
        <f>SUM('Products x speed'!J37:J40)</f>
        <v>0</v>
      </c>
      <c r="I222" s="325">
        <f>SUM('Products x speed'!K37:K40)</f>
        <v>0</v>
      </c>
      <c r="J222" s="325">
        <f>SUM('Products x speed'!L37:L40)</f>
        <v>0</v>
      </c>
      <c r="K222" s="325">
        <f>SUM('Products x speed'!M37:M40)</f>
        <v>0</v>
      </c>
      <c r="L222" s="325">
        <f>SUM('Products x speed'!N37:N40)</f>
        <v>0</v>
      </c>
      <c r="S222" s="26"/>
    </row>
    <row r="223" spans="1:19" s="4" customFormat="1">
      <c r="A223" s="190"/>
      <c r="B223" s="324" t="s">
        <v>125</v>
      </c>
      <c r="C223" s="500">
        <f>SUM('Products x speed'!E47:E57)</f>
        <v>620129</v>
      </c>
      <c r="D223" s="325">
        <f>SUM('Products x speed'!F47:F57)</f>
        <v>2249516</v>
      </c>
      <c r="E223" s="325">
        <f>SUM('Products x speed'!G47:G57)</f>
        <v>4104113.7366946777</v>
      </c>
      <c r="F223" s="325">
        <f>SUM('Products x speed'!H47:H57)</f>
        <v>0</v>
      </c>
      <c r="G223" s="325">
        <f>SUM('Products x speed'!I47:I57)</f>
        <v>0</v>
      </c>
      <c r="H223" s="325">
        <f>SUM('Products x speed'!J47:J57)</f>
        <v>0</v>
      </c>
      <c r="I223" s="325">
        <f>SUM('Products x speed'!K47:K57)</f>
        <v>0</v>
      </c>
      <c r="J223" s="325">
        <f>SUM('Products x speed'!L47:L57)</f>
        <v>0</v>
      </c>
      <c r="K223" s="325">
        <f>SUM('Products x speed'!M47:M57)</f>
        <v>0</v>
      </c>
      <c r="L223" s="325">
        <f>SUM('Products x speed'!N47:N57)</f>
        <v>0</v>
      </c>
      <c r="S223" s="26"/>
    </row>
    <row r="224" spans="1:19" s="4" customFormat="1">
      <c r="A224" s="190"/>
      <c r="B224" s="324" t="s">
        <v>143</v>
      </c>
      <c r="C224" s="500"/>
      <c r="D224" s="325">
        <f>SUM('Products x speed'!F60:F60)</f>
        <v>0</v>
      </c>
      <c r="E224" s="325">
        <f>SUM('Products x speed'!G60:G60)</f>
        <v>500</v>
      </c>
      <c r="F224" s="325">
        <f>SUM('Products x speed'!H60:H60)</f>
        <v>0</v>
      </c>
      <c r="G224" s="325">
        <f>SUM('Products x speed'!I60:I60)</f>
        <v>0</v>
      </c>
      <c r="H224" s="325">
        <f>SUM('Products x speed'!J60:J60)</f>
        <v>0</v>
      </c>
      <c r="I224" s="325">
        <f>SUM('Products x speed'!K60:K60)</f>
        <v>0</v>
      </c>
      <c r="J224" s="325">
        <f>SUM('Products x speed'!L60:L60)</f>
        <v>0</v>
      </c>
      <c r="K224" s="325">
        <f>SUM('Products x speed'!M60:M60)</f>
        <v>0</v>
      </c>
      <c r="L224" s="325">
        <f>SUM('Products x speed'!N60:N60)</f>
        <v>0</v>
      </c>
      <c r="S224" s="26"/>
    </row>
    <row r="225" spans="1:19" s="4" customFormat="1">
      <c r="A225" s="190"/>
      <c r="B225" s="324" t="s">
        <v>144</v>
      </c>
      <c r="C225" s="500"/>
      <c r="D225" s="325">
        <f>SUM('Products x speed'!F63:F65)+'Products x speed'!F61</f>
        <v>89</v>
      </c>
      <c r="E225" s="325">
        <f>SUM('Products x speed'!G63:G65)+'Products x speed'!G61</f>
        <v>16000</v>
      </c>
      <c r="F225" s="325">
        <f>SUM('Products x speed'!H63:H65)+'Products x speed'!H61</f>
        <v>0</v>
      </c>
      <c r="G225" s="325">
        <f>SUM('Products x speed'!I63:I65)+'Products x speed'!I61</f>
        <v>0</v>
      </c>
      <c r="H225" s="325">
        <f>SUM('Products x speed'!J63:J65)+'Products x speed'!J61</f>
        <v>0</v>
      </c>
      <c r="I225" s="325">
        <f>SUM('Products x speed'!K63:K65)+'Products x speed'!K61</f>
        <v>0</v>
      </c>
      <c r="J225" s="325">
        <f>SUM('Products x speed'!L63:L65)+'Products x speed'!L61</f>
        <v>0</v>
      </c>
      <c r="K225" s="325">
        <f>SUM('Products x speed'!M63:M65)+'Products x speed'!M61</f>
        <v>0</v>
      </c>
      <c r="L225" s="325">
        <f>SUM('Products x speed'!N63:N65)+'Products x speed'!N61</f>
        <v>0</v>
      </c>
      <c r="S225" s="26"/>
    </row>
    <row r="226" spans="1:19" s="4" customFormat="1">
      <c r="A226" s="190"/>
      <c r="B226" s="326" t="s">
        <v>428</v>
      </c>
      <c r="C226" s="501"/>
      <c r="D226" s="327"/>
      <c r="E226" s="327"/>
      <c r="F226" s="327"/>
      <c r="G226" s="327">
        <f>SUM('Products x speed'!I67:I68)</f>
        <v>0</v>
      </c>
      <c r="H226" s="327">
        <f>SUM('Products x speed'!J67:J68)</f>
        <v>0</v>
      </c>
      <c r="I226" s="327">
        <f>SUM('Products x speed'!K67:K68)</f>
        <v>0</v>
      </c>
      <c r="J226" s="327">
        <f>SUM('Products x speed'!L67:L68)</f>
        <v>0</v>
      </c>
      <c r="K226" s="327">
        <f>SUM('Products x speed'!M67:M68)</f>
        <v>0</v>
      </c>
      <c r="L226" s="327">
        <f>SUM('Products x speed'!N67:N68)</f>
        <v>0</v>
      </c>
      <c r="S226" s="26"/>
    </row>
    <row r="227" spans="1:19" s="4" customFormat="1">
      <c r="A227" s="190"/>
      <c r="S227" s="26"/>
    </row>
    <row r="228" spans="1:19" s="4" customFormat="1">
      <c r="A228" s="190"/>
      <c r="B228" s="221" t="s">
        <v>142</v>
      </c>
      <c r="C228" s="211"/>
      <c r="D228" s="211"/>
      <c r="E228" s="211"/>
      <c r="F228" s="211"/>
      <c r="G228" s="211"/>
      <c r="H228" s="211"/>
      <c r="I228" s="211"/>
      <c r="J228" s="211"/>
      <c r="S228" s="26"/>
    </row>
    <row r="229" spans="1:19" s="4" customFormat="1">
      <c r="A229" s="190"/>
      <c r="B229" s="204" t="str">
        <f t="shared" ref="B229:B237" si="12">B218</f>
        <v>1G SMF</v>
      </c>
      <c r="C229" s="502">
        <f t="shared" ref="C229:L229" si="13">(C208+C218)/SUM(C208:C225)</f>
        <v>0.37511818939959324</v>
      </c>
      <c r="D229" s="191">
        <f t="shared" si="13"/>
        <v>0.2960701521301668</v>
      </c>
      <c r="E229" s="191">
        <f t="shared" si="13"/>
        <v>0.3113323312487789</v>
      </c>
      <c r="F229" s="191" t="e">
        <f t="shared" si="13"/>
        <v>#DIV/0!</v>
      </c>
      <c r="G229" s="191" t="e">
        <f t="shared" si="13"/>
        <v>#DIV/0!</v>
      </c>
      <c r="H229" s="191" t="e">
        <f t="shared" si="13"/>
        <v>#DIV/0!</v>
      </c>
      <c r="I229" s="191" t="e">
        <f t="shared" si="13"/>
        <v>#DIV/0!</v>
      </c>
      <c r="J229" s="191" t="e">
        <f t="shared" si="13"/>
        <v>#DIV/0!</v>
      </c>
      <c r="K229" s="191" t="e">
        <f t="shared" si="13"/>
        <v>#DIV/0!</v>
      </c>
      <c r="L229" s="191" t="e">
        <f t="shared" si="13"/>
        <v>#DIV/0!</v>
      </c>
      <c r="S229" s="26"/>
    </row>
    <row r="230" spans="1:19" s="4" customFormat="1">
      <c r="A230" s="190"/>
      <c r="B230" s="204" t="str">
        <f t="shared" si="12"/>
        <v>10G SMF</v>
      </c>
      <c r="C230" s="502">
        <f t="shared" ref="C230:L230" si="14">(C209+C219)/SUM(C208:C225)</f>
        <v>0.51196179202262815</v>
      </c>
      <c r="D230" s="191">
        <f t="shared" si="14"/>
        <v>0.52379682980572895</v>
      </c>
      <c r="E230" s="191">
        <f t="shared" si="14"/>
        <v>0.4780401002762858</v>
      </c>
      <c r="F230" s="191" t="e">
        <f t="shared" si="14"/>
        <v>#DIV/0!</v>
      </c>
      <c r="G230" s="191" t="e">
        <f t="shared" si="14"/>
        <v>#DIV/0!</v>
      </c>
      <c r="H230" s="191" t="e">
        <f t="shared" si="14"/>
        <v>#DIV/0!</v>
      </c>
      <c r="I230" s="191" t="e">
        <f t="shared" si="14"/>
        <v>#DIV/0!</v>
      </c>
      <c r="J230" s="191" t="e">
        <f t="shared" si="14"/>
        <v>#DIV/0!</v>
      </c>
      <c r="K230" s="191" t="e">
        <f t="shared" si="14"/>
        <v>#DIV/0!</v>
      </c>
      <c r="L230" s="191" t="e">
        <f t="shared" si="14"/>
        <v>#DIV/0!</v>
      </c>
      <c r="S230" s="26"/>
    </row>
    <row r="231" spans="1:19" s="4" customFormat="1">
      <c r="A231" s="190"/>
      <c r="B231" s="204" t="str">
        <f t="shared" si="12"/>
        <v>25G SMF</v>
      </c>
      <c r="C231" s="503">
        <f t="shared" ref="C231:L231" si="15">(C210+C220)/SUM(C208:C225)</f>
        <v>3.2332125828659351E-4</v>
      </c>
      <c r="D231" s="328">
        <f t="shared" si="15"/>
        <v>2.976197420778683E-3</v>
      </c>
      <c r="E231" s="328">
        <f t="shared" si="15"/>
        <v>8.1570336354464916E-3</v>
      </c>
      <c r="F231" s="328" t="e">
        <f t="shared" si="15"/>
        <v>#DIV/0!</v>
      </c>
      <c r="G231" s="328" t="e">
        <f t="shared" si="15"/>
        <v>#DIV/0!</v>
      </c>
      <c r="H231" s="328" t="e">
        <f t="shared" si="15"/>
        <v>#DIV/0!</v>
      </c>
      <c r="I231" s="328" t="e">
        <f t="shared" si="15"/>
        <v>#DIV/0!</v>
      </c>
      <c r="J231" s="328" t="e">
        <f t="shared" si="15"/>
        <v>#DIV/0!</v>
      </c>
      <c r="K231" s="328" t="e">
        <f t="shared" si="15"/>
        <v>#DIV/0!</v>
      </c>
      <c r="L231" s="328" t="e">
        <f t="shared" si="15"/>
        <v>#DIV/0!</v>
      </c>
      <c r="S231" s="26"/>
    </row>
    <row r="232" spans="1:19" s="4" customFormat="1">
      <c r="A232" s="190"/>
      <c r="B232" s="204" t="str">
        <f t="shared" si="12"/>
        <v>40G SMF</v>
      </c>
      <c r="C232" s="503">
        <f t="shared" ref="C232:L232" si="16">(C211+C221)/SUM(C208:C225)</f>
        <v>8.7177519516264138E-2</v>
      </c>
      <c r="D232" s="328">
        <f t="shared" si="16"/>
        <v>0.10148069767554208</v>
      </c>
      <c r="E232" s="328">
        <f t="shared" si="16"/>
        <v>6.726742633167293E-2</v>
      </c>
      <c r="F232" s="328" t="e">
        <f t="shared" si="16"/>
        <v>#DIV/0!</v>
      </c>
      <c r="G232" s="328" t="e">
        <f t="shared" si="16"/>
        <v>#DIV/0!</v>
      </c>
      <c r="H232" s="328" t="e">
        <f t="shared" si="16"/>
        <v>#DIV/0!</v>
      </c>
      <c r="I232" s="328" t="e">
        <f t="shared" si="16"/>
        <v>#DIV/0!</v>
      </c>
      <c r="J232" s="328" t="e">
        <f t="shared" si="16"/>
        <v>#DIV/0!</v>
      </c>
      <c r="K232" s="328" t="e">
        <f t="shared" si="16"/>
        <v>#DIV/0!</v>
      </c>
      <c r="L232" s="328" t="e">
        <f t="shared" si="16"/>
        <v>#DIV/0!</v>
      </c>
      <c r="S232" s="26"/>
    </row>
    <row r="233" spans="1:19" s="4" customFormat="1">
      <c r="B233" s="204" t="str">
        <f t="shared" si="12"/>
        <v>50G SMF</v>
      </c>
      <c r="C233" s="503">
        <f t="shared" ref="C233:L233" si="17">(C212+C222)/SUM(C208:C225)</f>
        <v>0</v>
      </c>
      <c r="D233" s="328">
        <f t="shared" si="17"/>
        <v>0</v>
      </c>
      <c r="E233" s="328">
        <f t="shared" si="17"/>
        <v>0</v>
      </c>
      <c r="F233" s="328" t="e">
        <f t="shared" si="17"/>
        <v>#DIV/0!</v>
      </c>
      <c r="G233" s="328" t="e">
        <f t="shared" si="17"/>
        <v>#DIV/0!</v>
      </c>
      <c r="H233" s="328" t="e">
        <f t="shared" si="17"/>
        <v>#DIV/0!</v>
      </c>
      <c r="I233" s="328" t="e">
        <f t="shared" si="17"/>
        <v>#DIV/0!</v>
      </c>
      <c r="J233" s="328" t="e">
        <f t="shared" si="17"/>
        <v>#DIV/0!</v>
      </c>
      <c r="K233" s="328" t="e">
        <f t="shared" si="17"/>
        <v>#DIV/0!</v>
      </c>
      <c r="L233" s="328" t="e">
        <f t="shared" si="17"/>
        <v>#DIV/0!</v>
      </c>
      <c r="S233" s="26"/>
    </row>
    <row r="234" spans="1:19" s="4" customFormat="1">
      <c r="B234" s="204" t="str">
        <f t="shared" si="12"/>
        <v>100G SMF</v>
      </c>
      <c r="C234" s="503">
        <f t="shared" ref="C234:L234" si="18">(C213+C223)/SUM(C208:C225)</f>
        <v>2.5419177803227763E-2</v>
      </c>
      <c r="D234" s="328">
        <f t="shared" si="18"/>
        <v>7.5673785646841157E-2</v>
      </c>
      <c r="E234" s="328">
        <f t="shared" si="18"/>
        <v>0.13433461599831234</v>
      </c>
      <c r="F234" s="328" t="e">
        <f t="shared" si="18"/>
        <v>#DIV/0!</v>
      </c>
      <c r="G234" s="328" t="e">
        <f t="shared" si="18"/>
        <v>#DIV/0!</v>
      </c>
      <c r="H234" s="328" t="e">
        <f t="shared" si="18"/>
        <v>#DIV/0!</v>
      </c>
      <c r="I234" s="328" t="e">
        <f t="shared" si="18"/>
        <v>#DIV/0!</v>
      </c>
      <c r="J234" s="328" t="e">
        <f t="shared" si="18"/>
        <v>#DIV/0!</v>
      </c>
      <c r="K234" s="328" t="e">
        <f t="shared" si="18"/>
        <v>#DIV/0!</v>
      </c>
      <c r="L234" s="328" t="e">
        <f t="shared" si="18"/>
        <v>#DIV/0!</v>
      </c>
      <c r="S234" s="26"/>
    </row>
    <row r="235" spans="1:19" s="4" customFormat="1">
      <c r="B235" s="222" t="str">
        <f t="shared" si="12"/>
        <v>200G SMF</v>
      </c>
      <c r="C235" s="503">
        <f t="shared" ref="C235:L235" si="19">(C214+C224)/SUM(C208:C225)</f>
        <v>0</v>
      </c>
      <c r="D235" s="328">
        <f t="shared" si="19"/>
        <v>0</v>
      </c>
      <c r="E235" s="328">
        <f t="shared" si="19"/>
        <v>2.1712312737588716E-5</v>
      </c>
      <c r="F235" s="328" t="e">
        <f t="shared" si="19"/>
        <v>#DIV/0!</v>
      </c>
      <c r="G235" s="328" t="e">
        <f t="shared" si="19"/>
        <v>#DIV/0!</v>
      </c>
      <c r="H235" s="328" t="e">
        <f t="shared" si="19"/>
        <v>#DIV/0!</v>
      </c>
      <c r="I235" s="328" t="e">
        <f t="shared" si="19"/>
        <v>#DIV/0!</v>
      </c>
      <c r="J235" s="328" t="e">
        <f t="shared" si="19"/>
        <v>#DIV/0!</v>
      </c>
      <c r="K235" s="328" t="e">
        <f t="shared" si="19"/>
        <v>#DIV/0!</v>
      </c>
      <c r="L235" s="328" t="e">
        <f t="shared" si="19"/>
        <v>#DIV/0!</v>
      </c>
      <c r="S235" s="26"/>
    </row>
    <row r="236" spans="1:19" s="4" customFormat="1">
      <c r="B236" s="222" t="str">
        <f t="shared" si="12"/>
        <v>400G SMF</v>
      </c>
      <c r="C236" s="503">
        <f t="shared" ref="C236:H237" si="20">(C215+C225)/SUM(C208:C225)</f>
        <v>0</v>
      </c>
      <c r="D236" s="328">
        <f t="shared" si="20"/>
        <v>2.3373209424876932E-6</v>
      </c>
      <c r="E236" s="328">
        <f t="shared" si="20"/>
        <v>8.4678019676595996E-4</v>
      </c>
      <c r="F236" s="328" t="e">
        <f t="shared" si="20"/>
        <v>#DIV/0!</v>
      </c>
      <c r="G236" s="328" t="e">
        <f t="shared" si="20"/>
        <v>#DIV/0!</v>
      </c>
      <c r="H236" s="328" t="e">
        <f t="shared" si="20"/>
        <v>#DIV/0!</v>
      </c>
      <c r="I236" s="328" t="e">
        <f t="shared" ref="I236:K237" si="21">(I215+I225)/SUM(I208:I225)</f>
        <v>#DIV/0!</v>
      </c>
      <c r="J236" s="328" t="e">
        <f t="shared" si="21"/>
        <v>#DIV/0!</v>
      </c>
      <c r="K236" s="328" t="e">
        <f t="shared" si="21"/>
        <v>#DIV/0!</v>
      </c>
      <c r="L236" s="328" t="e">
        <f>(L215+L225)/SUM(L208:L225)</f>
        <v>#DIV/0!</v>
      </c>
      <c r="S236" s="26"/>
    </row>
    <row r="237" spans="1:19" s="4" customFormat="1">
      <c r="B237" s="222" t="str">
        <f t="shared" si="12"/>
        <v>800G SMF</v>
      </c>
      <c r="C237" s="503">
        <f t="shared" si="20"/>
        <v>0</v>
      </c>
      <c r="D237" s="328">
        <f t="shared" si="20"/>
        <v>0</v>
      </c>
      <c r="E237" s="328">
        <f t="shared" si="20"/>
        <v>0</v>
      </c>
      <c r="F237" s="328" t="e">
        <f t="shared" si="20"/>
        <v>#DIV/0!</v>
      </c>
      <c r="G237" s="328" t="e">
        <f>(G216+G226)/SUM(G209:G226)</f>
        <v>#DIV/0!</v>
      </c>
      <c r="H237" s="328" t="e">
        <f t="shared" si="20"/>
        <v>#DIV/0!</v>
      </c>
      <c r="I237" s="328" t="e">
        <f t="shared" si="21"/>
        <v>#DIV/0!</v>
      </c>
      <c r="J237" s="328" t="e">
        <f t="shared" si="21"/>
        <v>#DIV/0!</v>
      </c>
      <c r="K237" s="328" t="e">
        <f t="shared" si="21"/>
        <v>#DIV/0!</v>
      </c>
      <c r="L237" s="328" t="e">
        <f>(L216+L226)/SUM(L209:L226)</f>
        <v>#DIV/0!</v>
      </c>
      <c r="S237" s="26"/>
    </row>
    <row r="238" spans="1:19" s="4" customFormat="1">
      <c r="A238" s="329"/>
      <c r="B238" s="129" t="s">
        <v>138</v>
      </c>
      <c r="C238" s="504">
        <f t="shared" ref="C238:L238" si="22">SUM(C229:C237)-1</f>
        <v>0</v>
      </c>
      <c r="D238" s="60">
        <f t="shared" si="22"/>
        <v>0</v>
      </c>
      <c r="E238" s="60">
        <f t="shared" si="22"/>
        <v>0</v>
      </c>
      <c r="F238" s="60" t="e">
        <f t="shared" si="22"/>
        <v>#DIV/0!</v>
      </c>
      <c r="G238" s="60" t="e">
        <f t="shared" si="22"/>
        <v>#DIV/0!</v>
      </c>
      <c r="H238" s="60" t="e">
        <f t="shared" si="22"/>
        <v>#DIV/0!</v>
      </c>
      <c r="I238" s="60" t="e">
        <f t="shared" si="22"/>
        <v>#DIV/0!</v>
      </c>
      <c r="J238" s="60" t="e">
        <f t="shared" si="22"/>
        <v>#DIV/0!</v>
      </c>
      <c r="K238" s="60" t="e">
        <f t="shared" si="22"/>
        <v>#DIV/0!</v>
      </c>
      <c r="L238" s="60" t="e">
        <f t="shared" si="22"/>
        <v>#DIV/0!</v>
      </c>
      <c r="S238" s="26"/>
    </row>
    <row r="239" spans="1:19" s="4" customFormat="1">
      <c r="A239" s="329"/>
      <c r="B239" s="204" t="s">
        <v>145</v>
      </c>
      <c r="C239" s="505">
        <f t="shared" ref="C239:L239" si="23">SUM(C208:C215)</f>
        <v>17803446.030000001</v>
      </c>
      <c r="D239" s="197">
        <f t="shared" si="23"/>
        <v>19708933</v>
      </c>
      <c r="E239" s="197">
        <f t="shared" si="23"/>
        <v>23517982.5</v>
      </c>
      <c r="F239" s="197">
        <f t="shared" si="23"/>
        <v>0</v>
      </c>
      <c r="G239" s="197">
        <f t="shared" si="23"/>
        <v>0</v>
      </c>
      <c r="H239" s="197">
        <f t="shared" si="23"/>
        <v>0</v>
      </c>
      <c r="I239" s="197">
        <f t="shared" si="23"/>
        <v>0</v>
      </c>
      <c r="J239" s="197">
        <f t="shared" si="23"/>
        <v>0</v>
      </c>
      <c r="K239" s="197">
        <f t="shared" si="23"/>
        <v>0</v>
      </c>
      <c r="L239" s="197">
        <f t="shared" si="23"/>
        <v>0</v>
      </c>
      <c r="S239" s="26"/>
    </row>
    <row r="240" spans="1:19" s="4" customFormat="1">
      <c r="A240" s="329"/>
      <c r="B240" s="204" t="s">
        <v>146</v>
      </c>
      <c r="C240" s="505">
        <f t="shared" ref="C240:K240" si="24">SUM(C218:C226)</f>
        <v>18364915.005000003</v>
      </c>
      <c r="D240" s="197">
        <f t="shared" si="24"/>
        <v>18368850.149999999</v>
      </c>
      <c r="E240" s="197">
        <f t="shared" si="24"/>
        <v>22538833.83669468</v>
      </c>
      <c r="F240" s="197">
        <f t="shared" si="24"/>
        <v>0</v>
      </c>
      <c r="G240" s="197">
        <f t="shared" si="24"/>
        <v>0</v>
      </c>
      <c r="H240" s="197">
        <f t="shared" si="24"/>
        <v>0</v>
      </c>
      <c r="I240" s="197">
        <f t="shared" si="24"/>
        <v>0</v>
      </c>
      <c r="J240" s="197">
        <f t="shared" si="24"/>
        <v>0</v>
      </c>
      <c r="K240" s="197">
        <f t="shared" si="24"/>
        <v>0</v>
      </c>
      <c r="L240" s="197">
        <f>SUM(L218:L226)</f>
        <v>0</v>
      </c>
      <c r="S240" s="26"/>
    </row>
    <row r="241" spans="1:32" s="4" customFormat="1">
      <c r="A241" s="329"/>
      <c r="B241" s="204" t="s">
        <v>80</v>
      </c>
      <c r="C241" s="502">
        <f t="shared" ref="C241:L241" si="25">SUM(C208:C215)/SUM(C208:C225)</f>
        <v>0.49223811974149628</v>
      </c>
      <c r="D241" s="191">
        <f t="shared" si="25"/>
        <v>0.51759665005603139</v>
      </c>
      <c r="E241" s="191">
        <f t="shared" si="25"/>
        <v>0.51062979099713857</v>
      </c>
      <c r="F241" s="191" t="e">
        <f t="shared" si="25"/>
        <v>#DIV/0!</v>
      </c>
      <c r="G241" s="191" t="e">
        <f t="shared" si="25"/>
        <v>#DIV/0!</v>
      </c>
      <c r="H241" s="191" t="e">
        <f t="shared" si="25"/>
        <v>#DIV/0!</v>
      </c>
      <c r="I241" s="191" t="e">
        <f t="shared" si="25"/>
        <v>#DIV/0!</v>
      </c>
      <c r="J241" s="191" t="e">
        <f t="shared" si="25"/>
        <v>#DIV/0!</v>
      </c>
      <c r="K241" s="191" t="e">
        <f t="shared" si="25"/>
        <v>#DIV/0!</v>
      </c>
      <c r="L241" s="191" t="e">
        <f t="shared" si="25"/>
        <v>#DIV/0!</v>
      </c>
      <c r="S241" s="26"/>
    </row>
    <row r="242" spans="1:32" s="4" customFormat="1">
      <c r="A242" s="329"/>
      <c r="B242" s="204" t="s">
        <v>81</v>
      </c>
      <c r="C242" s="502">
        <f t="shared" ref="C242:L242" si="26">SUM(C218:C225)/SUM(C208:C225)</f>
        <v>0.50776188025850366</v>
      </c>
      <c r="D242" s="191">
        <f t="shared" si="26"/>
        <v>0.48240334994396855</v>
      </c>
      <c r="E242" s="191">
        <f t="shared" si="26"/>
        <v>0.48937020900286149</v>
      </c>
      <c r="F242" s="191" t="e">
        <f t="shared" si="26"/>
        <v>#DIV/0!</v>
      </c>
      <c r="G242" s="191" t="e">
        <f t="shared" si="26"/>
        <v>#DIV/0!</v>
      </c>
      <c r="H242" s="191" t="e">
        <f t="shared" si="26"/>
        <v>#DIV/0!</v>
      </c>
      <c r="I242" s="191" t="e">
        <f t="shared" si="26"/>
        <v>#DIV/0!</v>
      </c>
      <c r="J242" s="191" t="e">
        <f t="shared" si="26"/>
        <v>#DIV/0!</v>
      </c>
      <c r="K242" s="191" t="e">
        <f t="shared" si="26"/>
        <v>#DIV/0!</v>
      </c>
      <c r="L242" s="191" t="e">
        <f t="shared" si="26"/>
        <v>#DIV/0!</v>
      </c>
      <c r="S242" s="26"/>
    </row>
    <row r="243" spans="1:32" s="4" customFormat="1">
      <c r="A243" s="190"/>
      <c r="B243" s="204"/>
      <c r="C243" s="61"/>
      <c r="S243" s="26"/>
    </row>
    <row r="244" spans="1:32" s="4" customFormat="1">
      <c r="B244" s="129" t="s">
        <v>433</v>
      </c>
      <c r="C244" s="195"/>
      <c r="D244" s="190"/>
      <c r="E244" s="190"/>
      <c r="F244" s="190"/>
      <c r="G244" s="190"/>
      <c r="H244" s="190"/>
      <c r="I244" s="190"/>
      <c r="J244" s="190"/>
      <c r="K244" s="190"/>
      <c r="L244" s="190"/>
      <c r="S244" s="488" t="s">
        <v>336</v>
      </c>
      <c r="T244" s="303">
        <v>2016</v>
      </c>
      <c r="U244" s="303">
        <v>2017</v>
      </c>
      <c r="V244" s="303">
        <v>2018</v>
      </c>
      <c r="W244" s="303">
        <v>2019</v>
      </c>
      <c r="X244" s="303">
        <v>2020</v>
      </c>
      <c r="Y244" s="303">
        <v>2021</v>
      </c>
      <c r="Z244" s="303">
        <v>2022</v>
      </c>
      <c r="AA244" s="303">
        <v>2023</v>
      </c>
      <c r="AB244" s="303">
        <v>2024</v>
      </c>
      <c r="AC244" s="303">
        <v>2025</v>
      </c>
    </row>
    <row r="245" spans="1:32" s="4" customFormat="1">
      <c r="A245" s="190"/>
      <c r="B245" s="204" t="s">
        <v>145</v>
      </c>
      <c r="C245" s="505">
        <f>SUM(C210:C216)</f>
        <v>1835885</v>
      </c>
      <c r="D245" s="197">
        <f t="shared" ref="D245:L245" si="27">SUM(D210:D216)</f>
        <v>2738705</v>
      </c>
      <c r="E245" s="197">
        <f t="shared" si="27"/>
        <v>4471422.5</v>
      </c>
      <c r="F245" s="197">
        <f t="shared" si="27"/>
        <v>0</v>
      </c>
      <c r="G245" s="197">
        <f t="shared" si="27"/>
        <v>0</v>
      </c>
      <c r="H245" s="197">
        <f t="shared" si="27"/>
        <v>0</v>
      </c>
      <c r="I245" s="197">
        <f t="shared" si="27"/>
        <v>0</v>
      </c>
      <c r="J245" s="197">
        <f t="shared" si="27"/>
        <v>0</v>
      </c>
      <c r="K245" s="197">
        <f t="shared" si="27"/>
        <v>0</v>
      </c>
      <c r="L245" s="197">
        <f t="shared" si="27"/>
        <v>0</v>
      </c>
      <c r="S245" s="204" t="s">
        <v>145</v>
      </c>
      <c r="T245" s="330">
        <f t="shared" ref="T245:AC245" si="28">SUM(C211:C215)</f>
        <v>1828739</v>
      </c>
      <c r="U245" s="330">
        <f t="shared" si="28"/>
        <v>2642840</v>
      </c>
      <c r="V245" s="330">
        <f t="shared" si="28"/>
        <v>4152444.5</v>
      </c>
      <c r="W245" s="330">
        <f t="shared" si="28"/>
        <v>0</v>
      </c>
      <c r="X245" s="330">
        <f t="shared" si="28"/>
        <v>0</v>
      </c>
      <c r="Y245" s="330">
        <f t="shared" si="28"/>
        <v>0</v>
      </c>
      <c r="Z245" s="330">
        <f t="shared" si="28"/>
        <v>0</v>
      </c>
      <c r="AA245" s="330">
        <f t="shared" si="28"/>
        <v>0</v>
      </c>
      <c r="AB245" s="330">
        <f t="shared" si="28"/>
        <v>0</v>
      </c>
      <c r="AC245" s="330">
        <f t="shared" si="28"/>
        <v>0</v>
      </c>
    </row>
    <row r="246" spans="1:32" s="4" customFormat="1">
      <c r="A246" s="190"/>
      <c r="B246" s="204" t="s">
        <v>146</v>
      </c>
      <c r="C246" s="505">
        <f>SUM(C220:C226)</f>
        <v>2248247</v>
      </c>
      <c r="D246" s="197">
        <f t="shared" ref="D246:L246" si="29">SUM(D220:D226)</f>
        <v>4120361</v>
      </c>
      <c r="E246" s="197">
        <f t="shared" si="29"/>
        <v>5229412.7366946777</v>
      </c>
      <c r="F246" s="197">
        <f t="shared" si="29"/>
        <v>0</v>
      </c>
      <c r="G246" s="197">
        <f t="shared" si="29"/>
        <v>0</v>
      </c>
      <c r="H246" s="197">
        <f t="shared" si="29"/>
        <v>0</v>
      </c>
      <c r="I246" s="197">
        <f t="shared" si="29"/>
        <v>0</v>
      </c>
      <c r="J246" s="197">
        <f t="shared" si="29"/>
        <v>0</v>
      </c>
      <c r="K246" s="197">
        <f t="shared" si="29"/>
        <v>0</v>
      </c>
      <c r="L246" s="197">
        <f t="shared" si="29"/>
        <v>0</v>
      </c>
      <c r="S246" s="204" t="s">
        <v>146</v>
      </c>
      <c r="T246" s="330">
        <f t="shared" ref="T246:AC246" si="30">SUM(C221:C226)</f>
        <v>2243699</v>
      </c>
      <c r="U246" s="330">
        <f t="shared" si="30"/>
        <v>4102899</v>
      </c>
      <c r="V246" s="330">
        <f t="shared" si="30"/>
        <v>5172703.7366946777</v>
      </c>
      <c r="W246" s="330">
        <f t="shared" si="30"/>
        <v>0</v>
      </c>
      <c r="X246" s="330">
        <f t="shared" si="30"/>
        <v>0</v>
      </c>
      <c r="Y246" s="330">
        <f t="shared" si="30"/>
        <v>0</v>
      </c>
      <c r="Z246" s="330">
        <f t="shared" si="30"/>
        <v>0</v>
      </c>
      <c r="AA246" s="330">
        <f t="shared" si="30"/>
        <v>0</v>
      </c>
      <c r="AB246" s="330">
        <f t="shared" si="30"/>
        <v>0</v>
      </c>
      <c r="AC246" s="330">
        <f t="shared" si="30"/>
        <v>0</v>
      </c>
    </row>
    <row r="247" spans="1:32" s="4" customFormat="1">
      <c r="A247" s="190"/>
      <c r="B247" s="204" t="s">
        <v>80</v>
      </c>
      <c r="C247" s="502">
        <f t="shared" ref="C247:L247" si="31">SUM(C210:C215)/(SUM(C210:C215)+SUM(C220:C225))</f>
        <v>0.44951656802473572</v>
      </c>
      <c r="D247" s="191">
        <f t="shared" si="31"/>
        <v>0.39928249706301122</v>
      </c>
      <c r="E247" s="191">
        <f t="shared" si="31"/>
        <v>0.46093170236375725</v>
      </c>
      <c r="F247" s="191" t="e">
        <f t="shared" si="31"/>
        <v>#DIV/0!</v>
      </c>
      <c r="G247" s="191" t="e">
        <f t="shared" si="31"/>
        <v>#DIV/0!</v>
      </c>
      <c r="H247" s="191" t="e">
        <f t="shared" si="31"/>
        <v>#DIV/0!</v>
      </c>
      <c r="I247" s="191" t="e">
        <f t="shared" si="31"/>
        <v>#DIV/0!</v>
      </c>
      <c r="J247" s="191" t="e">
        <f t="shared" si="31"/>
        <v>#DIV/0!</v>
      </c>
      <c r="K247" s="191" t="e">
        <f t="shared" si="31"/>
        <v>#DIV/0!</v>
      </c>
      <c r="L247" s="191" t="e">
        <f t="shared" si="31"/>
        <v>#DIV/0!</v>
      </c>
      <c r="S247" s="204" t="s">
        <v>80</v>
      </c>
      <c r="T247" s="191">
        <f t="shared" ref="T247:AC247" si="32">T245/(SUM(C211:C215)+SUM(C221:C226))</f>
        <v>0.44905263137216578</v>
      </c>
      <c r="U247" s="191">
        <f t="shared" si="32"/>
        <v>0.39177916607802349</v>
      </c>
      <c r="V247" s="191">
        <f t="shared" si="32"/>
        <v>0.44529528052541112</v>
      </c>
      <c r="W247" s="191" t="e">
        <f t="shared" si="32"/>
        <v>#DIV/0!</v>
      </c>
      <c r="X247" s="191" t="e">
        <f t="shared" si="32"/>
        <v>#DIV/0!</v>
      </c>
      <c r="Y247" s="191" t="e">
        <f t="shared" si="32"/>
        <v>#DIV/0!</v>
      </c>
      <c r="Z247" s="191" t="e">
        <f t="shared" si="32"/>
        <v>#DIV/0!</v>
      </c>
      <c r="AA247" s="191" t="e">
        <f t="shared" si="32"/>
        <v>#DIV/0!</v>
      </c>
      <c r="AB247" s="191" t="e">
        <f t="shared" si="32"/>
        <v>#DIV/0!</v>
      </c>
      <c r="AC247" s="191" t="e">
        <f t="shared" si="32"/>
        <v>#DIV/0!</v>
      </c>
    </row>
    <row r="248" spans="1:32" s="4" customFormat="1">
      <c r="A248" s="190"/>
      <c r="B248" s="204" t="s">
        <v>81</v>
      </c>
      <c r="C248" s="502">
        <f t="shared" ref="C248:L248" si="33">1-C247</f>
        <v>0.55048343197526428</v>
      </c>
      <c r="D248" s="191">
        <f t="shared" si="33"/>
        <v>0.60071750293698878</v>
      </c>
      <c r="E248" s="191">
        <f t="shared" si="33"/>
        <v>0.53906829763624275</v>
      </c>
      <c r="F248" s="191" t="e">
        <f t="shared" si="33"/>
        <v>#DIV/0!</v>
      </c>
      <c r="G248" s="191" t="e">
        <f t="shared" si="33"/>
        <v>#DIV/0!</v>
      </c>
      <c r="H248" s="191" t="e">
        <f t="shared" si="33"/>
        <v>#DIV/0!</v>
      </c>
      <c r="I248" s="191" t="e">
        <f t="shared" si="33"/>
        <v>#DIV/0!</v>
      </c>
      <c r="J248" s="191" t="e">
        <f t="shared" si="33"/>
        <v>#DIV/0!</v>
      </c>
      <c r="K248" s="191" t="e">
        <f t="shared" si="33"/>
        <v>#DIV/0!</v>
      </c>
      <c r="L248" s="191" t="e">
        <f t="shared" si="33"/>
        <v>#DIV/0!</v>
      </c>
      <c r="S248" s="204" t="s">
        <v>81</v>
      </c>
      <c r="T248" s="191">
        <f t="shared" ref="T248:AC248" si="34">T246/(SUM(C221:C226)+SUM(C211:C215))</f>
        <v>0.55094736862783422</v>
      </c>
      <c r="U248" s="191">
        <f t="shared" si="34"/>
        <v>0.60822083392197657</v>
      </c>
      <c r="V248" s="191">
        <f t="shared" si="34"/>
        <v>0.55470471947458877</v>
      </c>
      <c r="W248" s="191" t="e">
        <f t="shared" si="34"/>
        <v>#DIV/0!</v>
      </c>
      <c r="X248" s="191" t="e">
        <f t="shared" si="34"/>
        <v>#DIV/0!</v>
      </c>
      <c r="Y248" s="191" t="e">
        <f t="shared" si="34"/>
        <v>#DIV/0!</v>
      </c>
      <c r="Z248" s="191" t="e">
        <f t="shared" si="34"/>
        <v>#DIV/0!</v>
      </c>
      <c r="AA248" s="191" t="e">
        <f t="shared" si="34"/>
        <v>#DIV/0!</v>
      </c>
      <c r="AB248" s="191" t="e">
        <f t="shared" si="34"/>
        <v>#DIV/0!</v>
      </c>
      <c r="AC248" s="191" t="e">
        <f t="shared" si="34"/>
        <v>#DIV/0!</v>
      </c>
    </row>
    <row r="249" spans="1:32" s="4" customFormat="1">
      <c r="A249" s="190"/>
      <c r="S249" s="26"/>
      <c r="T249" s="447">
        <f t="shared" ref="T249:AB249" si="35">T248+T247-1</f>
        <v>0</v>
      </c>
      <c r="U249" s="447">
        <f t="shared" si="35"/>
        <v>0</v>
      </c>
      <c r="V249" s="447">
        <f t="shared" si="35"/>
        <v>0</v>
      </c>
      <c r="W249" s="447" t="e">
        <f t="shared" si="35"/>
        <v>#DIV/0!</v>
      </c>
      <c r="X249" s="447" t="e">
        <f t="shared" si="35"/>
        <v>#DIV/0!</v>
      </c>
      <c r="Y249" s="447" t="e">
        <f t="shared" si="35"/>
        <v>#DIV/0!</v>
      </c>
      <c r="Z249" s="447" t="e">
        <f t="shared" si="35"/>
        <v>#DIV/0!</v>
      </c>
      <c r="AA249" s="447" t="e">
        <f t="shared" si="35"/>
        <v>#DIV/0!</v>
      </c>
      <c r="AB249" s="447" t="e">
        <f t="shared" si="35"/>
        <v>#DIV/0!</v>
      </c>
      <c r="AC249" s="447" t="e">
        <f>AC248+AC247-1</f>
        <v>#DIV/0!</v>
      </c>
    </row>
    <row r="250" spans="1:32" s="4" customFormat="1" ht="21">
      <c r="B250" s="14" t="s">
        <v>165</v>
      </c>
      <c r="S250" s="26"/>
    </row>
    <row r="251" spans="1:32" s="4" customFormat="1" ht="22.5" customHeight="1">
      <c r="S251" s="26"/>
    </row>
    <row r="252" spans="1:32">
      <c r="AF252" s="4"/>
    </row>
    <row r="253" spans="1:32" s="4" customFormat="1" ht="13.5" customHeight="1">
      <c r="B253" s="14"/>
      <c r="S253" s="26"/>
    </row>
    <row r="254" spans="1:32" s="4" customFormat="1" ht="13.5" customHeight="1">
      <c r="B254" s="14"/>
      <c r="S254" s="26"/>
    </row>
    <row r="255" spans="1:32" s="4" customFormat="1" ht="13.5" customHeight="1">
      <c r="B255" s="14"/>
      <c r="S255" s="26"/>
    </row>
    <row r="256" spans="1:32" s="4" customFormat="1" ht="13.5" customHeight="1">
      <c r="B256" s="14"/>
      <c r="S256" s="26"/>
    </row>
    <row r="257" spans="2:19" s="4" customFormat="1" ht="13.5" customHeight="1">
      <c r="B257" s="14"/>
      <c r="S257" s="26"/>
    </row>
    <row r="258" spans="2:19" s="4" customFormat="1" ht="12.5">
      <c r="S258" s="26"/>
    </row>
    <row r="259" spans="2:19" s="4" customFormat="1" ht="12.5">
      <c r="S259" s="26"/>
    </row>
    <row r="260" spans="2:19" s="4" customFormat="1" ht="12.5">
      <c r="S260" s="26"/>
    </row>
    <row r="261" spans="2:19" s="4" customFormat="1" ht="12.5">
      <c r="S261" s="26"/>
    </row>
    <row r="262" spans="2:19" s="4" customFormat="1" ht="12.5">
      <c r="S262" s="26"/>
    </row>
    <row r="263" spans="2:19" s="4" customFormat="1" ht="12.5">
      <c r="S263" s="26"/>
    </row>
    <row r="264" spans="2:19" s="4" customFormat="1" ht="12.5">
      <c r="S264" s="26"/>
    </row>
    <row r="265" spans="2:19" s="4" customFormat="1" ht="12.5">
      <c r="S265" s="26"/>
    </row>
    <row r="266" spans="2:19" s="4" customFormat="1" ht="12.5">
      <c r="S266" s="26"/>
    </row>
    <row r="267" spans="2:19" s="4" customFormat="1" ht="12.5">
      <c r="S267" s="26"/>
    </row>
    <row r="268" spans="2:19" s="4" customFormat="1" ht="12.5">
      <c r="S268" s="26"/>
    </row>
    <row r="269" spans="2:19" s="4" customFormat="1" ht="12.5">
      <c r="S269" s="26"/>
    </row>
    <row r="270" spans="2:19" s="4" customFormat="1" ht="12.5">
      <c r="S270" s="26"/>
    </row>
    <row r="271" spans="2:19" s="4" customFormat="1" ht="12.5">
      <c r="S271" s="26"/>
    </row>
    <row r="272" spans="2:19" s="4" customFormat="1">
      <c r="B272" s="3" t="s">
        <v>166</v>
      </c>
      <c r="S272" s="26"/>
    </row>
    <row r="273" spans="1:19" s="4" customFormat="1" ht="12.5">
      <c r="B273" s="4" t="s">
        <v>167</v>
      </c>
      <c r="S273" s="26"/>
    </row>
    <row r="274" spans="1:19" s="4" customFormat="1" ht="12.5">
      <c r="B274" s="4" t="s">
        <v>168</v>
      </c>
      <c r="S274" s="26"/>
    </row>
    <row r="275" spans="1:19" s="4" customFormat="1">
      <c r="B275" s="4" t="s">
        <v>169</v>
      </c>
      <c r="C275" s="302">
        <v>2016</v>
      </c>
      <c r="D275" s="303">
        <v>2017</v>
      </c>
      <c r="E275" s="303">
        <v>2018</v>
      </c>
      <c r="F275" s="303">
        <v>2019</v>
      </c>
      <c r="G275" s="303">
        <v>2020</v>
      </c>
      <c r="H275" s="303">
        <v>2021</v>
      </c>
      <c r="I275" s="303">
        <v>2022</v>
      </c>
      <c r="J275" s="303">
        <v>2023</v>
      </c>
      <c r="K275" s="303">
        <v>2024</v>
      </c>
      <c r="L275" s="303">
        <v>2025</v>
      </c>
      <c r="S275" s="26"/>
    </row>
    <row r="276" spans="1:19" s="4" customFormat="1" ht="15.5">
      <c r="A276" s="190"/>
      <c r="B276" s="545" t="s">
        <v>71</v>
      </c>
      <c r="C276" s="311">
        <f>SUM('Products x speed'!E9)</f>
        <v>4496175.0999999996</v>
      </c>
      <c r="D276" s="304">
        <f>SUM('Products x speed'!F9)</f>
        <v>4278484</v>
      </c>
      <c r="E276" s="304">
        <f>SUM('Products x speed'!G9)</f>
        <v>4962296</v>
      </c>
      <c r="F276" s="304">
        <f>SUM('Products x speed'!H9)</f>
        <v>0</v>
      </c>
      <c r="G276" s="304">
        <f>SUM('Products x speed'!I9)</f>
        <v>0</v>
      </c>
      <c r="H276" s="304">
        <f>SUM('Products x speed'!J9)</f>
        <v>0</v>
      </c>
      <c r="I276" s="304">
        <f>SUM('Products x speed'!K9)</f>
        <v>0</v>
      </c>
      <c r="J276" s="304">
        <f>SUM('Products x speed'!L9)</f>
        <v>0</v>
      </c>
      <c r="K276" s="304">
        <f>SUM('Products x speed'!M9)</f>
        <v>0</v>
      </c>
      <c r="L276" s="304">
        <f>SUM('Products x speed'!N9)</f>
        <v>0</v>
      </c>
      <c r="S276" s="26"/>
    </row>
    <row r="277" spans="1:19" s="4" customFormat="1" ht="15.5">
      <c r="A277" s="190"/>
      <c r="B277" s="546" t="s">
        <v>72</v>
      </c>
      <c r="C277" s="311">
        <f>SUM('Products x speed'!E14:E16)+SUM('Products x speed'!E27:E29)</f>
        <v>13000883.93</v>
      </c>
      <c r="D277" s="304">
        <f>SUM('Products x speed'!F14:F16)+SUM('Products x speed'!F27:F29)</f>
        <v>14702610</v>
      </c>
      <c r="E277" s="304">
        <f>SUM('Products x speed'!G14:G16)+SUM('Products x speed'!G27:G29)</f>
        <v>16130297.5</v>
      </c>
      <c r="F277" s="304">
        <f>SUM('Products x speed'!H14:H16)+SUM('Products x speed'!H27:H29)</f>
        <v>0</v>
      </c>
      <c r="G277" s="304">
        <f>SUM('Products x speed'!I14:I16)+SUM('Products x speed'!I27:I29)</f>
        <v>0</v>
      </c>
      <c r="H277" s="304">
        <f>SUM('Products x speed'!J14:J16)+SUM('Products x speed'!J27:J29)</f>
        <v>0</v>
      </c>
      <c r="I277" s="304">
        <f>SUM('Products x speed'!K14:K16)+SUM('Products x speed'!K27:K29)</f>
        <v>0</v>
      </c>
      <c r="J277" s="304">
        <f>SUM('Products x speed'!L14:L16)+SUM('Products x speed'!L27:L29)</f>
        <v>0</v>
      </c>
      <c r="K277" s="304">
        <f>SUM('Products x speed'!M14:M16)+SUM('Products x speed'!M27:M29)</f>
        <v>0</v>
      </c>
      <c r="L277" s="304">
        <f>SUM('Products x speed'!N14:N16)+SUM('Products x speed'!N27:N29)</f>
        <v>0</v>
      </c>
      <c r="S277" s="26"/>
    </row>
    <row r="278" spans="1:19" s="4" customFormat="1" ht="15.5">
      <c r="A278" s="190"/>
      <c r="B278" s="547" t="s">
        <v>73</v>
      </c>
      <c r="C278" s="311">
        <f>'Products x speed'!E24+SUM('Products x speed'!E41:E44)+'Products x speed'!E46</f>
        <v>306387</v>
      </c>
      <c r="D278" s="304">
        <f>'Products x speed'!F24+SUM('Products x speed'!F41:F44)+'Products x speed'!F46</f>
        <v>727839</v>
      </c>
      <c r="E278" s="304">
        <f>'Products x speed'!G24+SUM('Products x speed'!G41:G44)+'Products x speed'!G46</f>
        <v>2251889</v>
      </c>
      <c r="F278" s="304">
        <f>'Products x speed'!H24+SUM('Products x speed'!H41:H44)+'Products x speed'!H46</f>
        <v>0</v>
      </c>
      <c r="G278" s="304">
        <f>'Products x speed'!I24+SUM('Products x speed'!I41:I44)+'Products x speed'!I46</f>
        <v>0</v>
      </c>
      <c r="H278" s="304">
        <f>'Products x speed'!J24+SUM('Products x speed'!J41:J44)+'Products x speed'!J46</f>
        <v>0</v>
      </c>
      <c r="I278" s="304">
        <f>'Products x speed'!K24+SUM('Products x speed'!K41:K44)+'Products x speed'!K46</f>
        <v>0</v>
      </c>
      <c r="J278" s="304">
        <f>'Products x speed'!L24+SUM('Products x speed'!L41:L44)+'Products x speed'!L46</f>
        <v>0</v>
      </c>
      <c r="K278" s="304">
        <f>'Products x speed'!M24+SUM('Products x speed'!M41:M44)+'Products x speed'!M46</f>
        <v>0</v>
      </c>
      <c r="L278" s="304">
        <f>'Products x speed'!N24+SUM('Products x speed'!N41:N44)+'Products x speed'!N46</f>
        <v>0</v>
      </c>
      <c r="S278" s="486">
        <f>SUM(C276:L284)+SUM('Products x speed'!E13:N13)+SUM('Products x speed'!E23:N23)</f>
        <v>120595842.52169466</v>
      </c>
    </row>
    <row r="279" spans="1:19" s="4" customFormat="1" ht="15.5">
      <c r="A279" s="190"/>
      <c r="B279" s="548" t="s">
        <v>131</v>
      </c>
      <c r="C279" s="313"/>
      <c r="D279" s="305"/>
      <c r="E279" s="305">
        <f>'Products x speed'!G36+'Products x speed'!G45+'Products x speed'!G58+'Products x speed'!G62</f>
        <v>150500</v>
      </c>
      <c r="F279" s="305">
        <f>'Products x speed'!H36+'Products x speed'!H45+'Products x speed'!H58+'Products x speed'!H62</f>
        <v>0</v>
      </c>
      <c r="G279" s="305">
        <f>'Products x speed'!I36+'Products x speed'!I45+'Products x speed'!I58+'Products x speed'!I62</f>
        <v>0</v>
      </c>
      <c r="H279" s="305">
        <f>'Products x speed'!J36+'Products x speed'!J45+'Products x speed'!J58+'Products x speed'!J62</f>
        <v>0</v>
      </c>
      <c r="I279" s="305">
        <f>'Products x speed'!K36+'Products x speed'!K45+'Products x speed'!K58+'Products x speed'!K62</f>
        <v>0</v>
      </c>
      <c r="J279" s="305">
        <f>'Products x speed'!L36+'Products x speed'!L45+'Products x speed'!L58+'Products x speed'!L62</f>
        <v>0</v>
      </c>
      <c r="K279" s="305">
        <f>'Products x speed'!M36+'Products x speed'!M45+'Products x speed'!M58+'Products x speed'!M62</f>
        <v>0</v>
      </c>
      <c r="L279" s="305">
        <f>'Products x speed'!N36+'Products x speed'!N45+'Products x speed'!N58+'Products x speed'!N62</f>
        <v>0</v>
      </c>
      <c r="S279" s="487">
        <f>S211/2</f>
        <v>120595842.52169466</v>
      </c>
    </row>
    <row r="280" spans="1:19" s="4" customFormat="1" ht="15.5">
      <c r="A280" s="190"/>
      <c r="B280" s="549" t="s">
        <v>74</v>
      </c>
      <c r="C280" s="311">
        <f>SUM('Products x speed'!E10:E12)</f>
        <v>9071235.0050000008</v>
      </c>
      <c r="D280" s="304">
        <f>SUM('Products x speed'!F10:F12)</f>
        <v>6995211.0500000007</v>
      </c>
      <c r="E280" s="304">
        <f>SUM('Products x speed'!G10:G12)</f>
        <v>9376680</v>
      </c>
      <c r="F280" s="304">
        <f>SUM('Products x speed'!H10:H12)</f>
        <v>0</v>
      </c>
      <c r="G280" s="304">
        <f>SUM('Products x speed'!I10:I12)</f>
        <v>0</v>
      </c>
      <c r="H280" s="304">
        <f>SUM('Products x speed'!J10:J12)</f>
        <v>0</v>
      </c>
      <c r="I280" s="304">
        <f>SUM('Products x speed'!K10:K12)</f>
        <v>0</v>
      </c>
      <c r="J280" s="304">
        <f>SUM('Products x speed'!L10:L12)</f>
        <v>0</v>
      </c>
      <c r="K280" s="304">
        <f>SUM('Products x speed'!M10:M12)</f>
        <v>0</v>
      </c>
      <c r="L280" s="304">
        <f>SUM('Products x speed'!N10:N12)</f>
        <v>0</v>
      </c>
      <c r="S280" s="487">
        <f>S278-S279</f>
        <v>0</v>
      </c>
    </row>
    <row r="281" spans="1:19" s="4" customFormat="1" ht="15.5">
      <c r="A281" s="190"/>
      <c r="B281" s="550" t="s">
        <v>75</v>
      </c>
      <c r="C281" s="311">
        <f>SUM('Products x speed'!E17:E22)+SUM('Products x speed'!E30:E35)</f>
        <v>8669003</v>
      </c>
      <c r="D281" s="304">
        <f>SUM('Products x speed'!F17:F22)+SUM('Products x speed'!F30:F35)</f>
        <v>9106572.0999999996</v>
      </c>
      <c r="E281" s="304">
        <f>SUM('Products x speed'!G17:G22)+SUM('Products x speed'!G30:G35)</f>
        <v>8984831.0999999996</v>
      </c>
      <c r="F281" s="304">
        <f>SUM('Products x speed'!H17:H22)+SUM('Products x speed'!H30:H35)</f>
        <v>0</v>
      </c>
      <c r="G281" s="304">
        <f>SUM('Products x speed'!I17:I22)+SUM('Products x speed'!I30:I35)</f>
        <v>0</v>
      </c>
      <c r="H281" s="304">
        <f>SUM('Products x speed'!J17:J22)+SUM('Products x speed'!J30:J35)</f>
        <v>0</v>
      </c>
      <c r="I281" s="304">
        <f>SUM('Products x speed'!K17:K22)+SUM('Products x speed'!K30:K35)</f>
        <v>0</v>
      </c>
      <c r="J281" s="304">
        <f>SUM('Products x speed'!L17:L22)+SUM('Products x speed'!L30:L35)</f>
        <v>0</v>
      </c>
      <c r="K281" s="304">
        <f>SUM('Products x speed'!M17:M22)+SUM('Products x speed'!M30:M35)</f>
        <v>0</v>
      </c>
      <c r="L281" s="304">
        <f>SUM('Products x speed'!N17:N22)+SUM('Products x speed'!N30:N35)</f>
        <v>0</v>
      </c>
      <c r="S281" s="26"/>
    </row>
    <row r="282" spans="1:19" s="4" customFormat="1" ht="15.5">
      <c r="A282" s="190"/>
      <c r="B282" s="551" t="s">
        <v>76</v>
      </c>
      <c r="C282" s="311">
        <f>'Products x speed'!E25+'Products x speed'!E26+SUM('Products x speed'!E47:E57)-'Products x speed'!E48</f>
        <v>624677</v>
      </c>
      <c r="D282" s="304">
        <f>'Products x speed'!F25+'Products x speed'!F26+SUM('Products x speed'!F47:F57)-'Products x speed'!F48</f>
        <v>2266978</v>
      </c>
      <c r="E282" s="304">
        <f>'Products x speed'!G25+'Products x speed'!G26+SUM('Products x speed'!G47:G57)-'Products x speed'!G48</f>
        <v>4157822.7366946777</v>
      </c>
      <c r="F282" s="304">
        <f>'Products x speed'!H25+'Products x speed'!H26+SUM('Products x speed'!H47:H57)-'Products x speed'!H48</f>
        <v>0</v>
      </c>
      <c r="G282" s="304">
        <f>'Products x speed'!I25+'Products x speed'!I26+SUM('Products x speed'!I47:I57)-'Products x speed'!I48</f>
        <v>0</v>
      </c>
      <c r="H282" s="304">
        <f>'Products x speed'!J25+'Products x speed'!J26+SUM('Products x speed'!J47:J57)-'Products x speed'!J48</f>
        <v>0</v>
      </c>
      <c r="I282" s="304">
        <f>'Products x speed'!K25+'Products x speed'!K26+SUM('Products x speed'!K47:K57)-'Products x speed'!K48</f>
        <v>0</v>
      </c>
      <c r="J282" s="304">
        <f>'Products x speed'!L25+'Products x speed'!L26+SUM('Products x speed'!L47:L57)-'Products x speed'!L48</f>
        <v>0</v>
      </c>
      <c r="K282" s="304">
        <f>'Products x speed'!M25+'Products x speed'!M26+SUM('Products x speed'!M47:M57)-'Products x speed'!M48</f>
        <v>0</v>
      </c>
      <c r="L282" s="304">
        <f>'Products x speed'!N25+'Products x speed'!N26+SUM('Products x speed'!N47:N57)-'Products x speed'!N48</f>
        <v>0</v>
      </c>
      <c r="S282" s="26"/>
    </row>
    <row r="283" spans="1:19" s="4" customFormat="1" ht="15.5">
      <c r="A283" s="190"/>
      <c r="B283" s="552" t="s">
        <v>130</v>
      </c>
      <c r="C283" s="311"/>
      <c r="D283" s="304">
        <f>'Products x speed'!F37+'Products x speed'!F38+'Products x speed'!F39+'Products x speed'!F40+'Products x speed'!F59+'Products x speed'!F60+'Products x speed'!F61+'Products x speed'!F65</f>
        <v>82</v>
      </c>
      <c r="E283" s="304">
        <f>'Products x speed'!G37+'Products x speed'!G38+'Products x speed'!G39+'Products x speed'!G40+'Products x speed'!G59+'Products x speed'!G60+'Products x speed'!G61+'Products x speed'!G65</f>
        <v>36500</v>
      </c>
      <c r="F283" s="304">
        <f>'Products x speed'!H37+'Products x speed'!H38+'Products x speed'!H39+'Products x speed'!H40+'Products x speed'!H59+'Products x speed'!H60+'Products x speed'!H61+'Products x speed'!H65</f>
        <v>0</v>
      </c>
      <c r="G283" s="304">
        <f>'Products x speed'!I37+'Products x speed'!I38+'Products x speed'!I39+'Products x speed'!I40+'Products x speed'!I59+'Products x speed'!I60+'Products x speed'!I61+'Products x speed'!I65</f>
        <v>0</v>
      </c>
      <c r="H283" s="304">
        <f>'Products x speed'!J37+'Products x speed'!J38+'Products x speed'!J39+'Products x speed'!J40+'Products x speed'!J59+'Products x speed'!J60+'Products x speed'!J61+'Products x speed'!J65</f>
        <v>0</v>
      </c>
      <c r="I283" s="304">
        <f>'Products x speed'!K37+'Products x speed'!K38+'Products x speed'!K39+'Products x speed'!K40+'Products x speed'!K59+'Products x speed'!K60+'Products x speed'!K61+'Products x speed'!K65</f>
        <v>0</v>
      </c>
      <c r="J283" s="304">
        <f>'Products x speed'!L37+'Products x speed'!L38+'Products x speed'!L39+'Products x speed'!L40+'Products x speed'!L59+'Products x speed'!L60+'Products x speed'!L61+'Products x speed'!L65</f>
        <v>0</v>
      </c>
      <c r="K283" s="304">
        <f>'Products x speed'!M37+'Products x speed'!M38+'Products x speed'!M39+'Products x speed'!M40+'Products x speed'!M59+'Products x speed'!M60+'Products x speed'!M61+'Products x speed'!M65</f>
        <v>0</v>
      </c>
      <c r="L283" s="304">
        <f>'Products x speed'!N37+'Products x speed'!N38+'Products x speed'!N39+'Products x speed'!N40+'Products x speed'!N59+'Products x speed'!N60+'Products x speed'!N61+'Products x speed'!N65</f>
        <v>0</v>
      </c>
      <c r="S283" s="26"/>
    </row>
    <row r="284" spans="1:19" s="4" customFormat="1" ht="15.5">
      <c r="A284" s="190"/>
      <c r="B284" s="553" t="s">
        <v>125</v>
      </c>
      <c r="C284" s="313"/>
      <c r="D284" s="305">
        <f>'Products x speed'!F48+'Products x speed'!F63+'Products x speed'!F64+'Products x speed'!F66+'Products x speed'!F67+'Products x speed'!F68</f>
        <v>7</v>
      </c>
      <c r="E284" s="305">
        <f>'Products x speed'!G48+'Products x speed'!G63+'Products x speed'!G64+'Products x speed'!G66+'Products x speed'!G67+'Products x speed'!G68</f>
        <v>6000</v>
      </c>
      <c r="F284" s="305">
        <f>'Products x speed'!H48+'Products x speed'!H63+'Products x speed'!H64+'Products x speed'!H66+'Products x speed'!H67+'Products x speed'!H68</f>
        <v>0</v>
      </c>
      <c r="G284" s="305">
        <f>'Products x speed'!I48+'Products x speed'!I63+'Products x speed'!I64+'Products x speed'!I66+'Products x speed'!I67+'Products x speed'!I68</f>
        <v>0</v>
      </c>
      <c r="H284" s="305">
        <f>'Products x speed'!J48+'Products x speed'!J63+'Products x speed'!J64+'Products x speed'!J66+'Products x speed'!J67+'Products x speed'!J68</f>
        <v>0</v>
      </c>
      <c r="I284" s="305">
        <f>'Products x speed'!K48+'Products x speed'!K63+'Products x speed'!K64+'Products x speed'!K66+'Products x speed'!K67+'Products x speed'!K68</f>
        <v>0</v>
      </c>
      <c r="J284" s="305">
        <f>'Products x speed'!L48+'Products x speed'!L63+'Products x speed'!L64+'Products x speed'!L66+'Products x speed'!L67+'Products x speed'!L68</f>
        <v>0</v>
      </c>
      <c r="K284" s="305">
        <f>'Products x speed'!M48+'Products x speed'!M63+'Products x speed'!M64+'Products x speed'!M66+'Products x speed'!M67+'Products x speed'!M68</f>
        <v>0</v>
      </c>
      <c r="L284" s="305">
        <f>'Products x speed'!N48+'Products x speed'!N63+'Products x speed'!N64+'Products x speed'!N66+'Products x speed'!N67+'Products x speed'!N68</f>
        <v>0</v>
      </c>
      <c r="S284" s="26"/>
    </row>
    <row r="285" spans="1:19" s="4" customFormat="1">
      <c r="A285" s="190"/>
      <c r="B285" s="92"/>
      <c r="S285" s="26"/>
    </row>
    <row r="286" spans="1:19" s="4" customFormat="1">
      <c r="A286" s="190"/>
      <c r="B286" s="331" t="s">
        <v>78</v>
      </c>
      <c r="C286" s="506"/>
      <c r="D286" s="211"/>
      <c r="E286" s="211"/>
      <c r="F286" s="211"/>
      <c r="G286" s="211"/>
      <c r="H286" s="211"/>
      <c r="I286" s="211"/>
      <c r="J286" s="211"/>
      <c r="K286" s="211"/>
      <c r="L286" s="211"/>
      <c r="S286" s="26"/>
    </row>
    <row r="287" spans="1:19" s="4" customFormat="1">
      <c r="B287" s="204" t="s">
        <v>135</v>
      </c>
      <c r="C287" s="502">
        <f>(C276+C280)/SUM(C276:C284)</f>
        <v>0.37511818939959324</v>
      </c>
      <c r="D287" s="191">
        <f>(D276+D280)/SUM(D276:D284)</f>
        <v>0.2960701521301668</v>
      </c>
      <c r="E287" s="191">
        <f>(E276+E280)/SUM(E276:E284)</f>
        <v>0.3113323312487789</v>
      </c>
      <c r="F287" s="191" t="e">
        <f t="shared" ref="F287:K287" si="36">(F276+F280)/SUM(F276:F284)</f>
        <v>#DIV/0!</v>
      </c>
      <c r="G287" s="191" t="e">
        <f t="shared" si="36"/>
        <v>#DIV/0!</v>
      </c>
      <c r="H287" s="191" t="e">
        <f t="shared" si="36"/>
        <v>#DIV/0!</v>
      </c>
      <c r="I287" s="191" t="e">
        <f t="shared" si="36"/>
        <v>#DIV/0!</v>
      </c>
      <c r="J287" s="191" t="e">
        <f t="shared" si="36"/>
        <v>#DIV/0!</v>
      </c>
      <c r="K287" s="191" t="e">
        <f t="shared" si="36"/>
        <v>#DIV/0!</v>
      </c>
      <c r="L287" s="191" t="e">
        <f>(L276+L280)/SUM(L276:L284)</f>
        <v>#DIV/0!</v>
      </c>
      <c r="S287" s="26"/>
    </row>
    <row r="288" spans="1:19" s="4" customFormat="1">
      <c r="A288" s="329"/>
      <c r="B288" s="204" t="s">
        <v>62</v>
      </c>
      <c r="C288" s="502">
        <f>(C277+C281)/SUM(C276:C284)</f>
        <v>0.59913931153889233</v>
      </c>
      <c r="D288" s="191">
        <f>(D277+D281)/SUM(D276:D284)</f>
        <v>0.62527752748127097</v>
      </c>
      <c r="E288" s="191">
        <f>(E277+E281)/SUM(E276:E284)</f>
        <v>0.54530752660795867</v>
      </c>
      <c r="F288" s="191" t="e">
        <f t="shared" ref="F288:K288" si="37">(F277+F281)/SUM(F276:F284)</f>
        <v>#DIV/0!</v>
      </c>
      <c r="G288" s="191" t="e">
        <f t="shared" si="37"/>
        <v>#DIV/0!</v>
      </c>
      <c r="H288" s="191" t="e">
        <f t="shared" si="37"/>
        <v>#DIV/0!</v>
      </c>
      <c r="I288" s="191" t="e">
        <f t="shared" si="37"/>
        <v>#DIV/0!</v>
      </c>
      <c r="J288" s="191" t="e">
        <f t="shared" si="37"/>
        <v>#DIV/0!</v>
      </c>
      <c r="K288" s="191" t="e">
        <f t="shared" si="37"/>
        <v>#DIV/0!</v>
      </c>
      <c r="L288" s="191" t="e">
        <f>(L277+L281)/SUM(L276:L284)</f>
        <v>#DIV/0!</v>
      </c>
      <c r="S288" s="26"/>
    </row>
    <row r="289" spans="1:32" s="4" customFormat="1">
      <c r="A289" s="329"/>
      <c r="B289" s="204" t="s">
        <v>77</v>
      </c>
      <c r="C289" s="507">
        <f>(C278+C282)/SUM(C276:C284)</f>
        <v>2.5742499061514355E-2</v>
      </c>
      <c r="D289" s="332">
        <f>(D278+D282)/SUM(D276:D284)</f>
        <v>7.8649983067619847E-2</v>
      </c>
      <c r="E289" s="332">
        <f>(E278+E282)/SUM(E276:E284)</f>
        <v>0.13916966578490775</v>
      </c>
      <c r="F289" s="332" t="e">
        <f t="shared" ref="F289:K289" si="38">(F278+F282)/SUM(F276:F284)</f>
        <v>#DIV/0!</v>
      </c>
      <c r="G289" s="332" t="e">
        <f t="shared" si="38"/>
        <v>#DIV/0!</v>
      </c>
      <c r="H289" s="332" t="e">
        <f t="shared" si="38"/>
        <v>#DIV/0!</v>
      </c>
      <c r="I289" s="332" t="e">
        <f t="shared" si="38"/>
        <v>#DIV/0!</v>
      </c>
      <c r="J289" s="332" t="e">
        <f t="shared" si="38"/>
        <v>#DIV/0!</v>
      </c>
      <c r="K289" s="332" t="e">
        <f t="shared" si="38"/>
        <v>#DIV/0!</v>
      </c>
      <c r="L289" s="332" t="e">
        <f>(L278+L282)/SUM(L276:L284)</f>
        <v>#DIV/0!</v>
      </c>
      <c r="S289" s="26"/>
    </row>
    <row r="290" spans="1:32" s="4" customFormat="1">
      <c r="A290" s="329"/>
      <c r="B290" s="204" t="s">
        <v>121</v>
      </c>
      <c r="C290" s="507"/>
      <c r="D290" s="332"/>
      <c r="E290" s="332">
        <f>(E283+E279)/SUM(E276:E284)</f>
        <v>4.0602024819290901E-3</v>
      </c>
      <c r="F290" s="332" t="e">
        <f t="shared" ref="F290:K290" si="39">(F283+F279)/SUM(F276:F284)</f>
        <v>#DIV/0!</v>
      </c>
      <c r="G290" s="332" t="e">
        <f t="shared" si="39"/>
        <v>#DIV/0!</v>
      </c>
      <c r="H290" s="332" t="e">
        <f t="shared" si="39"/>
        <v>#DIV/0!</v>
      </c>
      <c r="I290" s="332" t="e">
        <f t="shared" si="39"/>
        <v>#DIV/0!</v>
      </c>
      <c r="J290" s="332" t="e">
        <f t="shared" si="39"/>
        <v>#DIV/0!</v>
      </c>
      <c r="K290" s="332" t="e">
        <f t="shared" si="39"/>
        <v>#DIV/0!</v>
      </c>
      <c r="L290" s="332" t="e">
        <f>(L283+L279)/SUM(L276:L284)</f>
        <v>#DIV/0!</v>
      </c>
      <c r="S290" s="26"/>
    </row>
    <row r="291" spans="1:32" s="4" customFormat="1">
      <c r="A291" s="329"/>
      <c r="B291" s="204" t="s">
        <v>63</v>
      </c>
      <c r="C291" s="507"/>
      <c r="D291" s="332"/>
      <c r="E291" s="332">
        <f>(E284)/SUM(E276:E284)</f>
        <v>1.302738764255323E-4</v>
      </c>
      <c r="F291" s="332" t="e">
        <f t="shared" ref="F291:K291" si="40">(F284)/SUM(F276:F284)</f>
        <v>#DIV/0!</v>
      </c>
      <c r="G291" s="332" t="e">
        <f t="shared" si="40"/>
        <v>#DIV/0!</v>
      </c>
      <c r="H291" s="332" t="e">
        <f t="shared" si="40"/>
        <v>#DIV/0!</v>
      </c>
      <c r="I291" s="332" t="e">
        <f t="shared" si="40"/>
        <v>#DIV/0!</v>
      </c>
      <c r="J291" s="332" t="e">
        <f t="shared" si="40"/>
        <v>#DIV/0!</v>
      </c>
      <c r="K291" s="332" t="e">
        <f t="shared" si="40"/>
        <v>#DIV/0!</v>
      </c>
      <c r="L291" s="332" t="e">
        <f>(L284)/SUM(L276:L284)</f>
        <v>#DIV/0!</v>
      </c>
      <c r="S291" s="26"/>
    </row>
    <row r="292" spans="1:32" s="4" customFormat="1">
      <c r="A292" s="329"/>
      <c r="B292" s="204"/>
      <c r="C292" s="508">
        <f t="shared" ref="C292:L292" si="41">SUM(C287:C291)-1</f>
        <v>0</v>
      </c>
      <c r="D292" s="446">
        <f t="shared" si="41"/>
        <v>-2.3373209424581987E-6</v>
      </c>
      <c r="E292" s="446">
        <f t="shared" si="41"/>
        <v>0</v>
      </c>
      <c r="F292" s="446" t="e">
        <f t="shared" si="41"/>
        <v>#DIV/0!</v>
      </c>
      <c r="G292" s="446" t="e">
        <f t="shared" si="41"/>
        <v>#DIV/0!</v>
      </c>
      <c r="H292" s="446" t="e">
        <f t="shared" si="41"/>
        <v>#DIV/0!</v>
      </c>
      <c r="I292" s="446" t="e">
        <f t="shared" si="41"/>
        <v>#DIV/0!</v>
      </c>
      <c r="J292" s="446" t="e">
        <f t="shared" si="41"/>
        <v>#DIV/0!</v>
      </c>
      <c r="K292" s="446" t="e">
        <f t="shared" si="41"/>
        <v>#DIV/0!</v>
      </c>
      <c r="L292" s="446" t="e">
        <f t="shared" si="41"/>
        <v>#DIV/0!</v>
      </c>
      <c r="S292" s="26"/>
    </row>
    <row r="293" spans="1:32" s="4" customFormat="1">
      <c r="A293" s="190"/>
      <c r="B293" s="129" t="s">
        <v>79</v>
      </c>
      <c r="C293" s="506"/>
      <c r="D293" s="211"/>
      <c r="E293" s="211"/>
      <c r="F293" s="211"/>
      <c r="G293" s="211"/>
      <c r="H293" s="211"/>
      <c r="I293" s="211"/>
      <c r="J293" s="211"/>
      <c r="K293" s="211"/>
      <c r="L293" s="211"/>
      <c r="S293" s="26"/>
    </row>
    <row r="294" spans="1:32" s="4" customFormat="1">
      <c r="B294" s="204" t="s">
        <v>80</v>
      </c>
      <c r="C294" s="502">
        <f t="shared" ref="C294:L294" si="42">SUM(C276:C279)/SUM(C276:C284)</f>
        <v>0.49223811974149628</v>
      </c>
      <c r="D294" s="191">
        <f t="shared" si="42"/>
        <v>0.51759665005603139</v>
      </c>
      <c r="E294" s="191">
        <f t="shared" si="42"/>
        <v>0.51013040780417396</v>
      </c>
      <c r="F294" s="191" t="e">
        <f t="shared" si="42"/>
        <v>#DIV/0!</v>
      </c>
      <c r="G294" s="191" t="e">
        <f t="shared" si="42"/>
        <v>#DIV/0!</v>
      </c>
      <c r="H294" s="191" t="e">
        <f t="shared" si="42"/>
        <v>#DIV/0!</v>
      </c>
      <c r="I294" s="191" t="e">
        <f t="shared" si="42"/>
        <v>#DIV/0!</v>
      </c>
      <c r="J294" s="191" t="e">
        <f t="shared" si="42"/>
        <v>#DIV/0!</v>
      </c>
      <c r="K294" s="191" t="e">
        <f t="shared" si="42"/>
        <v>#DIV/0!</v>
      </c>
      <c r="L294" s="191" t="e">
        <f t="shared" si="42"/>
        <v>#DIV/0!</v>
      </c>
      <c r="S294" s="26"/>
    </row>
    <row r="295" spans="1:32" s="4" customFormat="1">
      <c r="A295" s="190"/>
      <c r="B295" s="204" t="s">
        <v>81</v>
      </c>
      <c r="C295" s="502">
        <f t="shared" ref="C295:L295" si="43">SUM(C280:C284)/SUM(C276:C284)</f>
        <v>0.50776188025850366</v>
      </c>
      <c r="D295" s="191">
        <f t="shared" si="43"/>
        <v>0.48240334994396855</v>
      </c>
      <c r="E295" s="191">
        <f t="shared" si="43"/>
        <v>0.48986959219582599</v>
      </c>
      <c r="F295" s="191" t="e">
        <f t="shared" si="43"/>
        <v>#DIV/0!</v>
      </c>
      <c r="G295" s="191" t="e">
        <f t="shared" si="43"/>
        <v>#DIV/0!</v>
      </c>
      <c r="H295" s="191" t="e">
        <f t="shared" si="43"/>
        <v>#DIV/0!</v>
      </c>
      <c r="I295" s="191" t="e">
        <f t="shared" si="43"/>
        <v>#DIV/0!</v>
      </c>
      <c r="J295" s="191" t="e">
        <f t="shared" si="43"/>
        <v>#DIV/0!</v>
      </c>
      <c r="K295" s="191" t="e">
        <f t="shared" si="43"/>
        <v>#DIV/0!</v>
      </c>
      <c r="L295" s="191" t="e">
        <f t="shared" si="43"/>
        <v>#DIV/0!</v>
      </c>
      <c r="S295" s="26"/>
    </row>
    <row r="296" spans="1:32" s="4" customFormat="1">
      <c r="A296" s="190"/>
      <c r="B296" s="204"/>
      <c r="C296" s="508">
        <f t="shared" ref="C296:K296" si="44">C295+C294-1</f>
        <v>0</v>
      </c>
      <c r="D296" s="446">
        <f t="shared" si="44"/>
        <v>0</v>
      </c>
      <c r="E296" s="446">
        <f t="shared" si="44"/>
        <v>0</v>
      </c>
      <c r="F296" s="446" t="e">
        <f t="shared" si="44"/>
        <v>#DIV/0!</v>
      </c>
      <c r="G296" s="446" t="e">
        <f t="shared" si="44"/>
        <v>#DIV/0!</v>
      </c>
      <c r="H296" s="446" t="e">
        <f t="shared" si="44"/>
        <v>#DIV/0!</v>
      </c>
      <c r="I296" s="446" t="e">
        <f t="shared" si="44"/>
        <v>#DIV/0!</v>
      </c>
      <c r="J296" s="446" t="e">
        <f t="shared" si="44"/>
        <v>#DIV/0!</v>
      </c>
      <c r="K296" s="446" t="e">
        <f t="shared" si="44"/>
        <v>#DIV/0!</v>
      </c>
      <c r="L296" s="446" t="e">
        <f>L295+L294-1</f>
        <v>#DIV/0!</v>
      </c>
      <c r="S296" s="26"/>
    </row>
    <row r="297" spans="1:32" s="4" customFormat="1">
      <c r="A297" s="190"/>
      <c r="B297" s="129" t="s">
        <v>82</v>
      </c>
      <c r="C297" s="195"/>
      <c r="D297" s="190"/>
      <c r="E297" s="190"/>
      <c r="F297" s="190"/>
      <c r="G297" s="190"/>
      <c r="H297" s="190"/>
      <c r="I297" s="190"/>
      <c r="J297" s="190"/>
      <c r="K297" s="190"/>
      <c r="L297" s="190"/>
      <c r="S297" s="26"/>
    </row>
    <row r="298" spans="1:32" s="4" customFormat="1">
      <c r="B298" s="204" t="s">
        <v>80</v>
      </c>
      <c r="C298" s="502">
        <f t="shared" ref="C298:K298" si="45">(C277+C278+C279)/(C277+C278+C281+C282+C283+C284)</f>
        <v>0.5887925234303405</v>
      </c>
      <c r="D298" s="191">
        <f t="shared" si="45"/>
        <v>0.57567520829033536</v>
      </c>
      <c r="E298" s="191">
        <f t="shared" si="45"/>
        <v>0.58708419215340524</v>
      </c>
      <c r="F298" s="191" t="e">
        <f t="shared" si="45"/>
        <v>#DIV/0!</v>
      </c>
      <c r="G298" s="191" t="e">
        <f t="shared" si="45"/>
        <v>#DIV/0!</v>
      </c>
      <c r="H298" s="191" t="e">
        <f t="shared" si="45"/>
        <v>#DIV/0!</v>
      </c>
      <c r="I298" s="191" t="e">
        <f t="shared" si="45"/>
        <v>#DIV/0!</v>
      </c>
      <c r="J298" s="191" t="e">
        <f t="shared" si="45"/>
        <v>#DIV/0!</v>
      </c>
      <c r="K298" s="191" t="e">
        <f t="shared" si="45"/>
        <v>#DIV/0!</v>
      </c>
      <c r="L298" s="191" t="e">
        <f>(L277+L278+L279)/(L277+L278+L281+L282+L283+L284)</f>
        <v>#DIV/0!</v>
      </c>
      <c r="S298" s="26"/>
    </row>
    <row r="299" spans="1:32" s="4" customFormat="1">
      <c r="A299" s="190"/>
      <c r="B299" s="204" t="s">
        <v>81</v>
      </c>
      <c r="C299" s="502">
        <f t="shared" ref="C299:L299" si="46">1-C298</f>
        <v>0.4112074765696595</v>
      </c>
      <c r="D299" s="191">
        <f t="shared" si="46"/>
        <v>0.42432479170966464</v>
      </c>
      <c r="E299" s="191">
        <f t="shared" si="46"/>
        <v>0.41291580784659476</v>
      </c>
      <c r="F299" s="191" t="e">
        <f t="shared" si="46"/>
        <v>#DIV/0!</v>
      </c>
      <c r="G299" s="191" t="e">
        <f t="shared" si="46"/>
        <v>#DIV/0!</v>
      </c>
      <c r="H299" s="191" t="e">
        <f t="shared" si="46"/>
        <v>#DIV/0!</v>
      </c>
      <c r="I299" s="191" t="e">
        <f t="shared" si="46"/>
        <v>#DIV/0!</v>
      </c>
      <c r="J299" s="191" t="e">
        <f t="shared" si="46"/>
        <v>#DIV/0!</v>
      </c>
      <c r="K299" s="191" t="e">
        <f t="shared" si="46"/>
        <v>#DIV/0!</v>
      </c>
      <c r="L299" s="191" t="e">
        <f t="shared" si="46"/>
        <v>#DIV/0!</v>
      </c>
      <c r="S299" s="26"/>
    </row>
    <row r="300" spans="1:32" s="4" customFormat="1">
      <c r="B300" s="190"/>
      <c r="C300" s="205"/>
      <c r="D300" s="205"/>
      <c r="E300" s="205"/>
      <c r="F300" s="205"/>
      <c r="G300" s="205"/>
      <c r="H300" s="205"/>
      <c r="I300" s="205"/>
      <c r="J300" s="205"/>
      <c r="K300" s="205"/>
      <c r="L300" s="205"/>
      <c r="M300" s="205"/>
      <c r="N300" s="205"/>
      <c r="O300" s="205"/>
      <c r="S300" s="26"/>
    </row>
    <row r="301" spans="1:32">
      <c r="AF301" s="4"/>
    </row>
    <row r="302" spans="1:32" ht="21">
      <c r="B302" s="125" t="s">
        <v>272</v>
      </c>
    </row>
    <row r="322" spans="2:19" ht="15.5">
      <c r="B322" s="103" t="s">
        <v>273</v>
      </c>
      <c r="C322" s="307">
        <v>2016</v>
      </c>
      <c r="D322" s="308">
        <v>2017</v>
      </c>
      <c r="E322" s="308">
        <v>2018</v>
      </c>
      <c r="F322" s="308">
        <v>2019</v>
      </c>
      <c r="G322" s="308">
        <v>2020</v>
      </c>
      <c r="H322" s="308">
        <v>2021</v>
      </c>
      <c r="I322" s="308">
        <v>2022</v>
      </c>
      <c r="J322" s="308">
        <v>2023</v>
      </c>
      <c r="K322" s="308">
        <v>2024</v>
      </c>
      <c r="L322" s="308">
        <v>2025</v>
      </c>
    </row>
    <row r="323" spans="2:19" ht="15.5">
      <c r="B323" s="194" t="str">
        <f>'Products x speed'!C24</f>
        <v>100 - 300 m</v>
      </c>
      <c r="C323" s="130">
        <f>'Products x speed'!E24</f>
        <v>7146</v>
      </c>
      <c r="D323" s="131">
        <f>'Products x speed'!F24</f>
        <v>95865</v>
      </c>
      <c r="E323" s="131">
        <f>'Products x speed'!G24</f>
        <v>318978</v>
      </c>
      <c r="F323" s="131">
        <f>'Products x speed'!H24</f>
        <v>0</v>
      </c>
      <c r="G323" s="131">
        <f>'Products x speed'!I24</f>
        <v>0</v>
      </c>
      <c r="H323" s="131">
        <f>'Products x speed'!J24</f>
        <v>0</v>
      </c>
      <c r="I323" s="131">
        <f>'Products x speed'!K24</f>
        <v>0</v>
      </c>
      <c r="J323" s="131">
        <f>'Products x speed'!L24</f>
        <v>0</v>
      </c>
      <c r="K323" s="131">
        <f>'Products x speed'!M24</f>
        <v>0</v>
      </c>
      <c r="L323" s="131">
        <f>'Products x speed'!N24</f>
        <v>0</v>
      </c>
      <c r="S323" s="487">
        <f>SUM(C323:L326)</f>
        <v>1001416</v>
      </c>
    </row>
    <row r="324" spans="2:19" ht="15.5">
      <c r="B324" s="195" t="str">
        <f>'Products x speed'!C25</f>
        <v>10 km</v>
      </c>
      <c r="C324" s="132">
        <f>'Products x speed'!E25</f>
        <v>4548</v>
      </c>
      <c r="D324" s="133">
        <f>'Products x speed'!F25</f>
        <v>17462</v>
      </c>
      <c r="E324" s="133">
        <f>'Products x speed'!G25</f>
        <v>56709</v>
      </c>
      <c r="F324" s="133">
        <f>'Products x speed'!H25</f>
        <v>0</v>
      </c>
      <c r="G324" s="133">
        <f>'Products x speed'!I25</f>
        <v>0</v>
      </c>
      <c r="H324" s="133">
        <f>'Products x speed'!J25</f>
        <v>0</v>
      </c>
      <c r="I324" s="133">
        <f>'Products x speed'!K25</f>
        <v>0</v>
      </c>
      <c r="J324" s="133">
        <f>'Products x speed'!L25</f>
        <v>0</v>
      </c>
      <c r="K324" s="133">
        <f>'Products x speed'!M25</f>
        <v>0</v>
      </c>
      <c r="L324" s="133">
        <f>'Products x speed'!N25</f>
        <v>0</v>
      </c>
      <c r="S324" s="487">
        <f>SUM('Products x speed'!E24:N26)*2</f>
        <v>1001416</v>
      </c>
    </row>
    <row r="325" spans="2:19" ht="15.5">
      <c r="B325" s="214" t="str">
        <f>'Products x speed'!C26</f>
        <v>40 km</v>
      </c>
      <c r="C325" s="132">
        <f>'Products x speed'!E26</f>
        <v>0</v>
      </c>
      <c r="D325" s="133">
        <f>'Products x speed'!F26</f>
        <v>0</v>
      </c>
      <c r="E325" s="133">
        <f>'Products x speed'!G26</f>
        <v>0</v>
      </c>
      <c r="F325" s="133">
        <f>'Products x speed'!H26</f>
        <v>0</v>
      </c>
      <c r="G325" s="133">
        <f>'Products x speed'!I26</f>
        <v>0</v>
      </c>
      <c r="H325" s="133">
        <f>'Products x speed'!J26</f>
        <v>0</v>
      </c>
      <c r="I325" s="133">
        <f>'Products x speed'!K26</f>
        <v>0</v>
      </c>
      <c r="J325" s="133">
        <f>'Products x speed'!L26</f>
        <v>0</v>
      </c>
      <c r="K325" s="133">
        <f>'Products x speed'!M26</f>
        <v>0</v>
      </c>
      <c r="L325" s="133">
        <f>'Products x speed'!N26</f>
        <v>0</v>
      </c>
      <c r="S325" s="487">
        <f>S323-S324</f>
        <v>0</v>
      </c>
    </row>
    <row r="326" spans="2:19">
      <c r="B326" s="214" t="s">
        <v>86</v>
      </c>
      <c r="C326" s="298">
        <f t="shared" ref="C326:L326" si="47">SUM(C323:C325)</f>
        <v>11694</v>
      </c>
      <c r="D326" s="299">
        <f t="shared" si="47"/>
        <v>113327</v>
      </c>
      <c r="E326" s="299">
        <f t="shared" si="47"/>
        <v>375687</v>
      </c>
      <c r="F326" s="299">
        <f t="shared" si="47"/>
        <v>0</v>
      </c>
      <c r="G326" s="299">
        <f t="shared" si="47"/>
        <v>0</v>
      </c>
      <c r="H326" s="299">
        <f t="shared" si="47"/>
        <v>0</v>
      </c>
      <c r="I326" s="299">
        <f t="shared" si="47"/>
        <v>0</v>
      </c>
      <c r="J326" s="299">
        <f t="shared" si="47"/>
        <v>0</v>
      </c>
      <c r="K326" s="299">
        <f t="shared" si="47"/>
        <v>0</v>
      </c>
      <c r="L326" s="299">
        <f t="shared" si="47"/>
        <v>0</v>
      </c>
    </row>
    <row r="327" spans="2:19">
      <c r="B327" s="246" t="s">
        <v>92</v>
      </c>
      <c r="C327" s="191"/>
      <c r="D327" s="191">
        <f t="shared" ref="D327:L327" si="48">D326/C326-1</f>
        <v>8.6910381392166922</v>
      </c>
      <c r="E327" s="191">
        <f t="shared" si="48"/>
        <v>2.3150705480600386</v>
      </c>
      <c r="F327" s="191">
        <f t="shared" si="48"/>
        <v>-1</v>
      </c>
      <c r="G327" s="191" t="e">
        <f t="shared" si="48"/>
        <v>#DIV/0!</v>
      </c>
      <c r="H327" s="191" t="e">
        <f t="shared" si="48"/>
        <v>#DIV/0!</v>
      </c>
      <c r="I327" s="191" t="e">
        <f t="shared" si="48"/>
        <v>#DIV/0!</v>
      </c>
      <c r="J327" s="191" t="e">
        <f t="shared" si="48"/>
        <v>#DIV/0!</v>
      </c>
      <c r="K327" s="191" t="e">
        <f t="shared" si="48"/>
        <v>#DIV/0!</v>
      </c>
      <c r="L327" s="191" t="e">
        <f t="shared" si="48"/>
        <v>#DIV/0!</v>
      </c>
    </row>
    <row r="328" spans="2:19" s="196" customFormat="1">
      <c r="S328" s="455"/>
    </row>
    <row r="331" spans="2:19" ht="21">
      <c r="B331" s="125" t="s">
        <v>276</v>
      </c>
    </row>
    <row r="332" spans="2:19" ht="21">
      <c r="B332" s="216" t="s">
        <v>344</v>
      </c>
      <c r="H332" s="216" t="s">
        <v>345</v>
      </c>
    </row>
    <row r="354" spans="1:19" ht="15.5">
      <c r="B354" s="103" t="s">
        <v>277</v>
      </c>
    </row>
    <row r="355" spans="1:19">
      <c r="C355" s="307">
        <v>2016</v>
      </c>
      <c r="D355" s="308">
        <v>2017</v>
      </c>
      <c r="E355" s="308">
        <v>2018</v>
      </c>
      <c r="F355" s="308">
        <v>2019</v>
      </c>
      <c r="G355" s="308">
        <v>2020</v>
      </c>
      <c r="H355" s="308">
        <v>2021</v>
      </c>
      <c r="I355" s="308">
        <v>2022</v>
      </c>
      <c r="J355" s="308">
        <v>2023</v>
      </c>
      <c r="K355" s="308">
        <v>2024</v>
      </c>
      <c r="L355" s="308">
        <v>2025</v>
      </c>
    </row>
    <row r="356" spans="1:19">
      <c r="B356" s="194" t="s">
        <v>36</v>
      </c>
      <c r="C356" s="130">
        <f>'Products x speed'!E27+'Products x speed'!E28</f>
        <v>1254229</v>
      </c>
      <c r="D356" s="131">
        <f>'Products x speed'!F27+'Products x speed'!F28</f>
        <v>1544331</v>
      </c>
      <c r="E356" s="131">
        <f>'Products x speed'!G27+'Products x speed'!G28</f>
        <v>1554966.5</v>
      </c>
      <c r="F356" s="131">
        <f>'Products x speed'!H27+'Products x speed'!H28</f>
        <v>0</v>
      </c>
      <c r="G356" s="131">
        <f>'Products x speed'!I27+'Products x speed'!I28</f>
        <v>0</v>
      </c>
      <c r="H356" s="131">
        <f>'Products x speed'!J27+'Products x speed'!J28</f>
        <v>0</v>
      </c>
      <c r="I356" s="131">
        <f>'Products x speed'!K27+'Products x speed'!K28</f>
        <v>0</v>
      </c>
      <c r="J356" s="131">
        <f>'Products x speed'!L27+'Products x speed'!L28</f>
        <v>0</v>
      </c>
      <c r="K356" s="131">
        <f>'Products x speed'!M27+'Products x speed'!M28</f>
        <v>0</v>
      </c>
      <c r="L356" s="131">
        <f>'Products x speed'!N27+'Products x speed'!N28</f>
        <v>0</v>
      </c>
    </row>
    <row r="357" spans="1:19" ht="15.5">
      <c r="B357" s="195" t="s">
        <v>43</v>
      </c>
      <c r="C357" s="132">
        <f>'Products x speed'!E29</f>
        <v>275269</v>
      </c>
      <c r="D357" s="133">
        <f>'Products x speed'!F29</f>
        <v>466535</v>
      </c>
      <c r="E357" s="133">
        <f>'Products x speed'!G29</f>
        <v>491067</v>
      </c>
      <c r="F357" s="133">
        <f>'Products x speed'!H29</f>
        <v>0</v>
      </c>
      <c r="G357" s="133">
        <f>'Products x speed'!I29</f>
        <v>0</v>
      </c>
      <c r="H357" s="133">
        <f>'Products x speed'!J29</f>
        <v>0</v>
      </c>
      <c r="I357" s="133">
        <f>'Products x speed'!K29</f>
        <v>0</v>
      </c>
      <c r="J357" s="133">
        <f>'Products x speed'!L29</f>
        <v>0</v>
      </c>
      <c r="K357" s="133">
        <f>'Products x speed'!M29</f>
        <v>0</v>
      </c>
      <c r="L357" s="133">
        <f>'Products x speed'!N29</f>
        <v>0</v>
      </c>
      <c r="S357" s="486">
        <f>SUM(C356:L362)</f>
        <v>20230703</v>
      </c>
    </row>
    <row r="358" spans="1:19" ht="15.5">
      <c r="B358" s="195" t="s">
        <v>46</v>
      </c>
      <c r="C358" s="132">
        <f>'Products x speed'!E30</f>
        <v>813790</v>
      </c>
      <c r="D358" s="133">
        <f>'Products x speed'!F30</f>
        <v>613640</v>
      </c>
      <c r="E358" s="133">
        <f>'Products x speed'!G30</f>
        <v>502708</v>
      </c>
      <c r="F358" s="133">
        <f>'Products x speed'!H30</f>
        <v>0</v>
      </c>
      <c r="G358" s="133">
        <f>'Products x speed'!I30</f>
        <v>0</v>
      </c>
      <c r="H358" s="133">
        <f>'Products x speed'!J30</f>
        <v>0</v>
      </c>
      <c r="I358" s="133">
        <f>'Products x speed'!K30</f>
        <v>0</v>
      </c>
      <c r="J358" s="133">
        <f>'Products x speed'!L30</f>
        <v>0</v>
      </c>
      <c r="K358" s="133">
        <f>'Products x speed'!M30</f>
        <v>0</v>
      </c>
      <c r="L358" s="133">
        <f>'Products x speed'!N30</f>
        <v>0</v>
      </c>
      <c r="S358" s="487">
        <f>SUM(C367:L369)</f>
        <v>20230703</v>
      </c>
    </row>
    <row r="359" spans="1:19" ht="15.5">
      <c r="B359" s="195" t="s">
        <v>49</v>
      </c>
      <c r="C359" s="132">
        <f>'Products x speed'!E31+'Products x speed'!E32</f>
        <v>471000</v>
      </c>
      <c r="D359" s="133">
        <f>'Products x speed'!F31+'Products x speed'!F32</f>
        <v>807018</v>
      </c>
      <c r="E359" s="133">
        <f>'Products x speed'!G31+'Products x speed'!G32</f>
        <v>271821</v>
      </c>
      <c r="F359" s="133">
        <f>'Products x speed'!H31+'Products x speed'!H32</f>
        <v>0</v>
      </c>
      <c r="G359" s="133">
        <f>'Products x speed'!I31+'Products x speed'!I32</f>
        <v>0</v>
      </c>
      <c r="H359" s="133">
        <f>'Products x speed'!J31+'Products x speed'!J32</f>
        <v>0</v>
      </c>
      <c r="I359" s="133">
        <f>'Products x speed'!K31+'Products x speed'!K32</f>
        <v>0</v>
      </c>
      <c r="J359" s="133">
        <f>'Products x speed'!L31+'Products x speed'!L32</f>
        <v>0</v>
      </c>
      <c r="K359" s="133">
        <f>'Products x speed'!M31+'Products x speed'!M32</f>
        <v>0</v>
      </c>
      <c r="L359" s="133">
        <f>'Products x speed'!N31+'Products x speed'!N32</f>
        <v>0</v>
      </c>
      <c r="S359" s="487">
        <f>SUM(C396:L398)*2+SUM(C434:L440)</f>
        <v>20230703</v>
      </c>
    </row>
    <row r="360" spans="1:19" ht="15.5">
      <c r="B360" s="195" t="s">
        <v>52</v>
      </c>
      <c r="C360" s="132">
        <f>'Products x speed'!E33+'Products x speed'!E34</f>
        <v>333886</v>
      </c>
      <c r="D360" s="133">
        <f>'Products x speed'!F33+'Products x speed'!F34</f>
        <v>427204</v>
      </c>
      <c r="E360" s="133">
        <f>'Products x speed'!G33+'Products x speed'!G34</f>
        <v>269337</v>
      </c>
      <c r="F360" s="133">
        <f>'Products x speed'!H33+'Products x speed'!H34</f>
        <v>0</v>
      </c>
      <c r="G360" s="133">
        <f>'Products x speed'!I33+'Products x speed'!I34</f>
        <v>0</v>
      </c>
      <c r="H360" s="133">
        <f>'Products x speed'!J33+'Products x speed'!J34</f>
        <v>0</v>
      </c>
      <c r="I360" s="133">
        <f>'Products x speed'!K33+'Products x speed'!K34</f>
        <v>0</v>
      </c>
      <c r="J360" s="133">
        <f>'Products x speed'!L33+'Products x speed'!L34</f>
        <v>0</v>
      </c>
      <c r="K360" s="133">
        <f>'Products x speed'!M33+'Products x speed'!M34</f>
        <v>0</v>
      </c>
      <c r="L360" s="133">
        <f>'Products x speed'!N33+'Products x speed'!N34</f>
        <v>0</v>
      </c>
      <c r="S360" s="487">
        <f>S358-S359</f>
        <v>0</v>
      </c>
    </row>
    <row r="361" spans="1:19" s="4" customFormat="1">
      <c r="A361" s="9"/>
      <c r="B361" s="195" t="s">
        <v>57</v>
      </c>
      <c r="C361" s="134">
        <f>'Products x speed'!E35</f>
        <v>4894</v>
      </c>
      <c r="D361" s="135">
        <f>'Products x speed'!F35</f>
        <v>5432</v>
      </c>
      <c r="E361" s="135">
        <f>'Products x speed'!G35</f>
        <v>8224</v>
      </c>
      <c r="F361" s="135">
        <f>'Products x speed'!H35</f>
        <v>0</v>
      </c>
      <c r="G361" s="135">
        <f>'Products x speed'!I35</f>
        <v>0</v>
      </c>
      <c r="H361" s="135">
        <f>'Products x speed'!J35</f>
        <v>0</v>
      </c>
      <c r="I361" s="135">
        <f>'Products x speed'!K35</f>
        <v>0</v>
      </c>
      <c r="J361" s="135">
        <f>'Products x speed'!L35</f>
        <v>0</v>
      </c>
      <c r="K361" s="135">
        <f>'Products x speed'!M35</f>
        <v>0</v>
      </c>
      <c r="L361" s="135">
        <f>'Products x speed'!N35</f>
        <v>0</v>
      </c>
      <c r="S361" s="26"/>
    </row>
    <row r="362" spans="1:19">
      <c r="B362" s="192" t="s">
        <v>86</v>
      </c>
      <c r="C362" s="298">
        <f t="shared" ref="C362:L362" si="49">SUM(C356:C361)</f>
        <v>3153068</v>
      </c>
      <c r="D362" s="299">
        <f t="shared" si="49"/>
        <v>3864160</v>
      </c>
      <c r="E362" s="299">
        <f t="shared" si="49"/>
        <v>3098123.5</v>
      </c>
      <c r="F362" s="299">
        <f t="shared" si="49"/>
        <v>0</v>
      </c>
      <c r="G362" s="299">
        <f t="shared" si="49"/>
        <v>0</v>
      </c>
      <c r="H362" s="299">
        <f t="shared" si="49"/>
        <v>0</v>
      </c>
      <c r="I362" s="299">
        <f t="shared" si="49"/>
        <v>0</v>
      </c>
      <c r="J362" s="299">
        <f t="shared" si="49"/>
        <v>0</v>
      </c>
      <c r="K362" s="299">
        <f t="shared" si="49"/>
        <v>0</v>
      </c>
      <c r="L362" s="299">
        <f t="shared" si="49"/>
        <v>0</v>
      </c>
    </row>
    <row r="363" spans="1:19">
      <c r="B363" s="246" t="s">
        <v>92</v>
      </c>
      <c r="C363" s="191"/>
      <c r="D363" s="191">
        <f t="shared" ref="D363:L363" si="50">D362/C362-1</f>
        <v>0.22552383900378925</v>
      </c>
      <c r="E363" s="191">
        <f t="shared" si="50"/>
        <v>-0.19824140304749283</v>
      </c>
      <c r="F363" s="191">
        <f t="shared" si="50"/>
        <v>-1</v>
      </c>
      <c r="G363" s="191" t="e">
        <f t="shared" si="50"/>
        <v>#DIV/0!</v>
      </c>
      <c r="H363" s="191" t="e">
        <f t="shared" si="50"/>
        <v>#DIV/0!</v>
      </c>
      <c r="I363" s="191" t="e">
        <f t="shared" si="50"/>
        <v>#DIV/0!</v>
      </c>
      <c r="J363" s="191" t="e">
        <f t="shared" si="50"/>
        <v>#DIV/0!</v>
      </c>
      <c r="K363" s="191" t="e">
        <f t="shared" si="50"/>
        <v>#DIV/0!</v>
      </c>
      <c r="L363" s="191" t="e">
        <f t="shared" si="50"/>
        <v>#DIV/0!</v>
      </c>
    </row>
    <row r="364" spans="1:19" s="196" customFormat="1">
      <c r="B364" s="246"/>
      <c r="C364" s="190"/>
      <c r="D364" s="191"/>
      <c r="E364" s="191"/>
      <c r="F364" s="191"/>
      <c r="G364" s="191"/>
      <c r="H364" s="191"/>
      <c r="I364" s="191"/>
      <c r="J364" s="191"/>
      <c r="K364" s="191"/>
      <c r="L364" s="191"/>
      <c r="M364" s="191"/>
      <c r="N364" s="191"/>
      <c r="O364" s="191"/>
      <c r="P364" s="191"/>
      <c r="Q364" s="191"/>
      <c r="R364" s="191"/>
      <c r="S364" s="455"/>
    </row>
    <row r="365" spans="1:19" s="196" customFormat="1" ht="15.5">
      <c r="B365" s="103" t="s">
        <v>278</v>
      </c>
      <c r="C365" s="190"/>
      <c r="D365" s="190"/>
      <c r="E365" s="190"/>
      <c r="F365" s="190"/>
      <c r="G365" s="190"/>
      <c r="H365" s="190"/>
      <c r="I365" s="190"/>
      <c r="J365" s="190"/>
      <c r="K365" s="190"/>
      <c r="L365" s="190"/>
      <c r="M365" s="190"/>
      <c r="N365" s="190"/>
      <c r="O365" s="190"/>
      <c r="P365" s="190"/>
      <c r="Q365" s="190"/>
      <c r="R365" s="190"/>
      <c r="S365" s="455"/>
    </row>
    <row r="366" spans="1:19" s="196" customFormat="1">
      <c r="B366" s="190" t="s">
        <v>87</v>
      </c>
      <c r="C366" s="302">
        <v>2016</v>
      </c>
      <c r="D366" s="303">
        <v>2017</v>
      </c>
      <c r="E366" s="303">
        <v>2018</v>
      </c>
      <c r="F366" s="303">
        <v>2019</v>
      </c>
      <c r="G366" s="303">
        <v>2020</v>
      </c>
      <c r="H366" s="303">
        <v>2021</v>
      </c>
      <c r="I366" s="303">
        <v>2022</v>
      </c>
      <c r="J366" s="303">
        <v>2023</v>
      </c>
      <c r="K366" s="303">
        <v>2024</v>
      </c>
      <c r="L366" s="303">
        <v>2025</v>
      </c>
      <c r="S366" s="455"/>
    </row>
    <row r="367" spans="1:19" s="196" customFormat="1">
      <c r="B367" s="194" t="s">
        <v>40</v>
      </c>
      <c r="C367" s="132">
        <f>'Products x speed'!E31+'Products x speed'!E33</f>
        <v>7446</v>
      </c>
      <c r="D367" s="133">
        <f>'Products x speed'!F31+'Products x speed'!F33</f>
        <v>3248</v>
      </c>
      <c r="E367" s="133">
        <f>'Products x speed'!G31+'Products x speed'!G33</f>
        <v>0</v>
      </c>
      <c r="F367" s="133">
        <f>'Products x speed'!H31+'Products x speed'!H33</f>
        <v>0</v>
      </c>
      <c r="G367" s="133">
        <f>'Products x speed'!I31+'Products x speed'!I33</f>
        <v>0</v>
      </c>
      <c r="H367" s="133">
        <f>'Products x speed'!J31+'Products x speed'!J33</f>
        <v>0</v>
      </c>
      <c r="I367" s="133">
        <f>'Products x speed'!K31+'Products x speed'!K33</f>
        <v>0</v>
      </c>
      <c r="J367" s="133">
        <f>'Products x speed'!L31+'Products x speed'!L33</f>
        <v>0</v>
      </c>
      <c r="K367" s="133">
        <f>'Products x speed'!M31+'Products x speed'!M33</f>
        <v>0</v>
      </c>
      <c r="L367" s="133">
        <f>'Products x speed'!N31+'Products x speed'!N33</f>
        <v>0</v>
      </c>
      <c r="S367" s="455"/>
    </row>
    <row r="368" spans="1:19" s="196" customFormat="1">
      <c r="B368" s="195" t="s">
        <v>95</v>
      </c>
      <c r="C368" s="132">
        <f>'Products x speed'!E27+'Products x speed'!E28+'Products x speed'!E29+'Products x speed'!E30+'Products x speed'!E32+'Products x speed'!E34+'Products x speed'!E35</f>
        <v>3145622</v>
      </c>
      <c r="D368" s="133">
        <f>'Products x speed'!F27+'Products x speed'!F28+'Products x speed'!F29+'Products x speed'!F30+'Products x speed'!F32+'Products x speed'!F34+'Products x speed'!F35</f>
        <v>3860912</v>
      </c>
      <c r="E368" s="133">
        <f>'Products x speed'!G27+'Products x speed'!G28+'Products x speed'!G29+'Products x speed'!G30+'Products x speed'!G32+'Products x speed'!G34+'Products x speed'!G35</f>
        <v>3098123.5</v>
      </c>
      <c r="F368" s="133">
        <f>'Products x speed'!H27+'Products x speed'!H28+'Products x speed'!H29+'Products x speed'!H30+'Products x speed'!H32+'Products x speed'!H34+'Products x speed'!H35</f>
        <v>0</v>
      </c>
      <c r="G368" s="133">
        <f>'Products x speed'!I27+'Products x speed'!I28+'Products x speed'!I29+'Products x speed'!I30+'Products x speed'!I32+'Products x speed'!I34+'Products x speed'!I35</f>
        <v>0</v>
      </c>
      <c r="H368" s="133">
        <f>'Products x speed'!J27+'Products x speed'!J28+'Products x speed'!J29+'Products x speed'!J30+'Products x speed'!J32+'Products x speed'!J34+'Products x speed'!J35</f>
        <v>0</v>
      </c>
      <c r="I368" s="133">
        <f>'Products x speed'!K27+'Products x speed'!K28+'Products x speed'!K29+'Products x speed'!K30+'Products x speed'!K32+'Products x speed'!K34+'Products x speed'!K35</f>
        <v>0</v>
      </c>
      <c r="J368" s="133">
        <f>'Products x speed'!L27+'Products x speed'!L28+'Products x speed'!L29+'Products x speed'!L30+'Products x speed'!L32+'Products x speed'!L34+'Products x speed'!L35</f>
        <v>0</v>
      </c>
      <c r="K368" s="133">
        <f>'Products x speed'!M27+'Products x speed'!M28+'Products x speed'!M29+'Products x speed'!M30+'Products x speed'!M32+'Products x speed'!M34+'Products x speed'!M35</f>
        <v>0</v>
      </c>
      <c r="L368" s="133">
        <f>'Products x speed'!N27+'Products x speed'!N28+'Products x speed'!N29+'Products x speed'!N30+'Products x speed'!N32+'Products x speed'!N34+'Products x speed'!N35</f>
        <v>0</v>
      </c>
      <c r="S368" s="455"/>
    </row>
    <row r="369" spans="1:19">
      <c r="B369" s="192" t="s">
        <v>86</v>
      </c>
      <c r="C369" s="298">
        <f t="shared" ref="C369:L369" si="51">SUM(C367:C368)</f>
        <v>3153068</v>
      </c>
      <c r="D369" s="299">
        <f t="shared" si="51"/>
        <v>3864160</v>
      </c>
      <c r="E369" s="299">
        <f t="shared" si="51"/>
        <v>3098123.5</v>
      </c>
      <c r="F369" s="299">
        <f t="shared" si="51"/>
        <v>0</v>
      </c>
      <c r="G369" s="299">
        <f t="shared" si="51"/>
        <v>0</v>
      </c>
      <c r="H369" s="299">
        <f t="shared" si="51"/>
        <v>0</v>
      </c>
      <c r="I369" s="299">
        <f t="shared" si="51"/>
        <v>0</v>
      </c>
      <c r="J369" s="299">
        <f t="shared" si="51"/>
        <v>0</v>
      </c>
      <c r="K369" s="299">
        <f t="shared" si="51"/>
        <v>0</v>
      </c>
      <c r="L369" s="299">
        <f t="shared" si="51"/>
        <v>0</v>
      </c>
    </row>
    <row r="370" spans="1:19">
      <c r="B370" s="246" t="s">
        <v>92</v>
      </c>
      <c r="C370" s="191"/>
      <c r="D370" s="191">
        <f t="shared" ref="D370:L370" si="52">D369/C369-1</f>
        <v>0.22552383900378925</v>
      </c>
      <c r="E370" s="191">
        <f t="shared" si="52"/>
        <v>-0.19824140304749283</v>
      </c>
      <c r="F370" s="191">
        <f t="shared" si="52"/>
        <v>-1</v>
      </c>
      <c r="G370" s="191" t="e">
        <f t="shared" si="52"/>
        <v>#DIV/0!</v>
      </c>
      <c r="H370" s="191" t="e">
        <f t="shared" si="52"/>
        <v>#DIV/0!</v>
      </c>
      <c r="I370" s="191" t="e">
        <f t="shared" si="52"/>
        <v>#DIV/0!</v>
      </c>
      <c r="J370" s="191" t="e">
        <f t="shared" si="52"/>
        <v>#DIV/0!</v>
      </c>
      <c r="K370" s="191" t="e">
        <f t="shared" si="52"/>
        <v>#DIV/0!</v>
      </c>
      <c r="L370" s="191" t="e">
        <f t="shared" si="52"/>
        <v>#DIV/0!</v>
      </c>
    </row>
    <row r="371" spans="1:19" s="4" customFormat="1" ht="21">
      <c r="A371" s="9"/>
      <c r="B371" s="14"/>
      <c r="C371" s="190"/>
      <c r="S371" s="26"/>
    </row>
    <row r="372" spans="1:19" s="4" customFormat="1" ht="21">
      <c r="A372" s="9"/>
      <c r="B372" s="14" t="s">
        <v>170</v>
      </c>
      <c r="S372" s="26"/>
    </row>
    <row r="373" spans="1:19" ht="21">
      <c r="B373" s="216" t="s">
        <v>22</v>
      </c>
      <c r="H373" s="216" t="s">
        <v>21</v>
      </c>
      <c r="O373" s="216" t="s">
        <v>15</v>
      </c>
    </row>
    <row r="374" spans="1:19" s="4" customFormat="1" ht="12.5">
      <c r="A374" s="9"/>
      <c r="S374" s="26"/>
    </row>
    <row r="375" spans="1:19" s="4" customFormat="1" ht="12.5">
      <c r="A375" s="9"/>
      <c r="S375" s="26"/>
    </row>
    <row r="376" spans="1:19" s="4" customFormat="1" ht="12.5">
      <c r="A376" s="9"/>
      <c r="S376" s="26"/>
    </row>
    <row r="377" spans="1:19" s="4" customFormat="1" ht="12.5">
      <c r="A377" s="9"/>
      <c r="S377" s="26"/>
    </row>
    <row r="378" spans="1:19" s="4" customFormat="1" ht="12.5">
      <c r="A378" s="9"/>
      <c r="S378" s="26"/>
    </row>
    <row r="379" spans="1:19" s="4" customFormat="1" ht="12.5">
      <c r="A379" s="9"/>
      <c r="S379" s="26"/>
    </row>
    <row r="380" spans="1:19" s="4" customFormat="1" ht="12.5">
      <c r="A380" s="9"/>
      <c r="S380" s="26"/>
    </row>
    <row r="381" spans="1:19" s="4" customFormat="1" ht="12.5">
      <c r="A381" s="9"/>
      <c r="S381" s="26"/>
    </row>
    <row r="382" spans="1:19" s="4" customFormat="1" ht="12.5">
      <c r="A382" s="9"/>
      <c r="S382" s="26"/>
    </row>
    <row r="383" spans="1:19" s="4" customFormat="1" ht="12.5">
      <c r="A383" s="9"/>
      <c r="S383" s="26"/>
    </row>
    <row r="384" spans="1:19" s="4" customFormat="1" ht="12.5">
      <c r="A384" s="9"/>
      <c r="S384" s="26"/>
    </row>
    <row r="385" spans="1:19" s="4" customFormat="1" ht="12.5">
      <c r="A385" s="9"/>
      <c r="S385" s="26"/>
    </row>
    <row r="386" spans="1:19" s="4" customFormat="1" ht="12.5">
      <c r="A386" s="9"/>
      <c r="S386" s="26"/>
    </row>
    <row r="387" spans="1:19" s="4" customFormat="1" ht="12.5">
      <c r="A387" s="9"/>
      <c r="S387" s="26"/>
    </row>
    <row r="388" spans="1:19" s="4" customFormat="1" ht="12.5">
      <c r="A388" s="9"/>
      <c r="S388" s="26"/>
    </row>
    <row r="389" spans="1:19" s="4" customFormat="1" ht="12.5">
      <c r="A389" s="9"/>
      <c r="S389" s="26"/>
    </row>
    <row r="390" spans="1:19" s="4" customFormat="1" ht="12.5">
      <c r="A390" s="9"/>
      <c r="S390" s="26"/>
    </row>
    <row r="391" spans="1:19" s="4" customFormat="1" ht="12.5">
      <c r="A391" s="9"/>
      <c r="S391" s="26"/>
    </row>
    <row r="392" spans="1:19" s="4" customFormat="1" ht="12.5">
      <c r="A392" s="9"/>
      <c r="S392" s="26"/>
    </row>
    <row r="393" spans="1:19" s="4" customFormat="1" ht="12.5">
      <c r="A393" s="9"/>
      <c r="S393" s="26"/>
    </row>
    <row r="394" spans="1:19" s="4" customFormat="1" ht="12.5">
      <c r="A394" s="9"/>
      <c r="S394" s="26"/>
    </row>
    <row r="395" spans="1:19" s="4" customFormat="1">
      <c r="A395" s="9"/>
      <c r="B395" s="68" t="s">
        <v>22</v>
      </c>
      <c r="C395" s="307">
        <v>2016</v>
      </c>
      <c r="D395" s="308">
        <v>2017</v>
      </c>
      <c r="E395" s="308">
        <v>2018</v>
      </c>
      <c r="F395" s="308">
        <v>2019</v>
      </c>
      <c r="G395" s="308">
        <v>2020</v>
      </c>
      <c r="H395" s="308">
        <v>2021</v>
      </c>
      <c r="I395" s="308">
        <v>2022</v>
      </c>
      <c r="J395" s="308">
        <v>2023</v>
      </c>
      <c r="K395" s="308">
        <v>2024</v>
      </c>
      <c r="L395" s="308">
        <v>2025</v>
      </c>
      <c r="S395" s="26"/>
    </row>
    <row r="396" spans="1:19" s="4" customFormat="1" ht="15.5">
      <c r="A396" s="9"/>
      <c r="B396" s="194" t="s">
        <v>105</v>
      </c>
      <c r="C396" s="309">
        <f>'Products x speed'!E27</f>
        <v>639935</v>
      </c>
      <c r="D396" s="310">
        <f>'Products x speed'!F27</f>
        <v>793812</v>
      </c>
      <c r="E396" s="310">
        <f>'Products x speed'!G27</f>
        <v>960639.5</v>
      </c>
      <c r="F396" s="310">
        <f>'Products x speed'!H27</f>
        <v>0</v>
      </c>
      <c r="G396" s="310">
        <f>'Products x speed'!I27</f>
        <v>0</v>
      </c>
      <c r="H396" s="310">
        <f>'Products x speed'!J27</f>
        <v>0</v>
      </c>
      <c r="I396" s="310">
        <f>'Products x speed'!K27</f>
        <v>0</v>
      </c>
      <c r="J396" s="310">
        <f>'Products x speed'!L27</f>
        <v>0</v>
      </c>
      <c r="K396" s="310">
        <f>'Products x speed'!M27</f>
        <v>0</v>
      </c>
      <c r="L396" s="310">
        <f>'Products x speed'!N27</f>
        <v>0</v>
      </c>
      <c r="S396" s="487">
        <f>SUM(C396:L398)</f>
        <v>5586397.5</v>
      </c>
    </row>
    <row r="397" spans="1:19" s="4" customFormat="1" ht="15.5">
      <c r="A397" s="9"/>
      <c r="B397" s="195" t="s">
        <v>104</v>
      </c>
      <c r="C397" s="311">
        <f>'Products x speed'!E28</f>
        <v>614294</v>
      </c>
      <c r="D397" s="312">
        <f>'Products x speed'!F28</f>
        <v>750519</v>
      </c>
      <c r="E397" s="312">
        <f>'Products x speed'!G28</f>
        <v>594327</v>
      </c>
      <c r="F397" s="312">
        <f>'Products x speed'!H28</f>
        <v>0</v>
      </c>
      <c r="G397" s="312">
        <f>'Products x speed'!I28</f>
        <v>0</v>
      </c>
      <c r="H397" s="312">
        <f>'Products x speed'!J28</f>
        <v>0</v>
      </c>
      <c r="I397" s="312">
        <f>'Products x speed'!K28</f>
        <v>0</v>
      </c>
      <c r="J397" s="312">
        <f>'Products x speed'!L28</f>
        <v>0</v>
      </c>
      <c r="K397" s="312">
        <f>'Products x speed'!M28</f>
        <v>0</v>
      </c>
      <c r="L397" s="312">
        <f>'Products x speed'!N28</f>
        <v>0</v>
      </c>
      <c r="S397" s="487">
        <f>SUM('Products x speed'!E27:N29)</f>
        <v>5586397.5</v>
      </c>
    </row>
    <row r="398" spans="1:19" s="4" customFormat="1" ht="15.5">
      <c r="A398" s="9"/>
      <c r="B398" s="214" t="s">
        <v>279</v>
      </c>
      <c r="C398" s="313">
        <f>'Products x speed'!E29</f>
        <v>275269</v>
      </c>
      <c r="D398" s="305">
        <f>'Products x speed'!F29</f>
        <v>466535</v>
      </c>
      <c r="E398" s="305">
        <f>'Products x speed'!G29</f>
        <v>491067</v>
      </c>
      <c r="F398" s="305">
        <f>'Products x speed'!H29</f>
        <v>0</v>
      </c>
      <c r="G398" s="305">
        <f>'Products x speed'!I29</f>
        <v>0</v>
      </c>
      <c r="H398" s="305">
        <f>'Products x speed'!J29</f>
        <v>0</v>
      </c>
      <c r="I398" s="305">
        <f>'Products x speed'!K29</f>
        <v>0</v>
      </c>
      <c r="J398" s="305">
        <f>'Products x speed'!L29</f>
        <v>0</v>
      </c>
      <c r="K398" s="305">
        <f>'Products x speed'!M29</f>
        <v>0</v>
      </c>
      <c r="L398" s="305">
        <f>'Products x speed'!N29</f>
        <v>0</v>
      </c>
      <c r="S398" s="487">
        <f>S396-S397</f>
        <v>0</v>
      </c>
    </row>
    <row r="399" spans="1:19" s="4" customFormat="1" ht="12.5">
      <c r="A399" s="9"/>
      <c r="C399" s="26"/>
      <c r="D399" s="26"/>
      <c r="E399" s="26"/>
      <c r="F399" s="26"/>
      <c r="G399" s="26"/>
      <c r="H399" s="26"/>
      <c r="I399" s="26"/>
      <c r="J399" s="26"/>
      <c r="K399" s="26"/>
      <c r="L399" s="26"/>
      <c r="S399" s="26"/>
    </row>
    <row r="400" spans="1:19" s="4" customFormat="1">
      <c r="A400" s="9"/>
      <c r="B400" s="68" t="s">
        <v>21</v>
      </c>
      <c r="C400" s="307">
        <v>2016</v>
      </c>
      <c r="D400" s="308">
        <v>2017</v>
      </c>
      <c r="E400" s="308">
        <v>2018</v>
      </c>
      <c r="F400" s="308">
        <v>2019</v>
      </c>
      <c r="G400" s="308">
        <v>2020</v>
      </c>
      <c r="H400" s="308">
        <v>2021</v>
      </c>
      <c r="I400" s="308">
        <v>2022</v>
      </c>
      <c r="J400" s="308">
        <v>2023</v>
      </c>
      <c r="K400" s="308">
        <v>2024</v>
      </c>
      <c r="L400" s="308">
        <v>2025</v>
      </c>
      <c r="S400" s="26"/>
    </row>
    <row r="401" spans="1:19" s="4" customFormat="1" ht="15.5">
      <c r="A401" s="9"/>
      <c r="B401" s="194" t="str">
        <f>B406</f>
        <v>100 m  40G QSFP+</v>
      </c>
      <c r="C401" s="314">
        <f t="shared" ref="C401:H403" si="53">IF(C396=0,"",C406*10^6/C396)</f>
        <v>96.595063887564976</v>
      </c>
      <c r="D401" s="315">
        <f t="shared" si="53"/>
        <v>80.379797575925679</v>
      </c>
      <c r="E401" s="315">
        <f t="shared" si="53"/>
        <v>58.660264540622045</v>
      </c>
      <c r="F401" s="315" t="str">
        <f t="shared" si="53"/>
        <v/>
      </c>
      <c r="G401" s="315" t="str">
        <f t="shared" si="53"/>
        <v/>
      </c>
      <c r="H401" s="315" t="str">
        <f t="shared" si="53"/>
        <v/>
      </c>
      <c r="I401" s="315" t="str">
        <f t="shared" ref="I401:J403" si="54">IF(I396=0,"",I406*10^6/I396)</f>
        <v/>
      </c>
      <c r="J401" s="315" t="str">
        <f t="shared" si="54"/>
        <v/>
      </c>
      <c r="K401" s="315" t="str">
        <f t="shared" ref="K401:L403" si="55">IF(K396=0,"",K406*10^6/K396)</f>
        <v/>
      </c>
      <c r="L401" s="315" t="str">
        <f t="shared" si="55"/>
        <v/>
      </c>
      <c r="S401" s="487">
        <f>SUM(C401:L403)</f>
        <v>1204.1514743527373</v>
      </c>
    </row>
    <row r="402" spans="1:19" s="4" customFormat="1" ht="15.5">
      <c r="A402" s="9"/>
      <c r="B402" s="195" t="str">
        <f>B407</f>
        <v>100 m  40G MM duplex</v>
      </c>
      <c r="C402" s="316">
        <f t="shared" si="53"/>
        <v>250</v>
      </c>
      <c r="D402" s="199">
        <f t="shared" si="53"/>
        <v>240</v>
      </c>
      <c r="E402" s="199">
        <f t="shared" si="53"/>
        <v>227</v>
      </c>
      <c r="F402" s="199" t="str">
        <f t="shared" si="53"/>
        <v/>
      </c>
      <c r="G402" s="199" t="str">
        <f t="shared" si="53"/>
        <v/>
      </c>
      <c r="H402" s="199" t="str">
        <f t="shared" si="53"/>
        <v/>
      </c>
      <c r="I402" s="199" t="str">
        <f t="shared" si="54"/>
        <v/>
      </c>
      <c r="J402" s="199" t="str">
        <f t="shared" si="54"/>
        <v/>
      </c>
      <c r="K402" s="199" t="str">
        <f t="shared" si="55"/>
        <v/>
      </c>
      <c r="L402" s="199" t="str">
        <f t="shared" si="55"/>
        <v/>
      </c>
      <c r="S402" s="487">
        <f>SUM('Products x speed'!E102:N104)</f>
        <v>1204.1514743527373</v>
      </c>
    </row>
    <row r="403" spans="1:19" s="4" customFormat="1" ht="15.5">
      <c r="A403" s="9"/>
      <c r="B403" s="214" t="str">
        <f>B408</f>
        <v>300 m  40 G eSR QSFP+</v>
      </c>
      <c r="C403" s="317">
        <f t="shared" si="53"/>
        <v>106.66614587912188</v>
      </c>
      <c r="D403" s="318">
        <f t="shared" si="53"/>
        <v>80.99928194026171</v>
      </c>
      <c r="E403" s="318">
        <f t="shared" si="53"/>
        <v>63.850920529241115</v>
      </c>
      <c r="F403" s="318" t="str">
        <f t="shared" si="53"/>
        <v/>
      </c>
      <c r="G403" s="318" t="str">
        <f t="shared" si="53"/>
        <v/>
      </c>
      <c r="H403" s="318" t="str">
        <f t="shared" si="53"/>
        <v/>
      </c>
      <c r="I403" s="318" t="str">
        <f t="shared" si="54"/>
        <v/>
      </c>
      <c r="J403" s="318" t="str">
        <f t="shared" si="54"/>
        <v/>
      </c>
      <c r="K403" s="318" t="str">
        <f t="shared" si="55"/>
        <v/>
      </c>
      <c r="L403" s="318" t="str">
        <f t="shared" si="55"/>
        <v/>
      </c>
      <c r="S403" s="487">
        <f>S401-S402</f>
        <v>0</v>
      </c>
    </row>
    <row r="404" spans="1:19" s="4" customFormat="1" ht="12.5">
      <c r="A404" s="9"/>
      <c r="S404" s="26"/>
    </row>
    <row r="405" spans="1:19" s="4" customFormat="1">
      <c r="A405" s="9"/>
      <c r="B405" s="68" t="s">
        <v>15</v>
      </c>
      <c r="C405" s="307">
        <v>2016</v>
      </c>
      <c r="D405" s="308">
        <v>2017</v>
      </c>
      <c r="E405" s="308">
        <v>2018</v>
      </c>
      <c r="F405" s="308">
        <v>2019</v>
      </c>
      <c r="G405" s="308">
        <v>2020</v>
      </c>
      <c r="H405" s="308">
        <v>2021</v>
      </c>
      <c r="I405" s="308">
        <v>2022</v>
      </c>
      <c r="J405" s="308">
        <v>2023</v>
      </c>
      <c r="K405" s="308">
        <v>2024</v>
      </c>
      <c r="L405" s="308">
        <v>2025</v>
      </c>
      <c r="S405" s="26"/>
    </row>
    <row r="406" spans="1:19" s="4" customFormat="1" ht="15.5">
      <c r="B406" s="194" t="str">
        <f>B396</f>
        <v>100 m  40G QSFP+</v>
      </c>
      <c r="C406" s="333">
        <f>'Products x speed'!E177</f>
        <v>61.814562208888887</v>
      </c>
      <c r="D406" s="334">
        <f>'Products x speed'!F177</f>
        <v>63.806447873340716</v>
      </c>
      <c r="E406" s="334">
        <f>'Products x speed'!G177</f>
        <v>56.351367198170891</v>
      </c>
      <c r="F406" s="334">
        <f>'Products x speed'!H177</f>
        <v>0</v>
      </c>
      <c r="G406" s="334">
        <f>'Products x speed'!I177</f>
        <v>0</v>
      </c>
      <c r="H406" s="334">
        <f>'Products x speed'!J177</f>
        <v>0</v>
      </c>
      <c r="I406" s="334">
        <f>'Products x speed'!K177</f>
        <v>0</v>
      </c>
      <c r="J406" s="334">
        <f>'Products x speed'!L177</f>
        <v>0</v>
      </c>
      <c r="K406" s="334">
        <f>'Products x speed'!M177</f>
        <v>0</v>
      </c>
      <c r="L406" s="334">
        <f>'Products x speed'!N177</f>
        <v>0</v>
      </c>
      <c r="S406" s="487">
        <f>SUM(C406:L409)</f>
        <v>1498.1772591638669</v>
      </c>
    </row>
    <row r="407" spans="1:19" s="4" customFormat="1" ht="15.5">
      <c r="A407" s="9"/>
      <c r="B407" s="195" t="str">
        <f>B397</f>
        <v>100 m  40G MM duplex</v>
      </c>
      <c r="C407" s="201">
        <f>'Products x speed'!E178</f>
        <v>153.5735</v>
      </c>
      <c r="D407" s="202">
        <f>'Products x speed'!F178</f>
        <v>180.12456</v>
      </c>
      <c r="E407" s="202">
        <f>'Products x speed'!G178</f>
        <v>134.912229</v>
      </c>
      <c r="F407" s="202">
        <f>'Products x speed'!H178</f>
        <v>0</v>
      </c>
      <c r="G407" s="202">
        <f>'Products x speed'!I178</f>
        <v>0</v>
      </c>
      <c r="H407" s="202">
        <f>'Products x speed'!J178</f>
        <v>0</v>
      </c>
      <c r="I407" s="202">
        <f>'Products x speed'!K178</f>
        <v>0</v>
      </c>
      <c r="J407" s="202">
        <f>'Products x speed'!L178</f>
        <v>0</v>
      </c>
      <c r="K407" s="202">
        <f>'Products x speed'!M178</f>
        <v>0</v>
      </c>
      <c r="L407" s="202">
        <f>'Products x speed'!N178</f>
        <v>0</v>
      </c>
      <c r="S407" s="487">
        <f>SUM('Products x speed'!E177:N179)*2</f>
        <v>1498.1772591638669</v>
      </c>
    </row>
    <row r="408" spans="1:19" s="4" customFormat="1" ht="15.5">
      <c r="A408" s="9"/>
      <c r="B408" s="214" t="str">
        <f>B398</f>
        <v>300 m  40 G eSR QSFP+</v>
      </c>
      <c r="C408" s="335">
        <f>'Products x speed'!E179</f>
        <v>29.361883310000003</v>
      </c>
      <c r="D408" s="336">
        <f>'Products x speed'!F179</f>
        <v>37.789000000000001</v>
      </c>
      <c r="E408" s="336">
        <f>'Products x speed'!G179</f>
        <v>31.355079991532847</v>
      </c>
      <c r="F408" s="336">
        <f>'Products x speed'!H179</f>
        <v>0</v>
      </c>
      <c r="G408" s="336">
        <f>'Products x speed'!I179</f>
        <v>0</v>
      </c>
      <c r="H408" s="336">
        <f>'Products x speed'!J179</f>
        <v>0</v>
      </c>
      <c r="I408" s="336">
        <f>'Products x speed'!K179</f>
        <v>0</v>
      </c>
      <c r="J408" s="336">
        <f>'Products x speed'!L179</f>
        <v>0</v>
      </c>
      <c r="K408" s="336">
        <f>'Products x speed'!M179</f>
        <v>0</v>
      </c>
      <c r="L408" s="336">
        <f>'Products x speed'!N179</f>
        <v>0</v>
      </c>
      <c r="S408" s="487">
        <f>S406-S407</f>
        <v>0</v>
      </c>
    </row>
    <row r="409" spans="1:19" s="4" customFormat="1">
      <c r="A409" s="9"/>
      <c r="B409" s="192" t="s">
        <v>170</v>
      </c>
      <c r="C409" s="317">
        <f t="shared" ref="C409:L409" si="56">SUM(C406:C408)</f>
        <v>244.74994551888886</v>
      </c>
      <c r="D409" s="318">
        <f t="shared" si="56"/>
        <v>281.72000787334071</v>
      </c>
      <c r="E409" s="318">
        <f t="shared" si="56"/>
        <v>222.61867618970373</v>
      </c>
      <c r="F409" s="318">
        <f t="shared" si="56"/>
        <v>0</v>
      </c>
      <c r="G409" s="318">
        <f t="shared" si="56"/>
        <v>0</v>
      </c>
      <c r="H409" s="318">
        <f t="shared" si="56"/>
        <v>0</v>
      </c>
      <c r="I409" s="318">
        <f t="shared" si="56"/>
        <v>0</v>
      </c>
      <c r="J409" s="318">
        <f t="shared" si="56"/>
        <v>0</v>
      </c>
      <c r="K409" s="318">
        <f t="shared" si="56"/>
        <v>0</v>
      </c>
      <c r="L409" s="318">
        <f t="shared" si="56"/>
        <v>0</v>
      </c>
      <c r="S409" s="26"/>
    </row>
    <row r="410" spans="1:19" s="4" customFormat="1" ht="12.5">
      <c r="A410" s="9"/>
      <c r="C410" s="58"/>
      <c r="D410" s="58"/>
      <c r="E410" s="58"/>
      <c r="F410" s="58"/>
      <c r="G410" s="58"/>
      <c r="H410" s="58"/>
      <c r="I410" s="58"/>
      <c r="J410" s="58"/>
      <c r="K410" s="58"/>
      <c r="L410" s="58"/>
      <c r="M410" s="58"/>
      <c r="N410" s="58"/>
      <c r="O410" s="58"/>
      <c r="Q410" s="58"/>
      <c r="R410" s="58"/>
      <c r="S410" s="26"/>
    </row>
    <row r="411" spans="1:19" s="4" customFormat="1" ht="21">
      <c r="A411" s="9"/>
      <c r="B411" s="14" t="s">
        <v>171</v>
      </c>
      <c r="C411" s="58"/>
      <c r="D411" s="58"/>
      <c r="E411" s="58"/>
      <c r="F411" s="58"/>
      <c r="G411" s="58"/>
      <c r="H411" s="58"/>
      <c r="I411" s="58"/>
      <c r="J411" s="58"/>
      <c r="K411" s="58"/>
      <c r="L411" s="58"/>
      <c r="M411" s="58"/>
      <c r="N411" s="58"/>
      <c r="O411" s="58"/>
      <c r="Q411" s="58"/>
      <c r="R411" s="58"/>
      <c r="S411" s="26"/>
    </row>
    <row r="412" spans="1:19" ht="21">
      <c r="B412" s="216" t="s">
        <v>22</v>
      </c>
      <c r="H412" s="216" t="s">
        <v>21</v>
      </c>
      <c r="O412" s="216" t="s">
        <v>15</v>
      </c>
    </row>
    <row r="413" spans="1:19" s="4" customFormat="1" ht="12.5">
      <c r="A413" s="9"/>
      <c r="C413" s="58"/>
      <c r="D413" s="58"/>
      <c r="E413" s="58"/>
      <c r="F413" s="58"/>
      <c r="G413" s="58"/>
      <c r="H413" s="58"/>
      <c r="I413" s="58"/>
      <c r="J413" s="58"/>
      <c r="K413" s="58"/>
      <c r="L413" s="58"/>
      <c r="M413" s="58"/>
      <c r="N413" s="58"/>
      <c r="O413" s="58"/>
      <c r="Q413" s="58"/>
      <c r="R413" s="58"/>
      <c r="S413" s="26"/>
    </row>
    <row r="414" spans="1:19" s="4" customFormat="1" ht="12.5">
      <c r="A414" s="9"/>
      <c r="S414" s="26"/>
    </row>
    <row r="415" spans="1:19" s="4" customFormat="1" ht="12.5">
      <c r="A415" s="9"/>
      <c r="S415" s="26"/>
    </row>
    <row r="416" spans="1:19" s="4" customFormat="1" ht="12.5">
      <c r="A416" s="9"/>
      <c r="S416" s="26"/>
    </row>
    <row r="417" spans="1:19" s="4" customFormat="1" ht="12.5">
      <c r="A417" s="9"/>
      <c r="S417" s="26"/>
    </row>
    <row r="418" spans="1:19" s="4" customFormat="1" ht="12.5">
      <c r="A418" s="9"/>
      <c r="S418" s="26"/>
    </row>
    <row r="419" spans="1:19" s="4" customFormat="1" ht="12.5">
      <c r="A419" s="9"/>
      <c r="S419" s="26"/>
    </row>
    <row r="420" spans="1:19" s="4" customFormat="1" ht="12.5">
      <c r="A420" s="9"/>
      <c r="S420" s="26"/>
    </row>
    <row r="421" spans="1:19" s="4" customFormat="1" ht="12.5">
      <c r="A421" s="9"/>
      <c r="S421" s="26"/>
    </row>
    <row r="422" spans="1:19" s="4" customFormat="1" ht="12.5">
      <c r="A422" s="9"/>
      <c r="S422" s="26"/>
    </row>
    <row r="423" spans="1:19" s="4" customFormat="1" ht="12.5">
      <c r="A423" s="9"/>
      <c r="S423" s="26"/>
    </row>
    <row r="424" spans="1:19" s="4" customFormat="1" ht="12.5">
      <c r="A424" s="9"/>
      <c r="S424" s="26"/>
    </row>
    <row r="425" spans="1:19" s="4" customFormat="1" ht="12.5">
      <c r="A425" s="9"/>
      <c r="S425" s="26"/>
    </row>
    <row r="426" spans="1:19" s="4" customFormat="1" ht="12.5">
      <c r="A426" s="9"/>
      <c r="S426" s="26"/>
    </row>
    <row r="427" spans="1:19" s="4" customFormat="1" ht="12.5">
      <c r="A427" s="9"/>
      <c r="S427" s="26"/>
    </row>
    <row r="428" spans="1:19" s="4" customFormat="1" ht="12.5">
      <c r="A428" s="9"/>
      <c r="S428" s="26"/>
    </row>
    <row r="429" spans="1:19" s="4" customFormat="1" ht="12.5">
      <c r="A429" s="9"/>
      <c r="S429" s="26"/>
    </row>
    <row r="430" spans="1:19" s="4" customFormat="1" ht="12.5">
      <c r="A430" s="9"/>
      <c r="S430" s="26"/>
    </row>
    <row r="431" spans="1:19" s="4" customFormat="1" ht="12.5">
      <c r="A431" s="9"/>
      <c r="S431" s="26"/>
    </row>
    <row r="432" spans="1:19" s="4" customFormat="1" ht="12.5">
      <c r="A432" s="9"/>
      <c r="S432" s="26"/>
    </row>
    <row r="433" spans="1:19" s="4" customFormat="1">
      <c r="A433" s="9"/>
      <c r="B433" s="68" t="s">
        <v>22</v>
      </c>
      <c r="C433" s="307">
        <v>2016</v>
      </c>
      <c r="D433" s="308">
        <v>2017</v>
      </c>
      <c r="E433" s="308">
        <v>2018</v>
      </c>
      <c r="F433" s="308">
        <v>2019</v>
      </c>
      <c r="G433" s="308">
        <v>2020</v>
      </c>
      <c r="H433" s="308">
        <v>2021</v>
      </c>
      <c r="I433" s="308">
        <v>2022</v>
      </c>
      <c r="J433" s="308">
        <v>2023</v>
      </c>
      <c r="K433" s="308">
        <v>2024</v>
      </c>
      <c r="L433" s="308">
        <v>2025</v>
      </c>
      <c r="S433" s="26"/>
    </row>
    <row r="434" spans="1:19" s="4" customFormat="1" ht="15.5">
      <c r="A434" s="9"/>
      <c r="B434" s="194" t="s">
        <v>106</v>
      </c>
      <c r="C434" s="130">
        <f>'Products x speed'!E30</f>
        <v>813790</v>
      </c>
      <c r="D434" s="131">
        <f>'Products x speed'!F30</f>
        <v>613640</v>
      </c>
      <c r="E434" s="131">
        <f>'Products x speed'!G30</f>
        <v>502708</v>
      </c>
      <c r="F434" s="131">
        <f>'Products x speed'!H30</f>
        <v>0</v>
      </c>
      <c r="G434" s="131">
        <f>'Products x speed'!I30</f>
        <v>0</v>
      </c>
      <c r="H434" s="131">
        <f>'Products x speed'!J30</f>
        <v>0</v>
      </c>
      <c r="I434" s="131">
        <f>'Products x speed'!K30</f>
        <v>0</v>
      </c>
      <c r="J434" s="131">
        <f>'Products x speed'!L30</f>
        <v>0</v>
      </c>
      <c r="K434" s="131">
        <f>'Products x speed'!M30</f>
        <v>0</v>
      </c>
      <c r="L434" s="131">
        <f>'Products x speed'!N30</f>
        <v>0</v>
      </c>
      <c r="S434" s="487">
        <f>SUM(C434:L440)</f>
        <v>9057908</v>
      </c>
    </row>
    <row r="435" spans="1:19" s="4" customFormat="1" ht="15.5">
      <c r="A435" s="9"/>
      <c r="B435" s="195" t="s">
        <v>89</v>
      </c>
      <c r="C435" s="132">
        <f>'Products x speed'!E31</f>
        <v>791</v>
      </c>
      <c r="D435" s="133">
        <f>'Products x speed'!F31</f>
        <v>402</v>
      </c>
      <c r="E435" s="133"/>
      <c r="F435" s="133"/>
      <c r="G435" s="133"/>
      <c r="H435" s="133"/>
      <c r="I435" s="133"/>
      <c r="J435" s="133"/>
      <c r="K435" s="133"/>
      <c r="L435" s="133"/>
      <c r="S435" s="487">
        <f>SUM('Products x speed'!E30:N35)*2</f>
        <v>9057908</v>
      </c>
    </row>
    <row r="436" spans="1:19" s="4" customFormat="1" ht="15.5">
      <c r="A436" s="9"/>
      <c r="B436" s="195" t="s">
        <v>107</v>
      </c>
      <c r="C436" s="132">
        <f>'Products x speed'!E32</f>
        <v>470209</v>
      </c>
      <c r="D436" s="133">
        <f>'Products x speed'!F32</f>
        <v>806616</v>
      </c>
      <c r="E436" s="133">
        <f>'Products x speed'!G32</f>
        <v>271821</v>
      </c>
      <c r="F436" s="133">
        <f>'Products x speed'!H32</f>
        <v>0</v>
      </c>
      <c r="G436" s="133">
        <f>'Products x speed'!I32</f>
        <v>0</v>
      </c>
      <c r="H436" s="133">
        <f>'Products x speed'!J32</f>
        <v>0</v>
      </c>
      <c r="I436" s="133">
        <f>'Products x speed'!K32</f>
        <v>0</v>
      </c>
      <c r="J436" s="133">
        <f>'Products x speed'!L32</f>
        <v>0</v>
      </c>
      <c r="K436" s="133">
        <f>'Products x speed'!M32</f>
        <v>0</v>
      </c>
      <c r="L436" s="133">
        <f>'Products x speed'!N32</f>
        <v>0</v>
      </c>
      <c r="S436" s="487">
        <f>S434-S435</f>
        <v>0</v>
      </c>
    </row>
    <row r="437" spans="1:19" s="4" customFormat="1">
      <c r="A437" s="9"/>
      <c r="B437" s="195" t="s">
        <v>90</v>
      </c>
      <c r="C437" s="132">
        <f>'Products x speed'!E33</f>
        <v>6655</v>
      </c>
      <c r="D437" s="133">
        <f>'Products x speed'!F33</f>
        <v>2846</v>
      </c>
      <c r="E437" s="133">
        <f>'Products x speed'!G33</f>
        <v>0</v>
      </c>
      <c r="F437" s="133">
        <f>'Products x speed'!H33</f>
        <v>0</v>
      </c>
      <c r="G437" s="133">
        <f>'Products x speed'!I33</f>
        <v>0</v>
      </c>
      <c r="H437" s="133">
        <f>'Products x speed'!J33</f>
        <v>0</v>
      </c>
      <c r="I437" s="133">
        <f>'Products x speed'!K33</f>
        <v>0</v>
      </c>
      <c r="J437" s="133">
        <f>'Products x speed'!L33</f>
        <v>0</v>
      </c>
      <c r="K437" s="133">
        <f>'Products x speed'!M33</f>
        <v>0</v>
      </c>
      <c r="L437" s="133">
        <f>'Products x speed'!N33</f>
        <v>0</v>
      </c>
      <c r="S437" s="26"/>
    </row>
    <row r="438" spans="1:19" s="4" customFormat="1">
      <c r="A438" s="9"/>
      <c r="B438" s="195" t="s">
        <v>108</v>
      </c>
      <c r="C438" s="132">
        <f>'Products x speed'!E34</f>
        <v>327231</v>
      </c>
      <c r="D438" s="133">
        <f>'Products x speed'!F34</f>
        <v>424358</v>
      </c>
      <c r="E438" s="133">
        <f>'Products x speed'!G34</f>
        <v>269337</v>
      </c>
      <c r="F438" s="133">
        <f>'Products x speed'!H34</f>
        <v>0</v>
      </c>
      <c r="G438" s="133">
        <f>'Products x speed'!I34</f>
        <v>0</v>
      </c>
      <c r="H438" s="133">
        <f>'Products x speed'!J34</f>
        <v>0</v>
      </c>
      <c r="I438" s="133">
        <f>'Products x speed'!K34</f>
        <v>0</v>
      </c>
      <c r="J438" s="133">
        <f>'Products x speed'!L34</f>
        <v>0</v>
      </c>
      <c r="K438" s="133">
        <f>'Products x speed'!M34</f>
        <v>0</v>
      </c>
      <c r="L438" s="133">
        <f>'Products x speed'!N34</f>
        <v>0</v>
      </c>
      <c r="S438" s="26"/>
    </row>
    <row r="439" spans="1:19" s="4" customFormat="1">
      <c r="A439" s="9"/>
      <c r="B439" s="214" t="s">
        <v>91</v>
      </c>
      <c r="C439" s="134">
        <f>'Products x speed'!E35</f>
        <v>4894</v>
      </c>
      <c r="D439" s="135">
        <f>'Products x speed'!F35</f>
        <v>5432</v>
      </c>
      <c r="E439" s="135">
        <f>'Products x speed'!G35</f>
        <v>8224</v>
      </c>
      <c r="F439" s="135">
        <f>'Products x speed'!H35</f>
        <v>0</v>
      </c>
      <c r="G439" s="135">
        <f>'Products x speed'!I35</f>
        <v>0</v>
      </c>
      <c r="H439" s="135">
        <f>'Products x speed'!J35</f>
        <v>0</v>
      </c>
      <c r="I439" s="135">
        <f>'Products x speed'!K35</f>
        <v>0</v>
      </c>
      <c r="J439" s="135">
        <f>'Products x speed'!L35</f>
        <v>0</v>
      </c>
      <c r="K439" s="135">
        <f>'Products x speed'!M35</f>
        <v>0</v>
      </c>
      <c r="L439" s="135">
        <f>'Products x speed'!N35</f>
        <v>0</v>
      </c>
      <c r="S439" s="26"/>
    </row>
    <row r="440" spans="1:19" s="4" customFormat="1">
      <c r="A440" s="9"/>
      <c r="B440" s="192" t="s">
        <v>88</v>
      </c>
      <c r="C440" s="313">
        <f t="shared" ref="C440:L440" si="57">SUM(C434:C439)</f>
        <v>1623570</v>
      </c>
      <c r="D440" s="305">
        <f t="shared" si="57"/>
        <v>1853294</v>
      </c>
      <c r="E440" s="305">
        <f t="shared" si="57"/>
        <v>1052090</v>
      </c>
      <c r="F440" s="305">
        <f t="shared" si="57"/>
        <v>0</v>
      </c>
      <c r="G440" s="305">
        <f t="shared" si="57"/>
        <v>0</v>
      </c>
      <c r="H440" s="305">
        <f t="shared" si="57"/>
        <v>0</v>
      </c>
      <c r="I440" s="305">
        <f t="shared" si="57"/>
        <v>0</v>
      </c>
      <c r="J440" s="305">
        <f t="shared" si="57"/>
        <v>0</v>
      </c>
      <c r="K440" s="305">
        <f t="shared" si="57"/>
        <v>0</v>
      </c>
      <c r="L440" s="305">
        <f t="shared" si="57"/>
        <v>0</v>
      </c>
      <c r="S440" s="26"/>
    </row>
    <row r="441" spans="1:19" s="4" customFormat="1">
      <c r="A441" s="9"/>
      <c r="B441" s="68"/>
      <c r="S441" s="26"/>
    </row>
    <row r="442" spans="1:19" s="4" customFormat="1">
      <c r="A442" s="9"/>
      <c r="B442" s="68" t="s">
        <v>21</v>
      </c>
      <c r="C442" s="302">
        <v>2016</v>
      </c>
      <c r="D442" s="303">
        <v>2017</v>
      </c>
      <c r="E442" s="303">
        <v>2018</v>
      </c>
      <c r="F442" s="303">
        <v>2019</v>
      </c>
      <c r="G442" s="303">
        <v>2020</v>
      </c>
      <c r="H442" s="303">
        <v>2021</v>
      </c>
      <c r="I442" s="303">
        <v>2022</v>
      </c>
      <c r="J442" s="303">
        <v>2023</v>
      </c>
      <c r="K442" s="303">
        <v>2024</v>
      </c>
      <c r="L442" s="303">
        <v>2025</v>
      </c>
      <c r="S442" s="26"/>
    </row>
    <row r="443" spans="1:19" s="4" customFormat="1" ht="15.5">
      <c r="A443" s="9"/>
      <c r="B443" s="194" t="str">
        <f t="shared" ref="B443:B449" si="58">B434</f>
        <v>500m 40G PSM4 QSFP+</v>
      </c>
      <c r="C443" s="144">
        <f t="shared" ref="C443:L443" si="59">IF(C434=0,"",(C452*10^6)/C434)</f>
        <v>253.19068527507093</v>
      </c>
      <c r="D443" s="142">
        <f t="shared" si="59"/>
        <v>262.79055146339874</v>
      </c>
      <c r="E443" s="142">
        <f t="shared" si="59"/>
        <v>251.75081757202989</v>
      </c>
      <c r="F443" s="142" t="str">
        <f t="shared" si="59"/>
        <v/>
      </c>
      <c r="G443" s="142" t="str">
        <f t="shared" si="59"/>
        <v/>
      </c>
      <c r="H443" s="142" t="str">
        <f t="shared" si="59"/>
        <v/>
      </c>
      <c r="I443" s="142" t="str">
        <f t="shared" si="59"/>
        <v/>
      </c>
      <c r="J443" s="142" t="str">
        <f t="shared" si="59"/>
        <v/>
      </c>
      <c r="K443" s="142" t="str">
        <f t="shared" si="59"/>
        <v/>
      </c>
      <c r="L443" s="142" t="str">
        <f t="shared" si="59"/>
        <v/>
      </c>
      <c r="S443" s="487">
        <f>SUM(C443:L448)</f>
        <v>19718.191892970382</v>
      </c>
    </row>
    <row r="444" spans="1:19" s="4" customFormat="1" ht="15.5">
      <c r="A444" s="9"/>
      <c r="B444" s="195" t="str">
        <f t="shared" si="58"/>
        <v>2 km  40G (FR) CFP</v>
      </c>
      <c r="C444" s="144">
        <f t="shared" ref="C444:D448" si="60">IF(C435=0,"",(C453*10^6)/C435)</f>
        <v>4569.894941368153</v>
      </c>
      <c r="D444" s="142">
        <f t="shared" si="60"/>
        <v>5251.681208639473</v>
      </c>
      <c r="E444" s="142"/>
      <c r="F444" s="142"/>
      <c r="G444" s="142"/>
      <c r="H444" s="142"/>
      <c r="I444" s="142"/>
      <c r="J444" s="142"/>
      <c r="K444" s="142"/>
      <c r="L444" s="142"/>
      <c r="S444" s="487">
        <f>SUM('Products x speed'!E105:N110)</f>
        <v>19718.191892970382</v>
      </c>
    </row>
    <row r="445" spans="1:19" s="4" customFormat="1" ht="15.5">
      <c r="A445" s="9"/>
      <c r="B445" s="195" t="str">
        <f t="shared" si="58"/>
        <v>2 km 40G LR4 subspec QSFP+</v>
      </c>
      <c r="C445" s="144">
        <f t="shared" si="60"/>
        <v>377.60055209491952</v>
      </c>
      <c r="D445" s="142">
        <f t="shared" si="60"/>
        <v>343.5254726908467</v>
      </c>
      <c r="E445" s="142">
        <f t="shared" ref="E445:H448" si="61">IF(E436=0,"",(E454*10^6)/E436)</f>
        <v>303.68617678545809</v>
      </c>
      <c r="F445" s="142" t="str">
        <f t="shared" si="61"/>
        <v/>
      </c>
      <c r="G445" s="142" t="str">
        <f t="shared" si="61"/>
        <v/>
      </c>
      <c r="H445" s="142" t="str">
        <f t="shared" si="61"/>
        <v/>
      </c>
      <c r="I445" s="142" t="str">
        <f t="shared" ref="I445:J447" si="62">IF(I436=0,"",(I454*10^6)/I436)</f>
        <v/>
      </c>
      <c r="J445" s="142" t="str">
        <f t="shared" si="62"/>
        <v/>
      </c>
      <c r="K445" s="142" t="str">
        <f t="shared" ref="K445:L447" si="63">IF(K436=0,"",(K454*10^6)/K436)</f>
        <v/>
      </c>
      <c r="L445" s="142" t="str">
        <f t="shared" si="63"/>
        <v/>
      </c>
      <c r="S445" s="487">
        <f>S443-S444</f>
        <v>0</v>
      </c>
    </row>
    <row r="446" spans="1:19" s="4" customFormat="1">
      <c r="A446" s="9"/>
      <c r="B446" s="195" t="str">
        <f t="shared" si="58"/>
        <v>10 km 40G CFP</v>
      </c>
      <c r="C446" s="144">
        <f t="shared" si="60"/>
        <v>1174.9655306999969</v>
      </c>
      <c r="D446" s="142">
        <f t="shared" si="60"/>
        <v>1350.8997571323105</v>
      </c>
      <c r="E446" s="142"/>
      <c r="F446" s="142"/>
      <c r="G446" s="142"/>
      <c r="H446" s="142"/>
      <c r="I446" s="142"/>
      <c r="J446" s="142"/>
      <c r="K446" s="142"/>
      <c r="L446" s="142"/>
      <c r="S446" s="26"/>
    </row>
    <row r="447" spans="1:19" s="4" customFormat="1">
      <c r="A447" s="9"/>
      <c r="B447" s="195" t="str">
        <f t="shared" si="58"/>
        <v>10 km  40G QSFP+</v>
      </c>
      <c r="C447" s="144">
        <f t="shared" si="60"/>
        <v>427.72742888770347</v>
      </c>
      <c r="D447" s="142">
        <f t="shared" si="60"/>
        <v>401.36672508917627</v>
      </c>
      <c r="E447" s="142">
        <f t="shared" si="61"/>
        <v>361.77095787062291</v>
      </c>
      <c r="F447" s="142" t="str">
        <f t="shared" si="61"/>
        <v/>
      </c>
      <c r="G447" s="142" t="str">
        <f t="shared" si="61"/>
        <v/>
      </c>
      <c r="H447" s="142" t="str">
        <f t="shared" si="61"/>
        <v/>
      </c>
      <c r="I447" s="142" t="str">
        <f t="shared" si="62"/>
        <v/>
      </c>
      <c r="J447" s="142" t="str">
        <f t="shared" si="62"/>
        <v/>
      </c>
      <c r="K447" s="142" t="str">
        <f t="shared" si="63"/>
        <v/>
      </c>
      <c r="L447" s="142" t="str">
        <f t="shared" si="63"/>
        <v/>
      </c>
      <c r="S447" s="26"/>
    </row>
    <row r="448" spans="1:19" s="4" customFormat="1">
      <c r="A448" s="9"/>
      <c r="B448" s="214" t="str">
        <f t="shared" si="58"/>
        <v>40 km 40G all</v>
      </c>
      <c r="C448" s="148">
        <f t="shared" si="60"/>
        <v>1673.0572324239708</v>
      </c>
      <c r="D448" s="138">
        <f t="shared" si="60"/>
        <v>1459.2330281290015</v>
      </c>
      <c r="E448" s="138">
        <f t="shared" si="61"/>
        <v>1255.0508268482483</v>
      </c>
      <c r="F448" s="138" t="str">
        <f t="shared" si="61"/>
        <v/>
      </c>
      <c r="G448" s="138" t="str">
        <f t="shared" si="61"/>
        <v/>
      </c>
      <c r="H448" s="138" t="str">
        <f t="shared" si="61"/>
        <v/>
      </c>
      <c r="I448" s="138" t="str">
        <f t="shared" ref="I448:K449" si="64">IF(I439=0,"",(I457*10^6)/I439)</f>
        <v/>
      </c>
      <c r="J448" s="138" t="str">
        <f t="shared" si="64"/>
        <v/>
      </c>
      <c r="K448" s="138" t="str">
        <f t="shared" si="64"/>
        <v/>
      </c>
      <c r="L448" s="138" t="str">
        <f>IF(L439=0,"",(L457*10^6)/L439)</f>
        <v/>
      </c>
      <c r="S448" s="26"/>
    </row>
    <row r="449" spans="1:19" s="4" customFormat="1">
      <c r="A449" s="9"/>
      <c r="B449" s="192" t="str">
        <f t="shared" si="58"/>
        <v>40G LR total</v>
      </c>
      <c r="C449" s="148">
        <f t="shared" ref="C449:H449" si="65">IF(C440=0,"",(C458*10^6)/C440)</f>
        <v>334.5608902931599</v>
      </c>
      <c r="D449" s="138">
        <f t="shared" si="65"/>
        <v>335.91945356152939</v>
      </c>
      <c r="E449" s="138">
        <f t="shared" si="65"/>
        <v>301.17696465131297</v>
      </c>
      <c r="F449" s="138" t="str">
        <f t="shared" si="65"/>
        <v/>
      </c>
      <c r="G449" s="138" t="str">
        <f t="shared" si="65"/>
        <v/>
      </c>
      <c r="H449" s="138" t="str">
        <f t="shared" si="65"/>
        <v/>
      </c>
      <c r="I449" s="138" t="str">
        <f t="shared" si="64"/>
        <v/>
      </c>
      <c r="J449" s="138" t="str">
        <f t="shared" si="64"/>
        <v/>
      </c>
      <c r="K449" s="138" t="str">
        <f t="shared" si="64"/>
        <v/>
      </c>
      <c r="L449" s="138" t="str">
        <f>IF(L440=0,"",(L458*10^6)/L440)</f>
        <v/>
      </c>
      <c r="S449" s="26"/>
    </row>
    <row r="450" spans="1:19" s="4" customFormat="1" ht="12.5">
      <c r="A450" s="9"/>
      <c r="C450" s="26"/>
      <c r="D450" s="26"/>
      <c r="E450" s="26"/>
      <c r="F450" s="26"/>
      <c r="G450" s="26"/>
      <c r="H450" s="26"/>
      <c r="I450" s="26"/>
      <c r="J450" s="26"/>
      <c r="K450" s="26"/>
      <c r="L450" s="26"/>
      <c r="S450" s="26"/>
    </row>
    <row r="451" spans="1:19">
      <c r="A451" s="9"/>
      <c r="B451" s="68" t="s">
        <v>15</v>
      </c>
      <c r="C451" s="307">
        <v>2016</v>
      </c>
      <c r="D451" s="308">
        <v>2017</v>
      </c>
      <c r="E451" s="308">
        <v>2018</v>
      </c>
      <c r="F451" s="308">
        <v>2019</v>
      </c>
      <c r="G451" s="308">
        <v>2020</v>
      </c>
      <c r="H451" s="308">
        <v>2021</v>
      </c>
      <c r="I451" s="308">
        <v>2022</v>
      </c>
      <c r="J451" s="308">
        <v>2023</v>
      </c>
      <c r="K451" s="308">
        <v>2024</v>
      </c>
      <c r="L451" s="308">
        <v>2025</v>
      </c>
    </row>
    <row r="452" spans="1:19" s="4" customFormat="1" ht="15.5">
      <c r="A452" s="9"/>
      <c r="B452" s="194" t="str">
        <f t="shared" ref="B452:B457" si="66">B434</f>
        <v>500m 40G PSM4 QSFP+</v>
      </c>
      <c r="C452" s="143">
        <f>'Products x speed'!E180</f>
        <v>206.04404776999999</v>
      </c>
      <c r="D452" s="140">
        <f>'Products x speed'!F180</f>
        <v>161.25879399999999</v>
      </c>
      <c r="E452" s="140">
        <f>'Products x speed'!G180</f>
        <v>126.55715000000001</v>
      </c>
      <c r="F452" s="140">
        <f>'Products x speed'!H180</f>
        <v>0</v>
      </c>
      <c r="G452" s="140">
        <f>'Products x speed'!I180</f>
        <v>0</v>
      </c>
      <c r="H452" s="140">
        <f>'Products x speed'!J180</f>
        <v>0</v>
      </c>
      <c r="I452" s="219">
        <f>'Products x speed'!K180</f>
        <v>0</v>
      </c>
      <c r="J452" s="219">
        <f>'Products x speed'!L180</f>
        <v>0</v>
      </c>
      <c r="K452" s="219">
        <f>'Products x speed'!M180</f>
        <v>0</v>
      </c>
      <c r="L452" s="219">
        <f>'Products x speed'!N180</f>
        <v>0</v>
      </c>
      <c r="S452" s="487">
        <f>SUM(C452:L458)</f>
        <v>2965.2116103242533</v>
      </c>
    </row>
    <row r="453" spans="1:19" s="4" customFormat="1" ht="15.5">
      <c r="A453" s="9"/>
      <c r="B453" s="195" t="str">
        <f t="shared" si="66"/>
        <v>2 km  40G (FR) CFP</v>
      </c>
      <c r="C453" s="144">
        <f>'Products x speed'!E181</f>
        <v>3.6147868986222087</v>
      </c>
      <c r="D453" s="142">
        <f>'Products x speed'!F181</f>
        <v>2.1111758458730683</v>
      </c>
      <c r="E453" s="142">
        <f>'Products x speed'!G181</f>
        <v>0</v>
      </c>
      <c r="F453" s="142">
        <f>'Products x speed'!H181</f>
        <v>0</v>
      </c>
      <c r="G453" s="142">
        <f>'Products x speed'!I181</f>
        <v>0</v>
      </c>
      <c r="H453" s="142">
        <f>'Products x speed'!J181</f>
        <v>0</v>
      </c>
      <c r="I453" s="142">
        <f>'Products x speed'!K181</f>
        <v>0</v>
      </c>
      <c r="J453" s="142">
        <f>'Products x speed'!L181</f>
        <v>0</v>
      </c>
      <c r="K453" s="142">
        <f>'Products x speed'!M181</f>
        <v>0</v>
      </c>
      <c r="L453" s="142">
        <f>'Products x speed'!N181</f>
        <v>0</v>
      </c>
      <c r="S453" s="487">
        <f>SUM('Products x speed'!E180:N185)*2</f>
        <v>2965.2116103242533</v>
      </c>
    </row>
    <row r="454" spans="1:19" s="4" customFormat="1" ht="15.5">
      <c r="A454" s="9"/>
      <c r="B454" s="195" t="str">
        <f t="shared" si="66"/>
        <v>2 km 40G LR4 subspec QSFP+</v>
      </c>
      <c r="C454" s="144">
        <f>'Products x speed'!E182</f>
        <v>177.55117799999999</v>
      </c>
      <c r="D454" s="142">
        <f>'Products x speed'!F182</f>
        <v>277.09314268000003</v>
      </c>
      <c r="E454" s="142">
        <f>'Products x speed'!G182</f>
        <v>82.548280259999999</v>
      </c>
      <c r="F454" s="142">
        <f>'Products x speed'!H182</f>
        <v>0</v>
      </c>
      <c r="G454" s="142">
        <f>'Products x speed'!I182</f>
        <v>0</v>
      </c>
      <c r="H454" s="142">
        <f>'Products x speed'!J182</f>
        <v>0</v>
      </c>
      <c r="I454" s="142">
        <f>'Products x speed'!K182</f>
        <v>0</v>
      </c>
      <c r="J454" s="217">
        <f>'Products x speed'!L182</f>
        <v>0</v>
      </c>
      <c r="K454" s="142">
        <f>'Products x speed'!M182</f>
        <v>0</v>
      </c>
      <c r="L454" s="142">
        <f>'Products x speed'!N182</f>
        <v>0</v>
      </c>
      <c r="S454" s="487">
        <f>S452-S453</f>
        <v>0</v>
      </c>
    </row>
    <row r="455" spans="1:19" s="4" customFormat="1">
      <c r="A455" s="9"/>
      <c r="B455" s="195" t="str">
        <f t="shared" si="66"/>
        <v>10 km 40G CFP</v>
      </c>
      <c r="C455" s="343">
        <f>'Products x speed'!E183</f>
        <v>7.8193956068084791</v>
      </c>
      <c r="D455" s="217">
        <f>'Products x speed'!F183</f>
        <v>3.8446607087985556</v>
      </c>
      <c r="E455" s="217">
        <f>'Products x speed'!G183</f>
        <v>0</v>
      </c>
      <c r="F455" s="217">
        <f>'Products x speed'!H183</f>
        <v>0</v>
      </c>
      <c r="G455" s="217">
        <f>'Products x speed'!I183</f>
        <v>0</v>
      </c>
      <c r="H455" s="217">
        <f>'Products x speed'!J183</f>
        <v>0</v>
      </c>
      <c r="I455" s="217">
        <f>'Products x speed'!K183</f>
        <v>0</v>
      </c>
      <c r="J455" s="217">
        <f>'Products x speed'!L183</f>
        <v>0</v>
      </c>
      <c r="K455" s="217">
        <f>'Products x speed'!M183</f>
        <v>0</v>
      </c>
      <c r="L455" s="217">
        <f>'Products x speed'!N183</f>
        <v>0</v>
      </c>
      <c r="S455" s="26"/>
    </row>
    <row r="456" spans="1:19" s="4" customFormat="1">
      <c r="A456" s="9"/>
      <c r="B456" s="195" t="str">
        <f t="shared" si="66"/>
        <v>10 km  40G QSFP+</v>
      </c>
      <c r="C456" s="144">
        <f>'Products x speed'!E184</f>
        <v>139.9656742823521</v>
      </c>
      <c r="D456" s="142">
        <f>'Products x speed'!F184</f>
        <v>170.32318072539266</v>
      </c>
      <c r="E456" s="142">
        <f>'Products x speed'!G184</f>
        <v>97.438304479999957</v>
      </c>
      <c r="F456" s="142">
        <f>'Products x speed'!H184</f>
        <v>0</v>
      </c>
      <c r="G456" s="142">
        <f>'Products x speed'!I184</f>
        <v>0</v>
      </c>
      <c r="H456" s="142">
        <f>'Products x speed'!J184</f>
        <v>0</v>
      </c>
      <c r="I456" s="217">
        <f>'Products x speed'!K184</f>
        <v>0</v>
      </c>
      <c r="J456" s="217">
        <f>'Products x speed'!L184</f>
        <v>0</v>
      </c>
      <c r="K456" s="217">
        <f>'Products x speed'!M184</f>
        <v>0</v>
      </c>
      <c r="L456" s="217">
        <f>'Products x speed'!N184</f>
        <v>0</v>
      </c>
      <c r="S456" s="26"/>
    </row>
    <row r="457" spans="1:19" s="4" customFormat="1">
      <c r="A457" s="9"/>
      <c r="B457" s="214" t="str">
        <f t="shared" si="66"/>
        <v>40 km 40G all</v>
      </c>
      <c r="C457" s="509">
        <f>'Products x speed'!E185</f>
        <v>8.1879420954829136</v>
      </c>
      <c r="D457" s="218">
        <f>'Products x speed'!F185</f>
        <v>7.9265538087967364</v>
      </c>
      <c r="E457" s="218">
        <f>'Products x speed'!G185</f>
        <v>10.321537999999995</v>
      </c>
      <c r="F457" s="218">
        <f>'Products x speed'!H185</f>
        <v>0</v>
      </c>
      <c r="G457" s="218">
        <f>'Products x speed'!I185</f>
        <v>0</v>
      </c>
      <c r="H457" s="218">
        <f>'Products x speed'!J185</f>
        <v>0</v>
      </c>
      <c r="I457" s="218">
        <f>'Products x speed'!K185</f>
        <v>0</v>
      </c>
      <c r="J457" s="218">
        <f>'Products x speed'!L185</f>
        <v>0</v>
      </c>
      <c r="K457" s="218">
        <f>'Products x speed'!M185</f>
        <v>0</v>
      </c>
      <c r="L457" s="218">
        <f>'Products x speed'!N185</f>
        <v>0</v>
      </c>
      <c r="S457" s="26"/>
    </row>
    <row r="458" spans="1:19" s="4" customFormat="1">
      <c r="A458" s="9"/>
      <c r="B458" s="213" t="s">
        <v>171</v>
      </c>
      <c r="C458" s="138">
        <f t="shared" ref="C458:L458" si="67">SUM(C452:C457)</f>
        <v>543.18302465326565</v>
      </c>
      <c r="D458" s="138">
        <f t="shared" si="67"/>
        <v>622.557507768861</v>
      </c>
      <c r="E458" s="138">
        <f t="shared" si="67"/>
        <v>316.86527273999991</v>
      </c>
      <c r="F458" s="138">
        <f t="shared" si="67"/>
        <v>0</v>
      </c>
      <c r="G458" s="138">
        <f t="shared" si="67"/>
        <v>0</v>
      </c>
      <c r="H458" s="138">
        <f t="shared" si="67"/>
        <v>0</v>
      </c>
      <c r="I458" s="138">
        <f t="shared" si="67"/>
        <v>0</v>
      </c>
      <c r="J458" s="138">
        <f t="shared" si="67"/>
        <v>0</v>
      </c>
      <c r="K458" s="138">
        <f t="shared" si="67"/>
        <v>0</v>
      </c>
      <c r="L458" s="138">
        <f t="shared" si="67"/>
        <v>0</v>
      </c>
      <c r="S458" s="26"/>
    </row>
    <row r="459" spans="1:19" s="4" customFormat="1">
      <c r="A459" s="9"/>
      <c r="B459" s="196"/>
      <c r="C459" s="142"/>
      <c r="D459" s="142"/>
      <c r="E459" s="142"/>
      <c r="F459" s="142"/>
      <c r="G459" s="142"/>
      <c r="H459" s="142"/>
      <c r="I459" s="142"/>
      <c r="J459" s="142"/>
      <c r="K459" s="142"/>
      <c r="L459" s="142"/>
      <c r="S459" s="26"/>
    </row>
    <row r="460" spans="1:19" s="4" customFormat="1" ht="12.5">
      <c r="A460" s="9"/>
      <c r="S460" s="26"/>
    </row>
    <row r="461" spans="1:19" ht="21">
      <c r="B461" s="125" t="s">
        <v>274</v>
      </c>
    </row>
    <row r="462" spans="1:19" ht="14.5" customHeight="1">
      <c r="B462" s="125"/>
    </row>
    <row r="482" spans="1:19" ht="15.5">
      <c r="B482" s="103" t="s">
        <v>275</v>
      </c>
      <c r="C482" s="307">
        <v>2016</v>
      </c>
      <c r="D482" s="308">
        <v>2017</v>
      </c>
      <c r="E482" s="308">
        <v>2018</v>
      </c>
      <c r="F482" s="308">
        <v>2019</v>
      </c>
      <c r="G482" s="308">
        <v>2020</v>
      </c>
      <c r="H482" s="308">
        <v>2021</v>
      </c>
      <c r="I482" s="308">
        <v>2022</v>
      </c>
      <c r="J482" s="308">
        <v>2023</v>
      </c>
      <c r="K482" s="308">
        <v>2024</v>
      </c>
      <c r="L482" s="308">
        <v>2025</v>
      </c>
    </row>
    <row r="483" spans="1:19" ht="15.5">
      <c r="B483" s="194" t="str">
        <f>'Products x speed'!C36</f>
        <v>100 m</v>
      </c>
      <c r="C483" s="130"/>
      <c r="D483" s="131"/>
      <c r="E483" s="131">
        <f>'Products x speed'!G36</f>
        <v>0</v>
      </c>
      <c r="F483" s="131">
        <f>'Products x speed'!H36</f>
        <v>0</v>
      </c>
      <c r="G483" s="131">
        <f>'Products x speed'!I36</f>
        <v>0</v>
      </c>
      <c r="H483" s="131">
        <f>'Products x speed'!J36</f>
        <v>0</v>
      </c>
      <c r="I483" s="131">
        <f>'Products x speed'!K36</f>
        <v>0</v>
      </c>
      <c r="J483" s="131">
        <f>'Products x speed'!L36</f>
        <v>0</v>
      </c>
      <c r="K483" s="131">
        <f>'Products x speed'!M36</f>
        <v>0</v>
      </c>
      <c r="L483" s="131">
        <f>'Products x speed'!N36</f>
        <v>0</v>
      </c>
      <c r="S483" s="487">
        <f>SUM(C483:L488)</f>
        <v>0</v>
      </c>
    </row>
    <row r="484" spans="1:19" ht="15.5">
      <c r="B484" s="195" t="str">
        <f>'Products x speed'!C37</f>
        <v>2 km</v>
      </c>
      <c r="C484" s="132"/>
      <c r="D484" s="133"/>
      <c r="E484" s="133">
        <f>'Products x speed'!G37</f>
        <v>0</v>
      </c>
      <c r="F484" s="133">
        <f>'Products x speed'!H37</f>
        <v>0</v>
      </c>
      <c r="G484" s="133">
        <f>'Products x speed'!I37</f>
        <v>0</v>
      </c>
      <c r="H484" s="133">
        <f>'Products x speed'!J37</f>
        <v>0</v>
      </c>
      <c r="I484" s="133">
        <f>'Products x speed'!K37</f>
        <v>0</v>
      </c>
      <c r="J484" s="133">
        <f>'Products x speed'!L37</f>
        <v>0</v>
      </c>
      <c r="K484" s="133">
        <f>'Products x speed'!M37</f>
        <v>0</v>
      </c>
      <c r="L484" s="133">
        <f>'Products x speed'!N37</f>
        <v>0</v>
      </c>
      <c r="S484" s="487">
        <f>SUM('Products x speed'!E36:N40)*2</f>
        <v>0</v>
      </c>
    </row>
    <row r="485" spans="1:19" ht="15.5">
      <c r="B485" s="195" t="str">
        <f>'Products x speed'!C38</f>
        <v>10 km</v>
      </c>
      <c r="C485" s="132"/>
      <c r="D485" s="133"/>
      <c r="E485" s="133">
        <f>'Products x speed'!G38</f>
        <v>0</v>
      </c>
      <c r="F485" s="133">
        <f>'Products x speed'!H38</f>
        <v>0</v>
      </c>
      <c r="G485" s="133">
        <f>'Products x speed'!I38</f>
        <v>0</v>
      </c>
      <c r="H485" s="133">
        <f>'Products x speed'!J38</f>
        <v>0</v>
      </c>
      <c r="I485" s="133">
        <f>'Products x speed'!K38</f>
        <v>0</v>
      </c>
      <c r="J485" s="133">
        <f>'Products x speed'!L38</f>
        <v>0</v>
      </c>
      <c r="K485" s="133">
        <f>'Products x speed'!M38</f>
        <v>0</v>
      </c>
      <c r="L485" s="133">
        <f>'Products x speed'!N38</f>
        <v>0</v>
      </c>
      <c r="S485" s="489">
        <f>S483-S484</f>
        <v>0</v>
      </c>
    </row>
    <row r="486" spans="1:19" ht="15.5">
      <c r="B486" s="195" t="s">
        <v>57</v>
      </c>
      <c r="C486" s="132"/>
      <c r="D486" s="133"/>
      <c r="E486" s="133">
        <f>'Products x speed'!G39</f>
        <v>0</v>
      </c>
      <c r="F486" s="133">
        <f>'Products x speed'!H39</f>
        <v>0</v>
      </c>
      <c r="G486" s="133">
        <f>'Products x speed'!I39</f>
        <v>0</v>
      </c>
      <c r="H486" s="133">
        <f>'Products x speed'!J39</f>
        <v>0</v>
      </c>
      <c r="I486" s="133">
        <f>'Products x speed'!K39</f>
        <v>0</v>
      </c>
      <c r="J486" s="133">
        <f>'Products x speed'!L39</f>
        <v>0</v>
      </c>
      <c r="K486" s="133">
        <f>'Products x speed'!M39</f>
        <v>0</v>
      </c>
      <c r="L486" s="133">
        <f>'Products x speed'!N39</f>
        <v>0</v>
      </c>
      <c r="S486" s="489"/>
    </row>
    <row r="487" spans="1:19" ht="15.5">
      <c r="B487" s="195" t="s">
        <v>59</v>
      </c>
      <c r="C487" s="134"/>
      <c r="D487" s="135"/>
      <c r="E487" s="135">
        <f>'Products x speed'!G40</f>
        <v>0</v>
      </c>
      <c r="F487" s="135">
        <f>'Products x speed'!H40</f>
        <v>0</v>
      </c>
      <c r="G487" s="135">
        <f>'Products x speed'!I40</f>
        <v>0</v>
      </c>
      <c r="H487" s="135">
        <f>'Products x speed'!J40</f>
        <v>0</v>
      </c>
      <c r="I487" s="135">
        <f>'Products x speed'!K40</f>
        <v>0</v>
      </c>
      <c r="J487" s="135">
        <f>'Products x speed'!L40</f>
        <v>0</v>
      </c>
      <c r="K487" s="135">
        <f>'Products x speed'!M40</f>
        <v>0</v>
      </c>
      <c r="L487" s="135">
        <f>'Products x speed'!N40</f>
        <v>0</v>
      </c>
      <c r="S487" s="489"/>
    </row>
    <row r="488" spans="1:19">
      <c r="B488" s="192" t="s">
        <v>86</v>
      </c>
      <c r="C488" s="313">
        <f>SUM(C483:C485)</f>
        <v>0</v>
      </c>
      <c r="D488" s="305">
        <f>SUM(D483:D485)</f>
        <v>0</v>
      </c>
      <c r="E488" s="305">
        <f>SUM(E483:E485)</f>
        <v>0</v>
      </c>
      <c r="F488" s="305">
        <f t="shared" ref="F488:L488" si="68">SUM(F483:F487)</f>
        <v>0</v>
      </c>
      <c r="G488" s="305">
        <f t="shared" si="68"/>
        <v>0</v>
      </c>
      <c r="H488" s="305">
        <f t="shared" si="68"/>
        <v>0</v>
      </c>
      <c r="I488" s="305">
        <f t="shared" si="68"/>
        <v>0</v>
      </c>
      <c r="J488" s="305">
        <f t="shared" si="68"/>
        <v>0</v>
      </c>
      <c r="K488" s="305">
        <f t="shared" si="68"/>
        <v>0</v>
      </c>
      <c r="L488" s="305">
        <f t="shared" si="68"/>
        <v>0</v>
      </c>
    </row>
    <row r="489" spans="1:19" ht="14.5" customHeight="1">
      <c r="B489" s="246"/>
      <c r="D489" s="191"/>
      <c r="E489" s="191"/>
      <c r="F489" s="191"/>
      <c r="G489" s="191"/>
      <c r="H489" s="191"/>
      <c r="I489" s="191"/>
      <c r="J489" s="191"/>
      <c r="K489" s="191"/>
      <c r="L489" s="191"/>
      <c r="M489" s="191"/>
      <c r="N489" s="191"/>
      <c r="O489" s="191"/>
      <c r="Q489" s="191"/>
      <c r="R489" s="191"/>
    </row>
    <row r="490" spans="1:19" s="4" customFormat="1" ht="12.5">
      <c r="A490" s="9"/>
      <c r="S490" s="26"/>
    </row>
    <row r="491" spans="1:19" ht="21">
      <c r="A491" s="9"/>
      <c r="B491" s="125" t="s">
        <v>342</v>
      </c>
    </row>
    <row r="493" spans="1:19" ht="17" customHeight="1">
      <c r="B493" s="475" t="s">
        <v>341</v>
      </c>
      <c r="I493" s="475" t="s">
        <v>343</v>
      </c>
    </row>
    <row r="514" spans="2:19" ht="15.5">
      <c r="B514" s="103" t="s">
        <v>280</v>
      </c>
    </row>
    <row r="515" spans="2:19">
      <c r="C515" s="307">
        <v>2016</v>
      </c>
      <c r="D515" s="308">
        <v>2017</v>
      </c>
      <c r="E515" s="308">
        <v>2018</v>
      </c>
      <c r="F515" s="308">
        <v>2019</v>
      </c>
      <c r="G515" s="308">
        <v>2020</v>
      </c>
      <c r="H515" s="308">
        <v>2021</v>
      </c>
      <c r="I515" s="308">
        <v>2022</v>
      </c>
      <c r="J515" s="308">
        <v>2023</v>
      </c>
      <c r="K515" s="308">
        <v>2024</v>
      </c>
      <c r="L515" s="308">
        <v>2025</v>
      </c>
    </row>
    <row r="516" spans="2:19">
      <c r="B516" s="194" t="s">
        <v>180</v>
      </c>
      <c r="C516" s="130">
        <f>'Products x speed'!E41+'Products x speed'!E42+'Products x speed'!E43+'Products x speed'!E44+'Products x speed'!E45+'Products x speed'!E46</f>
        <v>299241</v>
      </c>
      <c r="D516" s="131">
        <f>'Products x speed'!F41+'Products x speed'!F42+'Products x speed'!F43+'Products x speed'!F44+'Products x speed'!F45+'Products x speed'!F46</f>
        <v>631974</v>
      </c>
      <c r="E516" s="131">
        <f>'Products x speed'!G41+'Products x speed'!G42+'Products x speed'!G43+'Products x speed'!G44+'Products x speed'!G45+'Products x speed'!G46</f>
        <v>2082911</v>
      </c>
      <c r="F516" s="131">
        <f>'Products x speed'!H41+'Products x speed'!H42+'Products x speed'!H43+'Products x speed'!H44+'Products x speed'!H45+'Products x speed'!H46</f>
        <v>0</v>
      </c>
      <c r="G516" s="131">
        <f>'Products x speed'!I41+'Products x speed'!I42+'Products x speed'!I43+'Products x speed'!I44+'Products x speed'!I45+'Products x speed'!I46</f>
        <v>0</v>
      </c>
      <c r="H516" s="131">
        <f>'Products x speed'!J41+'Products x speed'!J42+'Products x speed'!J43+'Products x speed'!J44+'Products x speed'!J45+'Products x speed'!J46</f>
        <v>0</v>
      </c>
      <c r="I516" s="131">
        <f>'Products x speed'!K41+'Products x speed'!K42+'Products x speed'!K43+'Products x speed'!K44+'Products x speed'!K45+'Products x speed'!K46</f>
        <v>0</v>
      </c>
      <c r="J516" s="131">
        <f>'Products x speed'!L41+'Products x speed'!L42+'Products x speed'!L43+'Products x speed'!L44+'Products x speed'!L45+'Products x speed'!L46</f>
        <v>0</v>
      </c>
      <c r="K516" s="131">
        <f>'Products x speed'!M41+'Products x speed'!M42+'Products x speed'!M43+'Products x speed'!M44+'Products x speed'!M45+'Products x speed'!M46</f>
        <v>0</v>
      </c>
      <c r="L516" s="131">
        <f>'Products x speed'!N41+'Products x speed'!N42+'Products x speed'!N43+'Products x speed'!N44+'Products x speed'!N45+'Products x speed'!N46</f>
        <v>0</v>
      </c>
    </row>
    <row r="517" spans="2:19" ht="15.5">
      <c r="B517" s="195" t="s">
        <v>46</v>
      </c>
      <c r="C517" s="132">
        <f>'Products x speed'!E47+'Products x speed'!E48+'Products x speed'!E49</f>
        <v>289061.59999999998</v>
      </c>
      <c r="D517" s="133">
        <f>'Products x speed'!F47+'Products x speed'!F48+'Products x speed'!F49</f>
        <v>1393450.1</v>
      </c>
      <c r="E517" s="133">
        <f>'Products x speed'!G47+'Products x speed'!G48+'Products x speed'!G49</f>
        <v>1617311</v>
      </c>
      <c r="F517" s="133">
        <f>'Products x speed'!H47+'Products x speed'!H48+'Products x speed'!H49</f>
        <v>0</v>
      </c>
      <c r="G517" s="133">
        <f>'Products x speed'!I47+'Products x speed'!I48+'Products x speed'!I49</f>
        <v>0</v>
      </c>
      <c r="H517" s="133">
        <f>'Products x speed'!J47+'Products x speed'!J48+'Products x speed'!J49</f>
        <v>0</v>
      </c>
      <c r="I517" s="133">
        <f>'Products x speed'!K47+'Products x speed'!K48+'Products x speed'!K49</f>
        <v>0</v>
      </c>
      <c r="J517" s="133">
        <f>'Products x speed'!L47+'Products x speed'!L48+'Products x speed'!L49</f>
        <v>0</v>
      </c>
      <c r="K517" s="133">
        <f>'Products x speed'!M47+'Products x speed'!M48+'Products x speed'!M49</f>
        <v>0</v>
      </c>
      <c r="L517" s="133">
        <f>'Products x speed'!N47+'Products x speed'!N48+'Products x speed'!N49</f>
        <v>0</v>
      </c>
      <c r="S517" s="487">
        <f>SUM(C516:L521)</f>
        <v>19975769.473389357</v>
      </c>
    </row>
    <row r="518" spans="2:19" ht="15.5">
      <c r="B518" s="195" t="s">
        <v>49</v>
      </c>
      <c r="C518" s="132">
        <f>'Products x speed'!E50+'Products x speed'!E51</f>
        <v>30989.399999999994</v>
      </c>
      <c r="D518" s="133">
        <f>'Products x speed'!F50+'Products x speed'!F51</f>
        <v>292890.90000000002</v>
      </c>
      <c r="E518" s="133">
        <f>'Products x speed'!G50+'Products x speed'!G51</f>
        <v>1866292.6190476189</v>
      </c>
      <c r="F518" s="133">
        <f>'Products x speed'!H50+'Products x speed'!H51</f>
        <v>0</v>
      </c>
      <c r="G518" s="133">
        <f>'Products x speed'!I50+'Products x speed'!I51</f>
        <v>0</v>
      </c>
      <c r="H518" s="133">
        <f>'Products x speed'!J50+'Products x speed'!J51</f>
        <v>0</v>
      </c>
      <c r="I518" s="133">
        <f>'Products x speed'!K50+'Products x speed'!K51</f>
        <v>0</v>
      </c>
      <c r="J518" s="133">
        <f>'Products x speed'!L50+'Products x speed'!L51</f>
        <v>0</v>
      </c>
      <c r="K518" s="133">
        <f>'Products x speed'!M50+'Products x speed'!M51</f>
        <v>0</v>
      </c>
      <c r="L518" s="133">
        <f>'Products x speed'!N50+'Products x speed'!N51</f>
        <v>0</v>
      </c>
      <c r="S518" s="487">
        <f>SUM(C526:L529)</f>
        <v>19975769.473389357</v>
      </c>
    </row>
    <row r="519" spans="2:19" ht="15.5">
      <c r="B519" s="195" t="s">
        <v>152</v>
      </c>
      <c r="C519" s="132">
        <f>'Products x speed'!E52+'Products x speed'!E53+'Products x speed'!E54+'Products x speed'!E55+'Products x speed'!E56</f>
        <v>292622</v>
      </c>
      <c r="D519" s="133">
        <f>'Products x speed'!F52+'Products x speed'!F53+'Products x speed'!F54+'Products x speed'!F55+'Products x speed'!F56</f>
        <v>552903</v>
      </c>
      <c r="E519" s="133">
        <f>'Products x speed'!G52+'Products x speed'!G53+'Products x speed'!G54+'Products x speed'!G55+'Products x speed'!G56</f>
        <v>610404.1176470588</v>
      </c>
      <c r="F519" s="133">
        <f>'Products x speed'!H52+'Products x speed'!H53+'Products x speed'!H54+'Products x speed'!H55+'Products x speed'!H56</f>
        <v>0</v>
      </c>
      <c r="G519" s="133">
        <f>'Products x speed'!I52+'Products x speed'!I53+'Products x speed'!I54+'Products x speed'!I55+'Products x speed'!I56</f>
        <v>0</v>
      </c>
      <c r="H519" s="133">
        <f>'Products x speed'!J52+'Products x speed'!J53+'Products x speed'!J54+'Products x speed'!J55+'Products x speed'!J56</f>
        <v>0</v>
      </c>
      <c r="I519" s="133">
        <f>'Products x speed'!K52+'Products x speed'!K53+'Products x speed'!K54+'Products x speed'!K55+'Products x speed'!K56</f>
        <v>0</v>
      </c>
      <c r="J519" s="133">
        <f>'Products x speed'!L52+'Products x speed'!L53+'Products x speed'!L54+'Products x speed'!L55+'Products x speed'!L56</f>
        <v>0</v>
      </c>
      <c r="K519" s="133">
        <f>'Products x speed'!M52+'Products x speed'!M53+'Products x speed'!M54+'Products x speed'!M55+'Products x speed'!M56</f>
        <v>0</v>
      </c>
      <c r="L519" s="133">
        <f>'Products x speed'!N52+'Products x speed'!N53+'Products x speed'!N54+'Products x speed'!N55+'Products x speed'!N56</f>
        <v>0</v>
      </c>
      <c r="S519" s="489">
        <f>(S518-S517)/2</f>
        <v>0</v>
      </c>
    </row>
    <row r="520" spans="2:19">
      <c r="B520" s="195" t="s">
        <v>57</v>
      </c>
      <c r="C520" s="134">
        <f>'Products x speed'!E57</f>
        <v>7456</v>
      </c>
      <c r="D520" s="135">
        <f>'Products x speed'!F57</f>
        <v>10272</v>
      </c>
      <c r="E520" s="135">
        <f>'Products x speed'!G57</f>
        <v>10106</v>
      </c>
      <c r="F520" s="135">
        <f>'Products x speed'!H57</f>
        <v>0</v>
      </c>
      <c r="G520" s="135">
        <f>'Products x speed'!I57</f>
        <v>0</v>
      </c>
      <c r="H520" s="135">
        <f>'Products x speed'!J57</f>
        <v>0</v>
      </c>
      <c r="I520" s="135">
        <f>'Products x speed'!K57</f>
        <v>0</v>
      </c>
      <c r="J520" s="135">
        <f>'Products x speed'!L57</f>
        <v>0</v>
      </c>
      <c r="K520" s="135">
        <f>'Products x speed'!M57</f>
        <v>0</v>
      </c>
      <c r="L520" s="135">
        <f>'Products x speed'!N57</f>
        <v>0</v>
      </c>
    </row>
    <row r="521" spans="2:19">
      <c r="B521" s="192" t="s">
        <v>86</v>
      </c>
      <c r="C521" s="136">
        <f t="shared" ref="C521:L521" si="69">SUM(C516:C520)</f>
        <v>919370</v>
      </c>
      <c r="D521" s="137">
        <f t="shared" si="69"/>
        <v>2881490</v>
      </c>
      <c r="E521" s="137">
        <f t="shared" si="69"/>
        <v>6187024.7366946787</v>
      </c>
      <c r="F521" s="137">
        <f t="shared" si="69"/>
        <v>0</v>
      </c>
      <c r="G521" s="137">
        <f t="shared" si="69"/>
        <v>0</v>
      </c>
      <c r="H521" s="137">
        <f t="shared" si="69"/>
        <v>0</v>
      </c>
      <c r="I521" s="137">
        <f t="shared" si="69"/>
        <v>0</v>
      </c>
      <c r="J521" s="137">
        <f t="shared" si="69"/>
        <v>0</v>
      </c>
      <c r="K521" s="137">
        <f t="shared" si="69"/>
        <v>0</v>
      </c>
      <c r="L521" s="137">
        <f t="shared" si="69"/>
        <v>0</v>
      </c>
    </row>
    <row r="522" spans="2:19">
      <c r="B522" s="246" t="s">
        <v>92</v>
      </c>
      <c r="C522" s="191"/>
      <c r="D522" s="191">
        <f t="shared" ref="D522:L522" si="70">D521/C521-1</f>
        <v>2.1342005938849429</v>
      </c>
      <c r="E522" s="191">
        <f t="shared" si="70"/>
        <v>1.147161620097477</v>
      </c>
      <c r="F522" s="191">
        <f t="shared" si="70"/>
        <v>-1</v>
      </c>
      <c r="G522" s="191" t="e">
        <f t="shared" si="70"/>
        <v>#DIV/0!</v>
      </c>
      <c r="H522" s="191" t="e">
        <f t="shared" si="70"/>
        <v>#DIV/0!</v>
      </c>
      <c r="I522" s="191" t="e">
        <f t="shared" si="70"/>
        <v>#DIV/0!</v>
      </c>
      <c r="J522" s="191" t="e">
        <f t="shared" si="70"/>
        <v>#DIV/0!</v>
      </c>
      <c r="K522" s="191" t="e">
        <f t="shared" si="70"/>
        <v>#DIV/0!</v>
      </c>
      <c r="L522" s="191" t="e">
        <f t="shared" si="70"/>
        <v>#DIV/0!</v>
      </c>
    </row>
    <row r="523" spans="2:19">
      <c r="B523" s="246"/>
      <c r="C523" s="191"/>
      <c r="D523" s="191"/>
      <c r="E523" s="191"/>
      <c r="F523" s="191"/>
      <c r="G523" s="191"/>
      <c r="H523" s="191"/>
      <c r="I523" s="191"/>
      <c r="J523" s="191"/>
      <c r="K523" s="191"/>
      <c r="L523" s="191"/>
    </row>
    <row r="524" spans="2:19" ht="15.5">
      <c r="B524" s="103" t="s">
        <v>281</v>
      </c>
      <c r="C524" s="44"/>
      <c r="D524" s="44"/>
      <c r="E524" s="44"/>
      <c r="F524" s="44"/>
      <c r="G524" s="44"/>
      <c r="H524" s="44"/>
      <c r="I524" s="44"/>
      <c r="J524" s="44"/>
      <c r="K524" s="44"/>
      <c r="L524" s="44"/>
    </row>
    <row r="525" spans="2:19">
      <c r="B525" s="190" t="s">
        <v>87</v>
      </c>
      <c r="C525" s="307">
        <v>2016</v>
      </c>
      <c r="D525" s="308">
        <v>2017</v>
      </c>
      <c r="E525" s="308">
        <v>2018</v>
      </c>
      <c r="F525" s="308">
        <v>2019</v>
      </c>
      <c r="G525" s="308">
        <v>2020</v>
      </c>
      <c r="H525" s="308">
        <v>2021</v>
      </c>
      <c r="I525" s="308">
        <v>2022</v>
      </c>
      <c r="J525" s="308">
        <v>2023</v>
      </c>
      <c r="K525" s="308">
        <v>2024</v>
      </c>
      <c r="L525" s="308">
        <v>2025</v>
      </c>
    </row>
    <row r="526" spans="2:19">
      <c r="B526" s="194" t="s">
        <v>40</v>
      </c>
      <c r="C526" s="130">
        <f>'Products x speed'!E41+'Products x speed'!E52</f>
        <v>124752</v>
      </c>
      <c r="D526" s="131">
        <f>'Products x speed'!F41+'Products x speed'!F52</f>
        <v>74262</v>
      </c>
      <c r="E526" s="131">
        <f>'Products x speed'!G41+'Products x speed'!G52</f>
        <v>43810</v>
      </c>
      <c r="F526" s="131">
        <f>'Products x speed'!H41+'Products x speed'!H52</f>
        <v>0</v>
      </c>
      <c r="G526" s="131">
        <f>'Products x speed'!I41+'Products x speed'!I52</f>
        <v>0</v>
      </c>
      <c r="H526" s="131">
        <f>'Products x speed'!J41+'Products x speed'!J52</f>
        <v>0</v>
      </c>
      <c r="I526" s="131">
        <f>'Products x speed'!K41+'Products x speed'!K52</f>
        <v>0</v>
      </c>
      <c r="J526" s="131">
        <f>'Products x speed'!L41+'Products x speed'!L52</f>
        <v>0</v>
      </c>
      <c r="K526" s="131">
        <f>'Products x speed'!M41+'Products x speed'!M52</f>
        <v>0</v>
      </c>
      <c r="L526" s="131">
        <f>'Products x speed'!N41+'Products x speed'!N52</f>
        <v>0</v>
      </c>
    </row>
    <row r="527" spans="2:19">
      <c r="B527" s="195" t="s">
        <v>127</v>
      </c>
      <c r="C527" s="132">
        <f>'Products x speed'!E42+'Products x speed'!E53</f>
        <v>96610</v>
      </c>
      <c r="D527" s="133">
        <f>'Products x speed'!F42+'Products x speed'!F53</f>
        <v>80471</v>
      </c>
      <c r="E527" s="133">
        <f>'Products x speed'!G42+'Products x speed'!G53</f>
        <v>75797</v>
      </c>
      <c r="F527" s="133">
        <f>'Products x speed'!H42+'Products x speed'!H53</f>
        <v>0</v>
      </c>
      <c r="G527" s="133">
        <f>'Products x speed'!I42+'Products x speed'!I53</f>
        <v>0</v>
      </c>
      <c r="H527" s="133">
        <f>'Products x speed'!J42+'Products x speed'!J53</f>
        <v>0</v>
      </c>
      <c r="I527" s="133">
        <f>'Products x speed'!K42+'Products x speed'!K53</f>
        <v>0</v>
      </c>
      <c r="J527" s="133">
        <f>'Products x speed'!L42+'Products x speed'!L53</f>
        <v>0</v>
      </c>
      <c r="K527" s="133">
        <f>'Products x speed'!M42+'Products x speed'!M53</f>
        <v>0</v>
      </c>
      <c r="L527" s="133">
        <f>'Products x speed'!N42+'Products x speed'!N53</f>
        <v>0</v>
      </c>
    </row>
    <row r="528" spans="2:19">
      <c r="B528" s="195" t="s">
        <v>42</v>
      </c>
      <c r="C528" s="132">
        <f>SUM('Products x speed'!E43:E51)+'Products x speed'!E54+'Products x speed'!E56+'Products x speed'!E55+'Products x speed'!E57</f>
        <v>698008</v>
      </c>
      <c r="D528" s="133">
        <f>SUM('Products x speed'!F43:F51)+'Products x speed'!F54+'Products x speed'!F56+'Products x speed'!F55+'Products x speed'!F57</f>
        <v>2726757</v>
      </c>
      <c r="E528" s="133">
        <f>SUM('Products x speed'!G43:G51)+'Products x speed'!G54+'Products x speed'!G56+'Products x speed'!G55+'Products x speed'!G57</f>
        <v>6067417.7366946787</v>
      </c>
      <c r="F528" s="133">
        <f>SUM('Products x speed'!H43:H51)+'Products x speed'!H54+'Products x speed'!H56+'Products x speed'!H55+'Products x speed'!H57</f>
        <v>0</v>
      </c>
      <c r="G528" s="133">
        <f>SUM('Products x speed'!I43:I51)+'Products x speed'!I54+'Products x speed'!I56+'Products x speed'!I55+'Products x speed'!I57</f>
        <v>0</v>
      </c>
      <c r="H528" s="133">
        <f>SUM('Products x speed'!J43:J51)+'Products x speed'!J54+'Products x speed'!J56+'Products x speed'!J55+'Products x speed'!J57</f>
        <v>0</v>
      </c>
      <c r="I528" s="133">
        <f>SUM('Products x speed'!K43:K51)+'Products x speed'!K54+'Products x speed'!K56+'Products x speed'!K55+'Products x speed'!K57</f>
        <v>0</v>
      </c>
      <c r="J528" s="133">
        <f>SUM('Products x speed'!L43:L51)+'Products x speed'!L54+'Products x speed'!L56+'Products x speed'!L55+'Products x speed'!L57</f>
        <v>0</v>
      </c>
      <c r="K528" s="133">
        <f>SUM('Products x speed'!M43:M51)+'Products x speed'!M54+'Products x speed'!M56+'Products x speed'!M55+'Products x speed'!M57</f>
        <v>0</v>
      </c>
      <c r="L528" s="133">
        <f>SUM('Products x speed'!N43:N51)+'Products x speed'!N54+'Products x speed'!N56+'Products x speed'!N55+'Products x speed'!N57</f>
        <v>0</v>
      </c>
    </row>
    <row r="529" spans="1:19">
      <c r="B529" s="192" t="s">
        <v>86</v>
      </c>
      <c r="C529" s="298">
        <f t="shared" ref="C529:L529" si="71">SUM(C526:C528)</f>
        <v>919370</v>
      </c>
      <c r="D529" s="299">
        <f t="shared" si="71"/>
        <v>2881490</v>
      </c>
      <c r="E529" s="299">
        <f t="shared" si="71"/>
        <v>6187024.7366946787</v>
      </c>
      <c r="F529" s="299">
        <f t="shared" si="71"/>
        <v>0</v>
      </c>
      <c r="G529" s="299">
        <f t="shared" si="71"/>
        <v>0</v>
      </c>
      <c r="H529" s="299">
        <f t="shared" si="71"/>
        <v>0</v>
      </c>
      <c r="I529" s="299">
        <f t="shared" si="71"/>
        <v>0</v>
      </c>
      <c r="J529" s="299">
        <f t="shared" si="71"/>
        <v>0</v>
      </c>
      <c r="K529" s="299">
        <f t="shared" si="71"/>
        <v>0</v>
      </c>
      <c r="L529" s="299">
        <f t="shared" si="71"/>
        <v>0</v>
      </c>
    </row>
    <row r="530" spans="1:19">
      <c r="B530" s="246" t="s">
        <v>92</v>
      </c>
      <c r="C530" s="191"/>
      <c r="D530" s="191">
        <f t="shared" ref="D530:L530" si="72">D529/C529-1</f>
        <v>2.1342005938849429</v>
      </c>
      <c r="E530" s="191">
        <f t="shared" si="72"/>
        <v>1.147161620097477</v>
      </c>
      <c r="F530" s="191">
        <f t="shared" si="72"/>
        <v>-1</v>
      </c>
      <c r="G530" s="191" t="e">
        <f t="shared" si="72"/>
        <v>#DIV/0!</v>
      </c>
      <c r="H530" s="191" t="e">
        <f t="shared" si="72"/>
        <v>#DIV/0!</v>
      </c>
      <c r="I530" s="191" t="e">
        <f t="shared" si="72"/>
        <v>#DIV/0!</v>
      </c>
      <c r="J530" s="191" t="e">
        <f t="shared" si="72"/>
        <v>#DIV/0!</v>
      </c>
      <c r="K530" s="191" t="e">
        <f t="shared" si="72"/>
        <v>#DIV/0!</v>
      </c>
      <c r="L530" s="191" t="e">
        <f t="shared" si="72"/>
        <v>#DIV/0!</v>
      </c>
    </row>
    <row r="531" spans="1:19">
      <c r="B531" s="246"/>
      <c r="C531" s="60">
        <f t="shared" ref="C531:L531" si="73">C529-C521</f>
        <v>0</v>
      </c>
      <c r="D531" s="60">
        <f t="shared" si="73"/>
        <v>0</v>
      </c>
      <c r="E531" s="60">
        <f t="shared" si="73"/>
        <v>0</v>
      </c>
      <c r="F531" s="60">
        <f t="shared" si="73"/>
        <v>0</v>
      </c>
      <c r="G531" s="60">
        <f t="shared" si="73"/>
        <v>0</v>
      </c>
      <c r="H531" s="60">
        <f t="shared" si="73"/>
        <v>0</v>
      </c>
      <c r="I531" s="60">
        <f t="shared" si="73"/>
        <v>0</v>
      </c>
      <c r="J531" s="60">
        <f t="shared" si="73"/>
        <v>0</v>
      </c>
      <c r="K531" s="60">
        <f t="shared" si="73"/>
        <v>0</v>
      </c>
      <c r="L531" s="60">
        <f t="shared" si="73"/>
        <v>0</v>
      </c>
    </row>
    <row r="532" spans="1:19">
      <c r="B532" s="246"/>
      <c r="D532" s="191"/>
      <c r="E532" s="191"/>
      <c r="F532" s="191"/>
      <c r="G532" s="191"/>
      <c r="H532" s="191"/>
      <c r="I532" s="191"/>
      <c r="J532" s="191"/>
      <c r="K532" s="191"/>
      <c r="L532" s="191"/>
      <c r="M532" s="191"/>
      <c r="N532" s="191"/>
    </row>
    <row r="533" spans="1:19" s="4" customFormat="1" ht="21">
      <c r="A533" s="9"/>
      <c r="B533" s="14" t="s">
        <v>181</v>
      </c>
      <c r="S533" s="26"/>
    </row>
    <row r="534" spans="1:19" ht="21">
      <c r="B534" s="216" t="s">
        <v>22</v>
      </c>
      <c r="G534" s="216" t="s">
        <v>21</v>
      </c>
      <c r="M534" s="216" t="s">
        <v>15</v>
      </c>
    </row>
    <row r="535" spans="1:19" s="4" customFormat="1" ht="12.5">
      <c r="A535" s="9"/>
      <c r="S535" s="26"/>
    </row>
    <row r="536" spans="1:19" s="4" customFormat="1" ht="12.5">
      <c r="A536" s="9"/>
      <c r="S536" s="26"/>
    </row>
    <row r="537" spans="1:19" s="4" customFormat="1" ht="12.5">
      <c r="A537" s="9"/>
      <c r="S537" s="26"/>
    </row>
    <row r="538" spans="1:19" s="4" customFormat="1" ht="12.5">
      <c r="A538" s="9"/>
      <c r="S538" s="26"/>
    </row>
    <row r="539" spans="1:19" s="4" customFormat="1" ht="12.5">
      <c r="A539" s="9"/>
      <c r="S539" s="26"/>
    </row>
    <row r="540" spans="1:19" s="4" customFormat="1" ht="12.5">
      <c r="A540" s="9"/>
      <c r="S540" s="26"/>
    </row>
    <row r="541" spans="1:19" s="4" customFormat="1" ht="12.5">
      <c r="A541" s="9"/>
      <c r="S541" s="26"/>
    </row>
    <row r="542" spans="1:19" s="4" customFormat="1" ht="12.5">
      <c r="A542" s="9"/>
      <c r="S542" s="26"/>
    </row>
    <row r="543" spans="1:19" s="4" customFormat="1" ht="12.5">
      <c r="A543" s="9"/>
      <c r="S543" s="26"/>
    </row>
    <row r="544" spans="1:19" s="4" customFormat="1" ht="12.5">
      <c r="A544" s="9"/>
      <c r="S544" s="26"/>
    </row>
    <row r="545" spans="1:19" s="4" customFormat="1" ht="12.5">
      <c r="A545" s="9"/>
      <c r="S545" s="26"/>
    </row>
    <row r="546" spans="1:19" s="4" customFormat="1" ht="11.5" customHeight="1">
      <c r="A546" s="9"/>
      <c r="S546" s="26"/>
    </row>
    <row r="547" spans="1:19" s="4" customFormat="1" ht="12.5">
      <c r="A547" s="9"/>
      <c r="S547" s="26"/>
    </row>
    <row r="548" spans="1:19" s="4" customFormat="1" ht="12.5">
      <c r="A548" s="9"/>
      <c r="S548" s="26"/>
    </row>
    <row r="549" spans="1:19" s="4" customFormat="1" ht="12.5">
      <c r="A549" s="9"/>
      <c r="S549" s="26"/>
    </row>
    <row r="550" spans="1:19" s="4" customFormat="1" ht="12.5">
      <c r="A550" s="9"/>
      <c r="S550" s="26"/>
    </row>
    <row r="551" spans="1:19" s="4" customFormat="1" ht="12.5">
      <c r="A551" s="9"/>
      <c r="S551" s="26"/>
    </row>
    <row r="552" spans="1:19" s="4" customFormat="1" ht="12.5">
      <c r="A552" s="9"/>
      <c r="S552" s="26"/>
    </row>
    <row r="553" spans="1:19" s="4" customFormat="1" ht="12.5">
      <c r="A553" s="9"/>
      <c r="S553" s="26"/>
    </row>
    <row r="554" spans="1:19" s="220" customFormat="1" ht="14.25" customHeight="1">
      <c r="B554" s="68" t="s">
        <v>22</v>
      </c>
      <c r="C554" s="302">
        <v>2016</v>
      </c>
      <c r="D554" s="308">
        <v>2017</v>
      </c>
      <c r="E554" s="308">
        <v>2018</v>
      </c>
      <c r="F554" s="308">
        <v>2019</v>
      </c>
      <c r="G554" s="308">
        <v>2020</v>
      </c>
      <c r="H554" s="308">
        <v>2021</v>
      </c>
      <c r="I554" s="308">
        <v>2022</v>
      </c>
      <c r="J554" s="308">
        <v>2023</v>
      </c>
      <c r="K554" s="308">
        <v>2024</v>
      </c>
      <c r="L554" s="308">
        <v>2025</v>
      </c>
      <c r="S554" s="490"/>
    </row>
    <row r="555" spans="1:19" s="4" customFormat="1" ht="15.5">
      <c r="A555" s="9"/>
      <c r="B555" s="280" t="s">
        <v>83</v>
      </c>
      <c r="C555" s="310">
        <f>'Products x speed'!E41</f>
        <v>14816</v>
      </c>
      <c r="D555" s="310">
        <f>'Products x speed'!F41</f>
        <v>6913</v>
      </c>
      <c r="E555" s="310">
        <f>'Products x speed'!G41</f>
        <v>5094</v>
      </c>
      <c r="F555" s="310">
        <f>'Products x speed'!H41</f>
        <v>0</v>
      </c>
      <c r="G555" s="310">
        <f>'Products x speed'!I41</f>
        <v>0</v>
      </c>
      <c r="H555" s="310">
        <f>'Products x speed'!J41</f>
        <v>0</v>
      </c>
      <c r="I555" s="310">
        <f>'Products x speed'!K41</f>
        <v>0</v>
      </c>
      <c r="J555" s="310">
        <f>'Products x speed'!L41</f>
        <v>0</v>
      </c>
      <c r="K555" s="310">
        <f>'Products x speed'!M41</f>
        <v>0</v>
      </c>
      <c r="L555" s="310">
        <f>'Products x speed'!N41</f>
        <v>0</v>
      </c>
      <c r="S555" s="487">
        <f>SUM(C555:L560)</f>
        <v>6028252</v>
      </c>
    </row>
    <row r="556" spans="1:19" s="4" customFormat="1" ht="15.5">
      <c r="A556" s="9"/>
      <c r="B556" s="206" t="s">
        <v>136</v>
      </c>
      <c r="C556" s="312">
        <f>'Products x speed'!E42</f>
        <v>4367</v>
      </c>
      <c r="D556" s="312">
        <f>'Products x speed'!F42</f>
        <v>2269</v>
      </c>
      <c r="E556" s="312">
        <f>'Products x speed'!G42</f>
        <v>2000</v>
      </c>
      <c r="F556" s="312">
        <f>'Products x speed'!H42</f>
        <v>0</v>
      </c>
      <c r="G556" s="312">
        <f>'Products x speed'!I42</f>
        <v>0</v>
      </c>
      <c r="H556" s="312">
        <f>'Products x speed'!J42</f>
        <v>0</v>
      </c>
      <c r="I556" s="312">
        <f>'Products x speed'!K42</f>
        <v>0</v>
      </c>
      <c r="J556" s="312">
        <f>'Products x speed'!L42</f>
        <v>0</v>
      </c>
      <c r="K556" s="312">
        <f>'Products x speed'!M42</f>
        <v>0</v>
      </c>
      <c r="L556" s="312">
        <f>'Products x speed'!N42</f>
        <v>0</v>
      </c>
      <c r="S556" s="487">
        <f>SUM('Products x speed'!E41:N46)*2</f>
        <v>6028252</v>
      </c>
    </row>
    <row r="557" spans="1:19" s="4" customFormat="1" ht="15.5">
      <c r="A557" s="9"/>
      <c r="B557" s="206" t="s">
        <v>184</v>
      </c>
      <c r="C557" s="312">
        <f>'Products x speed'!E43+'Products x speed'!E44</f>
        <v>280058</v>
      </c>
      <c r="D557" s="312">
        <f>'Products x speed'!F43+'Products x speed'!F44</f>
        <v>622792</v>
      </c>
      <c r="E557" s="312">
        <f>'Products x speed'!G43+'Products x speed'!G44</f>
        <v>1915817</v>
      </c>
      <c r="F557" s="312">
        <f>'Products x speed'!H43+'Products x speed'!H44</f>
        <v>0</v>
      </c>
      <c r="G557" s="312">
        <f>'Products x speed'!I43+'Products x speed'!I44</f>
        <v>0</v>
      </c>
      <c r="H557" s="312">
        <f>'Products x speed'!J43+'Products x speed'!J44</f>
        <v>0</v>
      </c>
      <c r="I557" s="312">
        <f>'Products x speed'!K43+'Products x speed'!K44</f>
        <v>0</v>
      </c>
      <c r="J557" s="312">
        <f>'Products x speed'!L43+'Products x speed'!L44</f>
        <v>0</v>
      </c>
      <c r="K557" s="312">
        <f>'Products x speed'!M43+'Products x speed'!M44</f>
        <v>0</v>
      </c>
      <c r="L557" s="312">
        <f>'Products x speed'!N43+'Products x speed'!N44</f>
        <v>0</v>
      </c>
      <c r="S557" s="487">
        <f>(S555-S556)/2</f>
        <v>0</v>
      </c>
    </row>
    <row r="558" spans="1:19" s="4" customFormat="1" ht="15.5">
      <c r="A558" s="9"/>
      <c r="B558" s="206" t="s">
        <v>183</v>
      </c>
      <c r="C558" s="312"/>
      <c r="D558" s="312"/>
      <c r="E558" s="312">
        <f>'Products x speed'!G45</f>
        <v>150000</v>
      </c>
      <c r="F558" s="312">
        <f>'Products x speed'!H45</f>
        <v>0</v>
      </c>
      <c r="G558" s="312">
        <f>'Products x speed'!I45</f>
        <v>0</v>
      </c>
      <c r="H558" s="312">
        <f>'Products x speed'!J45</f>
        <v>0</v>
      </c>
      <c r="I558" s="312">
        <f>'Products x speed'!K45</f>
        <v>0</v>
      </c>
      <c r="J558" s="312">
        <f>'Products x speed'!L45</f>
        <v>0</v>
      </c>
      <c r="K558" s="312">
        <f>'Products x speed'!M45</f>
        <v>0</v>
      </c>
      <c r="L558" s="312">
        <f>'Products x speed'!N45</f>
        <v>0</v>
      </c>
      <c r="S558" s="487"/>
    </row>
    <row r="559" spans="1:19" s="4" customFormat="1" ht="15.5">
      <c r="A559" s="9"/>
      <c r="B559" s="206" t="s">
        <v>230</v>
      </c>
      <c r="C559" s="305"/>
      <c r="D559" s="305"/>
      <c r="E559" s="305">
        <f>'Products x speed'!G46</f>
        <v>10000</v>
      </c>
      <c r="F559" s="305">
        <f>'Products x speed'!H46</f>
        <v>0</v>
      </c>
      <c r="G559" s="305">
        <f>'Products x speed'!I46</f>
        <v>0</v>
      </c>
      <c r="H559" s="305">
        <f>'Products x speed'!J46</f>
        <v>0</v>
      </c>
      <c r="I559" s="305">
        <f>'Products x speed'!K46</f>
        <v>0</v>
      </c>
      <c r="J559" s="305">
        <f>'Products x speed'!L46</f>
        <v>0</v>
      </c>
      <c r="K559" s="305">
        <f>'Products x speed'!M46</f>
        <v>0</v>
      </c>
      <c r="L559" s="305">
        <f>'Products x speed'!N46</f>
        <v>0</v>
      </c>
      <c r="S559" s="487"/>
    </row>
    <row r="560" spans="1:19" s="4" customFormat="1">
      <c r="A560" s="9"/>
      <c r="B560" s="213" t="s">
        <v>172</v>
      </c>
      <c r="C560" s="305">
        <f t="shared" ref="C560:K560" si="74">SUM(C555:C559)</f>
        <v>299241</v>
      </c>
      <c r="D560" s="305">
        <f t="shared" si="74"/>
        <v>631974</v>
      </c>
      <c r="E560" s="305">
        <f t="shared" si="74"/>
        <v>2082911</v>
      </c>
      <c r="F560" s="305">
        <f t="shared" si="74"/>
        <v>0</v>
      </c>
      <c r="G560" s="305">
        <f t="shared" si="74"/>
        <v>0</v>
      </c>
      <c r="H560" s="305">
        <f t="shared" si="74"/>
        <v>0</v>
      </c>
      <c r="I560" s="305">
        <f t="shared" si="74"/>
        <v>0</v>
      </c>
      <c r="J560" s="305">
        <f t="shared" si="74"/>
        <v>0</v>
      </c>
      <c r="K560" s="305">
        <f t="shared" si="74"/>
        <v>0</v>
      </c>
      <c r="L560" s="305">
        <f>SUM(L555:L559)</f>
        <v>0</v>
      </c>
      <c r="S560" s="26"/>
    </row>
    <row r="561" spans="1:19" s="4" customFormat="1" ht="12.5">
      <c r="A561" s="9"/>
      <c r="C561" s="59"/>
      <c r="D561" s="59">
        <f t="shared" ref="D561:L561" si="75">D560/C560-1</f>
        <v>1.111923165608991</v>
      </c>
      <c r="E561" s="59">
        <f t="shared" si="75"/>
        <v>2.2958808431992455</v>
      </c>
      <c r="F561" s="59">
        <f t="shared" si="75"/>
        <v>-1</v>
      </c>
      <c r="G561" s="59" t="e">
        <f t="shared" si="75"/>
        <v>#DIV/0!</v>
      </c>
      <c r="H561" s="59" t="e">
        <f t="shared" si="75"/>
        <v>#DIV/0!</v>
      </c>
      <c r="I561" s="59" t="e">
        <f t="shared" si="75"/>
        <v>#DIV/0!</v>
      </c>
      <c r="J561" s="59" t="e">
        <f t="shared" si="75"/>
        <v>#DIV/0!</v>
      </c>
      <c r="K561" s="59" t="e">
        <f t="shared" si="75"/>
        <v>#DIV/0!</v>
      </c>
      <c r="L561" s="59" t="e">
        <f t="shared" si="75"/>
        <v>#DIV/0!</v>
      </c>
      <c r="S561" s="26"/>
    </row>
    <row r="562" spans="1:19" s="4" customFormat="1">
      <c r="A562" s="9"/>
      <c r="B562" s="68" t="s">
        <v>21</v>
      </c>
      <c r="C562" s="302">
        <v>2016</v>
      </c>
      <c r="D562" s="308">
        <v>2017</v>
      </c>
      <c r="E562" s="308">
        <v>2018</v>
      </c>
      <c r="F562" s="308">
        <v>2019</v>
      </c>
      <c r="G562" s="308">
        <v>2020</v>
      </c>
      <c r="H562" s="308">
        <v>2021</v>
      </c>
      <c r="I562" s="308">
        <v>2022</v>
      </c>
      <c r="J562" s="308">
        <v>2023</v>
      </c>
      <c r="K562" s="308">
        <v>2024</v>
      </c>
      <c r="L562" s="308">
        <v>2025</v>
      </c>
      <c r="S562" s="26"/>
    </row>
    <row r="563" spans="1:19" s="4" customFormat="1">
      <c r="A563" s="9"/>
      <c r="B563" s="280" t="str">
        <f t="shared" ref="B563:B568" si="76">B555</f>
        <v>100 m  100G CFP</v>
      </c>
      <c r="C563" s="315">
        <f t="shared" ref="C563:F564" si="77">IF(C555=0,"",C571*10^6/C555)</f>
        <v>1422.7039686825053</v>
      </c>
      <c r="D563" s="315">
        <f t="shared" si="77"/>
        <v>1273.3986691740201</v>
      </c>
      <c r="E563" s="315">
        <f t="shared" si="77"/>
        <v>1018.9069493521796</v>
      </c>
      <c r="F563" s="315" t="str">
        <f t="shared" si="77"/>
        <v/>
      </c>
      <c r="G563" s="315" t="str">
        <f>IF(G555=0,"",G571*10^6/G555)</f>
        <v/>
      </c>
      <c r="H563" s="315" t="str">
        <f>IF(H555=0,"",H571*10^6/H555)</f>
        <v/>
      </c>
      <c r="I563" s="315" t="str">
        <f t="shared" ref="I563:K564" si="78">IF(I555=0,"",I571*10^6/I555)</f>
        <v/>
      </c>
      <c r="J563" s="315" t="str">
        <f t="shared" si="78"/>
        <v/>
      </c>
      <c r="K563" s="315" t="str">
        <f t="shared" si="78"/>
        <v/>
      </c>
      <c r="L563" s="315" t="str">
        <f>IF(L555=0,"",L571*10^6/L555)</f>
        <v/>
      </c>
      <c r="S563" s="26"/>
    </row>
    <row r="564" spans="1:19" s="4" customFormat="1">
      <c r="A564" s="9"/>
      <c r="B564" s="206" t="str">
        <f t="shared" si="76"/>
        <v>100 m  100G CFP2/CFP4</v>
      </c>
      <c r="C564" s="199">
        <f t="shared" si="77"/>
        <v>1204.7629951912068</v>
      </c>
      <c r="D564" s="199">
        <f t="shared" si="77"/>
        <v>1092.608197443808</v>
      </c>
      <c r="E564" s="199">
        <f t="shared" si="77"/>
        <v>1004.0468400000002</v>
      </c>
      <c r="F564" s="199" t="str">
        <f t="shared" si="77"/>
        <v/>
      </c>
      <c r="G564" s="199" t="str">
        <f>IF(G556=0,"",G572*10^6/G556)</f>
        <v/>
      </c>
      <c r="H564" s="199" t="str">
        <f>IF(H556=0,"",H572*10^6/H556)</f>
        <v/>
      </c>
      <c r="I564" s="199" t="str">
        <f t="shared" si="78"/>
        <v/>
      </c>
      <c r="J564" s="199" t="str">
        <f t="shared" si="78"/>
        <v/>
      </c>
      <c r="K564" s="199" t="str">
        <f t="shared" si="78"/>
        <v/>
      </c>
      <c r="L564" s="199" t="str">
        <f>IF(L556=0,"",L572*10^6/L556)</f>
        <v/>
      </c>
      <c r="S564" s="26"/>
    </row>
    <row r="565" spans="1:19" s="4" customFormat="1">
      <c r="A565" s="9"/>
      <c r="B565" s="206" t="str">
        <f t="shared" si="76"/>
        <v>100 m  100G SR2, SR4  QSFP28</v>
      </c>
      <c r="C565" s="199">
        <f>IF(C557=0,"",C573*10^6/C557)</f>
        <v>258.09426618771823</v>
      </c>
      <c r="D565" s="199">
        <f>IF(D557=0,"",D573*10^6/D557)</f>
        <v>182.02277386466108</v>
      </c>
      <c r="E565" s="199">
        <f>IF(E557=0,"",E573*10^6/E557)</f>
        <v>113.54682982085136</v>
      </c>
      <c r="F565" s="199" t="str">
        <f t="shared" ref="F565:L565" si="79">IF(F557=0,"",F573*10^6/F557)</f>
        <v/>
      </c>
      <c r="G565" s="199" t="str">
        <f t="shared" si="79"/>
        <v/>
      </c>
      <c r="H565" s="199" t="str">
        <f t="shared" si="79"/>
        <v/>
      </c>
      <c r="I565" s="199" t="str">
        <f t="shared" si="79"/>
        <v/>
      </c>
      <c r="J565" s="199" t="str">
        <f t="shared" si="79"/>
        <v/>
      </c>
      <c r="K565" s="199" t="str">
        <f t="shared" si="79"/>
        <v/>
      </c>
      <c r="L565" s="199" t="str">
        <f t="shared" si="79"/>
        <v/>
      </c>
      <c r="S565" s="26"/>
    </row>
    <row r="566" spans="1:19" s="4" customFormat="1">
      <c r="A566" s="9"/>
      <c r="B566" s="206" t="str">
        <f t="shared" si="76"/>
        <v>100 m  100G QSFP28 MM Duplex</v>
      </c>
      <c r="C566" s="199"/>
      <c r="D566" s="199" t="str">
        <f>IF(D558=0,"",D574*10^6/D558)</f>
        <v/>
      </c>
      <c r="E566" s="199">
        <f>IF(E558=0,"",E574*10^6/E558)</f>
        <v>170</v>
      </c>
      <c r="F566" s="199" t="str">
        <f t="shared" ref="F566:L566" si="80">IF(F558=0,"",F574*10^6/F558)</f>
        <v/>
      </c>
      <c r="G566" s="199" t="str">
        <f t="shared" si="80"/>
        <v/>
      </c>
      <c r="H566" s="199" t="str">
        <f t="shared" si="80"/>
        <v/>
      </c>
      <c r="I566" s="199" t="str">
        <f t="shared" si="80"/>
        <v/>
      </c>
      <c r="J566" s="199" t="str">
        <f t="shared" si="80"/>
        <v/>
      </c>
      <c r="K566" s="199" t="str">
        <f t="shared" si="80"/>
        <v/>
      </c>
      <c r="L566" s="199" t="str">
        <f t="shared" si="80"/>
        <v/>
      </c>
      <c r="S566" s="26"/>
    </row>
    <row r="567" spans="1:19" s="4" customFormat="1" ht="15.5">
      <c r="A567" s="9"/>
      <c r="B567" s="206" t="str">
        <f t="shared" si="76"/>
        <v>300 m  100G QSFP28  eSR4</v>
      </c>
      <c r="C567" s="318"/>
      <c r="D567" s="318"/>
      <c r="E567" s="318">
        <f>E566-20</f>
        <v>150</v>
      </c>
      <c r="F567" s="318" t="e">
        <f t="shared" ref="F567:L567" si="81">F566-20</f>
        <v>#VALUE!</v>
      </c>
      <c r="G567" s="318" t="e">
        <f t="shared" si="81"/>
        <v>#VALUE!</v>
      </c>
      <c r="H567" s="318" t="e">
        <f t="shared" si="81"/>
        <v>#VALUE!</v>
      </c>
      <c r="I567" s="318" t="e">
        <f t="shared" si="81"/>
        <v>#VALUE!</v>
      </c>
      <c r="J567" s="318" t="e">
        <f t="shared" si="81"/>
        <v>#VALUE!</v>
      </c>
      <c r="K567" s="318" t="e">
        <f t="shared" si="81"/>
        <v>#VALUE!</v>
      </c>
      <c r="L567" s="318" t="e">
        <f t="shared" si="81"/>
        <v>#VALUE!</v>
      </c>
      <c r="S567" s="487"/>
    </row>
    <row r="568" spans="1:19" s="4" customFormat="1">
      <c r="A568" s="9"/>
      <c r="B568" s="213" t="str">
        <f t="shared" si="76"/>
        <v>100G Short Reach</v>
      </c>
      <c r="C568" s="318">
        <f t="shared" ref="C568:H568" si="82">IF(C560=0,"",C576*10^6/C560)</f>
        <v>329.57163623968637</v>
      </c>
      <c r="D568" s="318">
        <f t="shared" si="82"/>
        <v>197.23036134511864</v>
      </c>
      <c r="E568" s="318">
        <f t="shared" si="82"/>
        <v>120.95252871913105</v>
      </c>
      <c r="F568" s="318" t="str">
        <f t="shared" si="82"/>
        <v/>
      </c>
      <c r="G568" s="318" t="str">
        <f t="shared" si="82"/>
        <v/>
      </c>
      <c r="H568" s="318" t="str">
        <f t="shared" si="82"/>
        <v/>
      </c>
      <c r="I568" s="318" t="str">
        <f>IF(I560=0,"",I576*10^6/I560)</f>
        <v/>
      </c>
      <c r="J568" s="318" t="str">
        <f>IF(J560=0,"",J576*10^6/J560)</f>
        <v/>
      </c>
      <c r="K568" s="318" t="str">
        <f>IF(K560=0,"",K576*10^6/K560)</f>
        <v/>
      </c>
      <c r="L568" s="318" t="str">
        <f>IF(L560=0,"",L576*10^6/L560)</f>
        <v/>
      </c>
      <c r="S568" s="26"/>
    </row>
    <row r="569" spans="1:19" s="4" customFormat="1" ht="12.5">
      <c r="A569" s="9"/>
      <c r="S569" s="26"/>
    </row>
    <row r="570" spans="1:19" s="4" customFormat="1">
      <c r="A570" s="9"/>
      <c r="B570" s="68" t="s">
        <v>15</v>
      </c>
      <c r="C570" s="302">
        <v>2016</v>
      </c>
      <c r="D570" s="308">
        <v>2017</v>
      </c>
      <c r="E570" s="308">
        <v>2018</v>
      </c>
      <c r="F570" s="308">
        <v>2019</v>
      </c>
      <c r="G570" s="308">
        <v>2020</v>
      </c>
      <c r="H570" s="308">
        <v>2021</v>
      </c>
      <c r="I570" s="308">
        <v>2022</v>
      </c>
      <c r="J570" s="308">
        <v>2023</v>
      </c>
      <c r="K570" s="308">
        <v>2024</v>
      </c>
      <c r="L570" s="308">
        <v>2025</v>
      </c>
      <c r="S570" s="26"/>
    </row>
    <row r="571" spans="1:19" s="4" customFormat="1" ht="15.5">
      <c r="A571" s="9"/>
      <c r="B571" s="280" t="str">
        <f t="shared" ref="B571:B576" si="83">B555</f>
        <v>100 m  100G CFP</v>
      </c>
      <c r="C571" s="334">
        <f>'Products x speed'!E191</f>
        <v>21.078782</v>
      </c>
      <c r="D571" s="334">
        <f>'Products x speed'!F191</f>
        <v>8.8030050000000024</v>
      </c>
      <c r="E571" s="334">
        <f>'Products x speed'!G191</f>
        <v>5.1903120000000031</v>
      </c>
      <c r="F571" s="334">
        <f>'Products x speed'!H191</f>
        <v>0</v>
      </c>
      <c r="G571" s="334">
        <f>'Products x speed'!I191</f>
        <v>0</v>
      </c>
      <c r="H571" s="334">
        <f>'Products x speed'!J191</f>
        <v>0</v>
      </c>
      <c r="I571" s="334">
        <f>'Products x speed'!K191</f>
        <v>0</v>
      </c>
      <c r="J571" s="334">
        <f>'Products x speed'!L191</f>
        <v>0</v>
      </c>
      <c r="K571" s="334">
        <f>'Products x speed'!M191</f>
        <v>0</v>
      </c>
      <c r="L571" s="334">
        <f>'Products x speed'!N191</f>
        <v>0</v>
      </c>
      <c r="S571" s="487">
        <f>SUM(C571:L576)</f>
        <v>950.3983178552279</v>
      </c>
    </row>
    <row r="572" spans="1:19" s="4" customFormat="1" ht="15.5">
      <c r="A572" s="9"/>
      <c r="B572" s="206" t="str">
        <f t="shared" si="83"/>
        <v>100 m  100G CFP2/CFP4</v>
      </c>
      <c r="C572" s="202">
        <f>'Products x speed'!E192</f>
        <v>5.2611999999999997</v>
      </c>
      <c r="D572" s="202">
        <f>'Products x speed'!F192</f>
        <v>2.4791280000000007</v>
      </c>
      <c r="E572" s="202">
        <f>'Products x speed'!G192</f>
        <v>2.0080936800000004</v>
      </c>
      <c r="F572" s="202">
        <f>'Products x speed'!H192</f>
        <v>0</v>
      </c>
      <c r="G572" s="202">
        <f>'Products x speed'!I192</f>
        <v>0</v>
      </c>
      <c r="H572" s="202">
        <f>'Products x speed'!J192</f>
        <v>0</v>
      </c>
      <c r="I572" s="202">
        <f>'Products x speed'!K192</f>
        <v>0</v>
      </c>
      <c r="J572" s="202">
        <f>'Products x speed'!L192</f>
        <v>0</v>
      </c>
      <c r="K572" s="202">
        <f>'Products x speed'!M192</f>
        <v>0</v>
      </c>
      <c r="L572" s="202">
        <f>'Products x speed'!N192</f>
        <v>0</v>
      </c>
      <c r="S572" s="487">
        <f>SUM('Products x speed'!E191:N196)*2</f>
        <v>950.3983178552279</v>
      </c>
    </row>
    <row r="573" spans="1:19" s="4" customFormat="1" ht="15.5">
      <c r="A573" s="9"/>
      <c r="B573" s="206" t="str">
        <f t="shared" si="83"/>
        <v>100 m  100G SR2, SR4  QSFP28</v>
      </c>
      <c r="C573" s="202">
        <f>'Products x speed'!E193+'Products x speed'!E194</f>
        <v>72.281363999999996</v>
      </c>
      <c r="D573" s="202">
        <f>'Products x speed'!F193+'Products x speed'!F194</f>
        <v>113.36232738072</v>
      </c>
      <c r="E573" s="202">
        <f>'Products x speed'!G193+'Products x speed'!G194</f>
        <v>217.53494686689399</v>
      </c>
      <c r="F573" s="202">
        <f>'Products x speed'!H193+'Products x speed'!H194</f>
        <v>0</v>
      </c>
      <c r="G573" s="202">
        <f>'Products x speed'!I193+'Products x speed'!I194</f>
        <v>0</v>
      </c>
      <c r="H573" s="202">
        <f>'Products x speed'!J193+'Products x speed'!J194</f>
        <v>0</v>
      </c>
      <c r="I573" s="202">
        <f>'Products x speed'!K193+'Products x speed'!K194</f>
        <v>0</v>
      </c>
      <c r="J573" s="202">
        <f>'Products x speed'!L193+'Products x speed'!L194</f>
        <v>0</v>
      </c>
      <c r="K573" s="202">
        <f>'Products x speed'!M193+'Products x speed'!M194</f>
        <v>0</v>
      </c>
      <c r="L573" s="202">
        <f>'Products x speed'!N193+'Products x speed'!N194</f>
        <v>0</v>
      </c>
      <c r="S573" s="487">
        <f>S571-S572</f>
        <v>0</v>
      </c>
    </row>
    <row r="574" spans="1:19" s="4" customFormat="1" ht="15.5">
      <c r="A574" s="9"/>
      <c r="B574" s="206" t="str">
        <f t="shared" si="83"/>
        <v>100 m  100G QSFP28 MM Duplex</v>
      </c>
      <c r="C574" s="202"/>
      <c r="D574" s="202"/>
      <c r="E574" s="202">
        <f>'Products x speed'!G195</f>
        <v>25.5</v>
      </c>
      <c r="F574" s="202">
        <f>'Products x speed'!H195</f>
        <v>0</v>
      </c>
      <c r="G574" s="202">
        <f>'Products x speed'!I195</f>
        <v>0</v>
      </c>
      <c r="H574" s="202">
        <f>'Products x speed'!J195</f>
        <v>0</v>
      </c>
      <c r="I574" s="202">
        <f>'Products x speed'!K195</f>
        <v>0</v>
      </c>
      <c r="J574" s="202">
        <f>'Products x speed'!L195</f>
        <v>0</v>
      </c>
      <c r="K574" s="202">
        <f>'Products x speed'!M195</f>
        <v>0</v>
      </c>
      <c r="L574" s="202">
        <f>'Products x speed'!N195</f>
        <v>0</v>
      </c>
      <c r="S574" s="487"/>
    </row>
    <row r="575" spans="1:19" s="4" customFormat="1" ht="15.5">
      <c r="A575" s="9"/>
      <c r="B575" s="206" t="str">
        <f t="shared" si="83"/>
        <v>300 m  100G QSFP28  eSR4</v>
      </c>
      <c r="C575" s="336"/>
      <c r="D575" s="336"/>
      <c r="E575" s="336">
        <f>'Products x speed'!G196</f>
        <v>1.7</v>
      </c>
      <c r="F575" s="336">
        <f>'Products x speed'!H196</f>
        <v>0</v>
      </c>
      <c r="G575" s="336">
        <f>'Products x speed'!I196</f>
        <v>0</v>
      </c>
      <c r="H575" s="336">
        <f>'Products x speed'!J196</f>
        <v>0</v>
      </c>
      <c r="I575" s="336">
        <f>'Products x speed'!K196</f>
        <v>0</v>
      </c>
      <c r="J575" s="336">
        <f>'Products x speed'!L196</f>
        <v>0</v>
      </c>
      <c r="K575" s="336">
        <f>'Products x speed'!M196</f>
        <v>0</v>
      </c>
      <c r="L575" s="336">
        <f>'Products x speed'!N196</f>
        <v>0</v>
      </c>
      <c r="S575" s="487"/>
    </row>
    <row r="576" spans="1:19" s="4" customFormat="1">
      <c r="A576" s="9"/>
      <c r="B576" s="213" t="str">
        <f t="shared" si="83"/>
        <v>100G Short Reach</v>
      </c>
      <c r="C576" s="318">
        <f t="shared" ref="C576:L576" si="84">SUM(C571:C575)</f>
        <v>98.621345999999988</v>
      </c>
      <c r="D576" s="318">
        <f t="shared" si="84"/>
        <v>124.64446038072001</v>
      </c>
      <c r="E576" s="318">
        <f t="shared" si="84"/>
        <v>251.93335254689399</v>
      </c>
      <c r="F576" s="318">
        <f t="shared" si="84"/>
        <v>0</v>
      </c>
      <c r="G576" s="318">
        <f t="shared" si="84"/>
        <v>0</v>
      </c>
      <c r="H576" s="318">
        <f t="shared" si="84"/>
        <v>0</v>
      </c>
      <c r="I576" s="318">
        <f t="shared" si="84"/>
        <v>0</v>
      </c>
      <c r="J576" s="318">
        <f t="shared" si="84"/>
        <v>0</v>
      </c>
      <c r="K576" s="318">
        <f t="shared" si="84"/>
        <v>0</v>
      </c>
      <c r="L576" s="318">
        <f t="shared" si="84"/>
        <v>0</v>
      </c>
      <c r="S576" s="26"/>
    </row>
    <row r="577" spans="1:19" ht="12" customHeight="1"/>
    <row r="578" spans="1:19" ht="21">
      <c r="B578" s="14" t="s">
        <v>182</v>
      </c>
      <c r="C578" s="312"/>
      <c r="D578" s="312"/>
      <c r="E578" s="312"/>
      <c r="F578" s="312"/>
      <c r="G578" s="312"/>
      <c r="H578" s="312"/>
      <c r="I578" s="312"/>
      <c r="J578" s="312"/>
      <c r="K578" s="312"/>
      <c r="L578" s="312"/>
      <c r="M578" s="312"/>
      <c r="N578" s="312"/>
    </row>
    <row r="579" spans="1:19" ht="21">
      <c r="B579" s="216" t="s">
        <v>22</v>
      </c>
      <c r="G579" s="216" t="s">
        <v>21</v>
      </c>
      <c r="M579" s="216" t="s">
        <v>15</v>
      </c>
    </row>
    <row r="580" spans="1:19" s="4" customFormat="1">
      <c r="A580" s="190"/>
      <c r="S580" s="26"/>
    </row>
    <row r="581" spans="1:19" s="4" customFormat="1">
      <c r="A581" s="190"/>
      <c r="S581" s="26"/>
    </row>
    <row r="582" spans="1:19" s="4" customFormat="1">
      <c r="A582" s="190"/>
      <c r="S582" s="26"/>
    </row>
    <row r="583" spans="1:19" s="4" customFormat="1">
      <c r="A583" s="190"/>
      <c r="S583" s="26"/>
    </row>
    <row r="584" spans="1:19" s="4" customFormat="1">
      <c r="A584" s="190"/>
      <c r="S584" s="26"/>
    </row>
    <row r="585" spans="1:19" s="4" customFormat="1">
      <c r="A585" s="190"/>
      <c r="S585" s="26"/>
    </row>
    <row r="586" spans="1:19" s="4" customFormat="1">
      <c r="A586" s="190"/>
      <c r="S586" s="26"/>
    </row>
    <row r="587" spans="1:19" s="4" customFormat="1">
      <c r="A587" s="190"/>
      <c r="S587" s="26"/>
    </row>
    <row r="588" spans="1:19" s="4" customFormat="1">
      <c r="A588" s="190"/>
      <c r="S588" s="26"/>
    </row>
    <row r="589" spans="1:19" s="4" customFormat="1">
      <c r="A589" s="190"/>
      <c r="S589" s="26"/>
    </row>
    <row r="590" spans="1:19" s="4" customFormat="1">
      <c r="A590" s="190"/>
      <c r="S590" s="26"/>
    </row>
    <row r="591" spans="1:19" s="4" customFormat="1">
      <c r="A591" s="190"/>
      <c r="S591" s="26"/>
    </row>
    <row r="592" spans="1:19" s="4" customFormat="1">
      <c r="A592" s="190"/>
      <c r="S592" s="26"/>
    </row>
    <row r="593" spans="1:19" s="4" customFormat="1">
      <c r="A593" s="190"/>
      <c r="S593" s="26"/>
    </row>
    <row r="594" spans="1:19" s="4" customFormat="1">
      <c r="A594" s="190"/>
      <c r="S594" s="26"/>
    </row>
    <row r="595" spans="1:19" s="4" customFormat="1">
      <c r="A595" s="190"/>
      <c r="S595" s="26"/>
    </row>
    <row r="596" spans="1:19" s="4" customFormat="1">
      <c r="A596" s="190"/>
      <c r="S596" s="26"/>
    </row>
    <row r="597" spans="1:19" s="4" customFormat="1">
      <c r="A597" s="190"/>
      <c r="S597" s="26"/>
    </row>
    <row r="598" spans="1:19" s="4" customFormat="1">
      <c r="A598" s="190"/>
      <c r="S598" s="26"/>
    </row>
    <row r="599" spans="1:19" s="4" customFormat="1">
      <c r="A599" s="190"/>
      <c r="S599" s="26"/>
    </row>
    <row r="600" spans="1:19" s="4" customFormat="1">
      <c r="A600" s="190"/>
      <c r="S600" s="26"/>
    </row>
    <row r="601" spans="1:19" s="4" customFormat="1">
      <c r="A601" s="190"/>
      <c r="S601" s="26"/>
    </row>
    <row r="602" spans="1:19" s="4" customFormat="1">
      <c r="A602" s="190"/>
      <c r="S602" s="26"/>
    </row>
    <row r="603" spans="1:19" s="4" customFormat="1">
      <c r="A603" s="190"/>
      <c r="S603" s="26"/>
    </row>
    <row r="604" spans="1:19" s="4" customFormat="1">
      <c r="A604" s="190"/>
      <c r="S604" s="26"/>
    </row>
    <row r="605" spans="1:19" s="4" customFormat="1">
      <c r="A605" s="190"/>
      <c r="S605" s="26"/>
    </row>
    <row r="606" spans="1:19" s="4" customFormat="1">
      <c r="A606" s="190"/>
      <c r="S606" s="26"/>
    </row>
    <row r="607" spans="1:19" s="4" customFormat="1">
      <c r="A607" s="190"/>
      <c r="S607" s="26"/>
    </row>
    <row r="608" spans="1:19" s="4" customFormat="1">
      <c r="A608" s="190"/>
      <c r="S608" s="26"/>
    </row>
    <row r="609" spans="1:19" s="4" customFormat="1">
      <c r="A609" s="190"/>
      <c r="S609" s="26"/>
    </row>
    <row r="610" spans="1:19" s="4" customFormat="1">
      <c r="A610" s="190"/>
      <c r="S610" s="26"/>
    </row>
    <row r="611" spans="1:19" s="4" customFormat="1">
      <c r="A611" s="190"/>
      <c r="S611" s="26"/>
    </row>
    <row r="612" spans="1:19" s="4" customFormat="1">
      <c r="A612" s="190"/>
      <c r="S612" s="26"/>
    </row>
    <row r="613" spans="1:19" s="4" customFormat="1">
      <c r="A613" s="190"/>
      <c r="S613" s="26"/>
    </row>
    <row r="614" spans="1:19" s="4" customFormat="1">
      <c r="A614" s="190"/>
      <c r="S614" s="26"/>
    </row>
    <row r="615" spans="1:19" s="4" customFormat="1">
      <c r="A615" s="190"/>
      <c r="S615" s="26"/>
    </row>
    <row r="616" spans="1:19" s="4" customFormat="1">
      <c r="A616" s="190"/>
      <c r="S616" s="26"/>
    </row>
    <row r="617" spans="1:19" s="4" customFormat="1">
      <c r="A617" s="190"/>
      <c r="S617" s="26"/>
    </row>
    <row r="618" spans="1:19" s="4" customFormat="1">
      <c r="A618" s="190"/>
      <c r="S618" s="26"/>
    </row>
    <row r="619" spans="1:19" s="4" customFormat="1">
      <c r="A619" s="190"/>
      <c r="S619" s="26"/>
    </row>
    <row r="620" spans="1:19" s="4" customFormat="1">
      <c r="A620" s="190"/>
      <c r="S620" s="26"/>
    </row>
    <row r="621" spans="1:19" s="4" customFormat="1">
      <c r="A621" s="190"/>
      <c r="S621" s="26"/>
    </row>
    <row r="622" spans="1:19" s="4" customFormat="1">
      <c r="A622" s="190"/>
      <c r="S622" s="26"/>
    </row>
    <row r="623" spans="1:19" s="4" customFormat="1">
      <c r="A623" s="190"/>
      <c r="S623" s="26"/>
    </row>
    <row r="624" spans="1:19" s="4" customFormat="1">
      <c r="A624" s="190"/>
      <c r="S624" s="26"/>
    </row>
    <row r="625" spans="1:19" s="4" customFormat="1">
      <c r="A625" s="190"/>
      <c r="S625" s="26"/>
    </row>
    <row r="626" spans="1:19" s="4" customFormat="1">
      <c r="A626" s="190"/>
      <c r="S626" s="26"/>
    </row>
    <row r="627" spans="1:19" s="4" customFormat="1">
      <c r="A627" s="190"/>
      <c r="S627" s="26"/>
    </row>
    <row r="628" spans="1:19" s="4" customFormat="1">
      <c r="A628" s="190"/>
      <c r="S628" s="26"/>
    </row>
    <row r="629" spans="1:19" s="4" customFormat="1">
      <c r="A629" s="190"/>
      <c r="S629" s="26"/>
    </row>
    <row r="630" spans="1:19" s="4" customFormat="1">
      <c r="A630" s="190"/>
      <c r="S630" s="26"/>
    </row>
    <row r="631" spans="1:19" s="4" customFormat="1">
      <c r="A631" s="190"/>
      <c r="S631" s="26"/>
    </row>
    <row r="632" spans="1:19" s="4" customFormat="1">
      <c r="A632" s="190"/>
      <c r="S632" s="26"/>
    </row>
    <row r="633" spans="1:19" s="4" customFormat="1">
      <c r="A633" s="190"/>
      <c r="S633" s="26"/>
    </row>
    <row r="634" spans="1:19" s="4" customFormat="1">
      <c r="A634" s="190"/>
      <c r="B634" s="68" t="s">
        <v>22</v>
      </c>
      <c r="C634" s="302">
        <v>2016</v>
      </c>
      <c r="D634" s="308">
        <v>2017</v>
      </c>
      <c r="E634" s="308">
        <v>2018</v>
      </c>
      <c r="F634" s="308">
        <v>2019</v>
      </c>
      <c r="G634" s="308">
        <v>2020</v>
      </c>
      <c r="H634" s="308">
        <v>2021</v>
      </c>
      <c r="I634" s="308">
        <v>2022</v>
      </c>
      <c r="J634" s="308">
        <v>2023</v>
      </c>
      <c r="K634" s="308">
        <v>2024</v>
      </c>
      <c r="L634" s="308">
        <v>2025</v>
      </c>
      <c r="S634" s="26"/>
    </row>
    <row r="635" spans="1:19" s="4" customFormat="1">
      <c r="A635" s="190"/>
      <c r="B635" s="280" t="str">
        <f>'Products x speed'!O47</f>
        <v>100G PSM4_500 m_QSFP28</v>
      </c>
      <c r="C635" s="131">
        <f>'Products x speed'!E47</f>
        <v>200861</v>
      </c>
      <c r="D635" s="131">
        <f>'Products x speed'!F47</f>
        <v>710038</v>
      </c>
      <c r="E635" s="131">
        <f>'Products x speed'!G47</f>
        <v>514311</v>
      </c>
      <c r="F635" s="131">
        <f>'Products x speed'!H47</f>
        <v>0</v>
      </c>
      <c r="G635" s="131">
        <f>'Products x speed'!I47</f>
        <v>0</v>
      </c>
      <c r="H635" s="131">
        <f>'Products x speed'!J47</f>
        <v>0</v>
      </c>
      <c r="I635" s="131">
        <f>'Products x speed'!K47</f>
        <v>0</v>
      </c>
      <c r="J635" s="131">
        <f>'Products x speed'!L47</f>
        <v>0</v>
      </c>
      <c r="K635" s="131">
        <f>'Products x speed'!M47</f>
        <v>0</v>
      </c>
      <c r="L635" s="131">
        <f>'Products x speed'!N47</f>
        <v>0</v>
      </c>
      <c r="S635" s="26"/>
    </row>
    <row r="636" spans="1:19" s="4" customFormat="1" ht="15.5">
      <c r="A636" s="190"/>
      <c r="B636" s="206" t="str">
        <f>'Products x speed'!O48</f>
        <v>100G DR_500 m_QSFP28</v>
      </c>
      <c r="C636" s="133"/>
      <c r="D636" s="133"/>
      <c r="E636" s="133">
        <f>'Products x speed'!G48</f>
        <v>3000</v>
      </c>
      <c r="F636" s="133">
        <f>'Products x speed'!H48</f>
        <v>0</v>
      </c>
      <c r="G636" s="133">
        <f>'Products x speed'!I48</f>
        <v>0</v>
      </c>
      <c r="H636" s="133">
        <f>'Products x speed'!J48</f>
        <v>0</v>
      </c>
      <c r="I636" s="133">
        <f>'Products x speed'!K48</f>
        <v>0</v>
      </c>
      <c r="J636" s="133">
        <f>'Products x speed'!L48</f>
        <v>0</v>
      </c>
      <c r="K636" s="133">
        <f>'Products x speed'!M48</f>
        <v>0</v>
      </c>
      <c r="L636" s="133">
        <f>'Products x speed'!N48</f>
        <v>0</v>
      </c>
      <c r="S636" s="487">
        <f>SUM(C635:L646)</f>
        <v>13947517.473389357</v>
      </c>
    </row>
    <row r="637" spans="1:19" s="4" customFormat="1" ht="15.5">
      <c r="A637" s="190"/>
      <c r="B637" s="206" t="str">
        <f>'Products x speed'!O49</f>
        <v>100G CWDM4-subspec_500 m_QSFP28</v>
      </c>
      <c r="C637" s="133">
        <f>'Products x speed'!E49</f>
        <v>88200.6</v>
      </c>
      <c r="D637" s="133">
        <f>'Products x speed'!F49</f>
        <v>683412.1</v>
      </c>
      <c r="E637" s="133">
        <f>'Products x speed'!G49</f>
        <v>1100000</v>
      </c>
      <c r="F637" s="133">
        <f>'Products x speed'!H49</f>
        <v>0</v>
      </c>
      <c r="G637" s="133">
        <f>'Products x speed'!I49</f>
        <v>0</v>
      </c>
      <c r="H637" s="133">
        <f>'Products x speed'!J49</f>
        <v>0</v>
      </c>
      <c r="I637" s="133">
        <f>'Products x speed'!K49</f>
        <v>0</v>
      </c>
      <c r="J637" s="133">
        <f>'Products x speed'!L49</f>
        <v>0</v>
      </c>
      <c r="K637" s="133">
        <f>'Products x speed'!M49</f>
        <v>0</v>
      </c>
      <c r="L637" s="133">
        <f>'Products x speed'!N49</f>
        <v>0</v>
      </c>
      <c r="S637" s="487">
        <f>SUM('Products x speed'!E47:N57)*2</f>
        <v>13947517.473389357</v>
      </c>
    </row>
    <row r="638" spans="1:19" s="4" customFormat="1" ht="15.5">
      <c r="A638" s="190"/>
      <c r="B638" s="206" t="str">
        <f>'Products x speed'!O50</f>
        <v>100G CWDM4_2 km_QSFP28</v>
      </c>
      <c r="C638" s="133">
        <f>'Products x speed'!E50</f>
        <v>30989.399999999994</v>
      </c>
      <c r="D638" s="133">
        <f>'Products x speed'!F50</f>
        <v>292890.90000000002</v>
      </c>
      <c r="E638" s="133">
        <f>'Products x speed'!G50</f>
        <v>1866292.6190476189</v>
      </c>
      <c r="F638" s="133">
        <f>'Products x speed'!H50</f>
        <v>0</v>
      </c>
      <c r="G638" s="133">
        <f>'Products x speed'!I50</f>
        <v>0</v>
      </c>
      <c r="H638" s="133">
        <f>'Products x speed'!J50</f>
        <v>0</v>
      </c>
      <c r="I638" s="133">
        <f>'Products x speed'!K50</f>
        <v>0</v>
      </c>
      <c r="J638" s="133">
        <f>'Products x speed'!L50</f>
        <v>0</v>
      </c>
      <c r="K638" s="133">
        <f>'Products x speed'!M50</f>
        <v>0</v>
      </c>
      <c r="L638" s="133">
        <f>'Products x speed'!N50</f>
        <v>0</v>
      </c>
      <c r="S638" s="487">
        <f>S636-S637</f>
        <v>0</v>
      </c>
    </row>
    <row r="639" spans="1:19" s="4" customFormat="1">
      <c r="A639" s="190"/>
      <c r="B639" s="206" t="str">
        <f>'Products x speed'!O51</f>
        <v>100G FR1_2 km_QSFP28</v>
      </c>
      <c r="C639" s="133"/>
      <c r="D639" s="133"/>
      <c r="E639" s="133"/>
      <c r="F639" s="133">
        <f>'Products x speed'!H51</f>
        <v>0</v>
      </c>
      <c r="G639" s="133">
        <f>'Products x speed'!I51</f>
        <v>0</v>
      </c>
      <c r="H639" s="133">
        <f>'Products x speed'!J51</f>
        <v>0</v>
      </c>
      <c r="I639" s="133">
        <f>'Products x speed'!K51</f>
        <v>0</v>
      </c>
      <c r="J639" s="133">
        <f>'Products x speed'!L51</f>
        <v>0</v>
      </c>
      <c r="K639" s="133">
        <f>'Products x speed'!M51</f>
        <v>0</v>
      </c>
      <c r="L639" s="133">
        <f>'Products x speed'!N51</f>
        <v>0</v>
      </c>
      <c r="S639" s="26"/>
    </row>
    <row r="640" spans="1:19" s="4" customFormat="1">
      <c r="A640" s="190"/>
      <c r="B640" s="206" t="str">
        <f>'Products x speed'!O52</f>
        <v>100G LR4_10 km_CFP</v>
      </c>
      <c r="C640" s="133">
        <f>'Products x speed'!E52</f>
        <v>109936</v>
      </c>
      <c r="D640" s="133">
        <f>'Products x speed'!F52</f>
        <v>67349</v>
      </c>
      <c r="E640" s="133">
        <f>'Products x speed'!G52</f>
        <v>38716</v>
      </c>
      <c r="F640" s="133">
        <f>'Products x speed'!H52</f>
        <v>0</v>
      </c>
      <c r="G640" s="133">
        <f>'Products x speed'!I52</f>
        <v>0</v>
      </c>
      <c r="H640" s="133">
        <f>'Products x speed'!J52</f>
        <v>0</v>
      </c>
      <c r="I640" s="133">
        <f>'Products x speed'!K52</f>
        <v>0</v>
      </c>
      <c r="J640" s="133">
        <f>'Products x speed'!L52</f>
        <v>0</v>
      </c>
      <c r="K640" s="133">
        <f>'Products x speed'!M52</f>
        <v>0</v>
      </c>
      <c r="L640" s="133">
        <f>'Products x speed'!N52</f>
        <v>0</v>
      </c>
      <c r="S640" s="26"/>
    </row>
    <row r="641" spans="1:19" s="4" customFormat="1">
      <c r="A641" s="190"/>
      <c r="B641" s="206" t="str">
        <f>'Products x speed'!O53</f>
        <v>100G LR4_10 km_CFP2/4</v>
      </c>
      <c r="C641" s="133">
        <f>'Products x speed'!E53</f>
        <v>92243</v>
      </c>
      <c r="D641" s="133">
        <f>'Products x speed'!F53</f>
        <v>78202</v>
      </c>
      <c r="E641" s="133">
        <f>'Products x speed'!G53</f>
        <v>73797</v>
      </c>
      <c r="F641" s="133">
        <f>'Products x speed'!H53</f>
        <v>0</v>
      </c>
      <c r="G641" s="133">
        <f>'Products x speed'!I53</f>
        <v>0</v>
      </c>
      <c r="H641" s="133">
        <f>'Products x speed'!J53</f>
        <v>0</v>
      </c>
      <c r="I641" s="133">
        <f>'Products x speed'!K53</f>
        <v>0</v>
      </c>
      <c r="J641" s="133">
        <f>'Products x speed'!L53</f>
        <v>0</v>
      </c>
      <c r="K641" s="133">
        <f>'Products x speed'!M53</f>
        <v>0</v>
      </c>
      <c r="L641" s="133">
        <f>'Products x speed'!N53</f>
        <v>0</v>
      </c>
      <c r="S641" s="26"/>
    </row>
    <row r="642" spans="1:19" s="4" customFormat="1">
      <c r="A642" s="190"/>
      <c r="B642" s="206" t="str">
        <f>'Products x speed'!O54</f>
        <v>100G LR4 and LR1_10 km_QSFP28</v>
      </c>
      <c r="C642" s="133">
        <f>'Products x speed'!E54</f>
        <v>90443</v>
      </c>
      <c r="D642" s="133">
        <f>'Products x speed'!F54</f>
        <v>362352</v>
      </c>
      <c r="E642" s="133">
        <f>'Products x speed'!G54</f>
        <v>397891.1176470588</v>
      </c>
      <c r="F642" s="133">
        <f>'Products x speed'!H54</f>
        <v>0</v>
      </c>
      <c r="G642" s="133">
        <f>'Products x speed'!I54</f>
        <v>0</v>
      </c>
      <c r="H642" s="133">
        <f>'Products x speed'!J54</f>
        <v>0</v>
      </c>
      <c r="I642" s="133">
        <f>'Products x speed'!K54</f>
        <v>0</v>
      </c>
      <c r="J642" s="133">
        <f>'Products x speed'!L54</f>
        <v>0</v>
      </c>
      <c r="K642" s="133">
        <f>'Products x speed'!M54</f>
        <v>0</v>
      </c>
      <c r="L642" s="133">
        <f>'Products x speed'!N54</f>
        <v>0</v>
      </c>
      <c r="S642" s="26"/>
    </row>
    <row r="643" spans="1:19" s="4" customFormat="1">
      <c r="A643" s="190"/>
      <c r="B643" s="206" t="str">
        <f>'Products x speed'!O55</f>
        <v>100G 4WDM10_10 km_QSFP28</v>
      </c>
      <c r="C643" s="133"/>
      <c r="D643" s="133">
        <f>'Products x speed'!F55</f>
        <v>45000</v>
      </c>
      <c r="E643" s="133">
        <f>'Products x speed'!G55</f>
        <v>100000</v>
      </c>
      <c r="F643" s="133">
        <f>'Products x speed'!H55</f>
        <v>0</v>
      </c>
      <c r="G643" s="133">
        <f>'Products x speed'!I55</f>
        <v>0</v>
      </c>
      <c r="H643" s="133">
        <f>'Products x speed'!J55</f>
        <v>0</v>
      </c>
      <c r="I643" s="133">
        <f>'Products x speed'!K55</f>
        <v>0</v>
      </c>
      <c r="J643" s="133">
        <f>'Products x speed'!L55</f>
        <v>0</v>
      </c>
      <c r="K643" s="133">
        <f>'Products x speed'!M55</f>
        <v>0</v>
      </c>
      <c r="L643" s="133">
        <f>'Products x speed'!N55</f>
        <v>0</v>
      </c>
      <c r="S643" s="26"/>
    </row>
    <row r="644" spans="1:19" s="4" customFormat="1">
      <c r="A644" s="190"/>
      <c r="B644" s="206" t="str">
        <f>'Products x speed'!O56</f>
        <v>100G 4WDM20_20 km_QSFP28</v>
      </c>
      <c r="C644" s="133"/>
      <c r="D644" s="133"/>
      <c r="E644" s="133">
        <f>'Products x speed'!G56</f>
        <v>0</v>
      </c>
      <c r="F644" s="133">
        <f>'Products x speed'!H56</f>
        <v>0</v>
      </c>
      <c r="G644" s="133">
        <f>'Products x speed'!I56</f>
        <v>0</v>
      </c>
      <c r="H644" s="133">
        <f>'Products x speed'!J56</f>
        <v>0</v>
      </c>
      <c r="I644" s="133">
        <f>'Products x speed'!K56</f>
        <v>0</v>
      </c>
      <c r="J644" s="133">
        <f>'Products x speed'!L56</f>
        <v>0</v>
      </c>
      <c r="K644" s="133">
        <f>'Products x speed'!M56</f>
        <v>0</v>
      </c>
      <c r="L644" s="133">
        <f>'Products x speed'!N56</f>
        <v>0</v>
      </c>
      <c r="S644" s="26"/>
    </row>
    <row r="645" spans="1:19" s="4" customFormat="1">
      <c r="A645" s="190"/>
      <c r="B645" s="296" t="str">
        <f>'Products x speed'!O57</f>
        <v>100G ER4, ER4-Lite_40 km_QSFP28</v>
      </c>
      <c r="C645" s="135">
        <f>'Products x speed'!E57</f>
        <v>7456</v>
      </c>
      <c r="D645" s="135">
        <f>'Products x speed'!F57</f>
        <v>10272</v>
      </c>
      <c r="E645" s="135">
        <f>'Products x speed'!G57</f>
        <v>10106</v>
      </c>
      <c r="F645" s="135">
        <f>'Products x speed'!H57</f>
        <v>0</v>
      </c>
      <c r="G645" s="135">
        <f>'Products x speed'!I57</f>
        <v>0</v>
      </c>
      <c r="H645" s="135">
        <f>'Products x speed'!J57</f>
        <v>0</v>
      </c>
      <c r="I645" s="135">
        <f>'Products x speed'!K57</f>
        <v>0</v>
      </c>
      <c r="J645" s="135">
        <f>'Products x speed'!L57</f>
        <v>0</v>
      </c>
      <c r="K645" s="135">
        <f>'Products x speed'!M57</f>
        <v>0</v>
      </c>
      <c r="L645" s="135">
        <f>'Products x speed'!N57</f>
        <v>0</v>
      </c>
      <c r="S645" s="26"/>
    </row>
    <row r="646" spans="1:19" s="4" customFormat="1">
      <c r="A646" s="190"/>
      <c r="B646" s="296" t="s">
        <v>173</v>
      </c>
      <c r="C646" s="305">
        <f t="shared" ref="C646:L646" si="85">SUM(C635:C645)</f>
        <v>620129</v>
      </c>
      <c r="D646" s="305">
        <f t="shared" si="85"/>
        <v>2249516</v>
      </c>
      <c r="E646" s="305">
        <f t="shared" si="85"/>
        <v>4104113.7366946777</v>
      </c>
      <c r="F646" s="305">
        <f t="shared" si="85"/>
        <v>0</v>
      </c>
      <c r="G646" s="305">
        <f t="shared" si="85"/>
        <v>0</v>
      </c>
      <c r="H646" s="305">
        <f t="shared" si="85"/>
        <v>0</v>
      </c>
      <c r="I646" s="305">
        <f t="shared" si="85"/>
        <v>0</v>
      </c>
      <c r="J646" s="305">
        <f t="shared" si="85"/>
        <v>0</v>
      </c>
      <c r="K646" s="305">
        <f t="shared" si="85"/>
        <v>0</v>
      </c>
      <c r="L646" s="305">
        <f t="shared" si="85"/>
        <v>0</v>
      </c>
      <c r="S646" s="26"/>
    </row>
    <row r="647" spans="1:19" s="4" customFormat="1">
      <c r="A647" s="190"/>
      <c r="C647" s="150">
        <f>C646-SUM('Products x speed'!E47:E57)</f>
        <v>0</v>
      </c>
      <c r="D647" s="150">
        <f>D646-SUM('Products x speed'!F47:F57)</f>
        <v>0</v>
      </c>
      <c r="E647" s="150">
        <f>E646-SUM('Products x speed'!G47:G57)</f>
        <v>0</v>
      </c>
      <c r="F647" s="150">
        <f>F646-SUM('Products x speed'!H47:H57)</f>
        <v>0</v>
      </c>
      <c r="G647" s="150">
        <f>G646-SUM('Products x speed'!I47:I57)</f>
        <v>0</v>
      </c>
      <c r="H647" s="150">
        <f>H646-SUM('Products x speed'!J47:J57)</f>
        <v>0</v>
      </c>
      <c r="I647" s="150">
        <f>I646-SUM('Products x speed'!K47:K57)</f>
        <v>0</v>
      </c>
      <c r="J647" s="150">
        <f>J646-SUM('Products x speed'!L47:L57)</f>
        <v>0</v>
      </c>
      <c r="K647" s="150">
        <f>K646-SUM('Products x speed'!M47:M57)</f>
        <v>0</v>
      </c>
      <c r="L647" s="150">
        <f>L646-SUM('Products x speed'!N47:N57)</f>
        <v>0</v>
      </c>
      <c r="S647" s="26"/>
    </row>
    <row r="648" spans="1:19">
      <c r="B648" s="68" t="s">
        <v>21</v>
      </c>
      <c r="C648" s="302">
        <v>2016</v>
      </c>
      <c r="D648" s="308">
        <v>2017</v>
      </c>
      <c r="E648" s="308">
        <v>2018</v>
      </c>
      <c r="F648" s="308">
        <v>2019</v>
      </c>
      <c r="G648" s="308">
        <v>2020</v>
      </c>
      <c r="H648" s="308">
        <v>2021</v>
      </c>
      <c r="I648" s="308">
        <v>2022</v>
      </c>
      <c r="J648" s="308">
        <v>2023</v>
      </c>
      <c r="K648" s="308">
        <v>2024</v>
      </c>
      <c r="L648" s="308">
        <v>2025</v>
      </c>
      <c r="S648" s="26"/>
    </row>
    <row r="649" spans="1:19" ht="15.5">
      <c r="B649" s="280" t="str">
        <f t="shared" ref="B649:B659" si="86">B635</f>
        <v>100G PSM4_500 m_QSFP28</v>
      </c>
      <c r="C649" s="140">
        <f>IF(C635=0,"",(C663*10^6)/C635)</f>
        <v>337.41687156790022</v>
      </c>
      <c r="D649" s="140">
        <f>IF(D635=0,"",(D663*10^6)/D635)</f>
        <v>222.65569307558187</v>
      </c>
      <c r="E649" s="140">
        <f>IF(E635=0,"",(E663*10^6)/E635)</f>
        <v>188.02033788894266</v>
      </c>
      <c r="F649" s="140" t="str">
        <f t="shared" ref="F649:K649" si="87">IF(F635=0,"",(F663*10^6)/F635)</f>
        <v/>
      </c>
      <c r="G649" s="140" t="str">
        <f t="shared" si="87"/>
        <v/>
      </c>
      <c r="H649" s="140" t="str">
        <f t="shared" si="87"/>
        <v/>
      </c>
      <c r="I649" s="140" t="str">
        <f t="shared" si="87"/>
        <v/>
      </c>
      <c r="J649" s="140" t="str">
        <f t="shared" si="87"/>
        <v/>
      </c>
      <c r="K649" s="140" t="str">
        <f t="shared" si="87"/>
        <v/>
      </c>
      <c r="L649" s="140" t="str">
        <f t="shared" ref="L649:L660" si="88">IF(L635=0,"",(L663*10^6)/L635)</f>
        <v/>
      </c>
      <c r="S649" s="487">
        <f>SUM(C649:L659)</f>
        <v>43033.514280569128</v>
      </c>
    </row>
    <row r="650" spans="1:19" ht="15.5">
      <c r="B650" s="206" t="str">
        <f t="shared" si="86"/>
        <v>100G DR_500 m_QSFP28</v>
      </c>
      <c r="C650" s="142"/>
      <c r="D650" s="142"/>
      <c r="E650" s="142">
        <f t="shared" ref="E650:K652" si="89">IF(E636=0,"",(E664*10^6)/E636)</f>
        <v>400</v>
      </c>
      <c r="F650" s="142" t="str">
        <f t="shared" si="89"/>
        <v/>
      </c>
      <c r="G650" s="142" t="str">
        <f t="shared" si="89"/>
        <v/>
      </c>
      <c r="H650" s="142" t="str">
        <f t="shared" si="89"/>
        <v/>
      </c>
      <c r="I650" s="142" t="str">
        <f t="shared" si="89"/>
        <v/>
      </c>
      <c r="J650" s="142" t="str">
        <f t="shared" si="89"/>
        <v/>
      </c>
      <c r="K650" s="142" t="str">
        <f t="shared" si="89"/>
        <v/>
      </c>
      <c r="L650" s="142" t="str">
        <f t="shared" si="88"/>
        <v/>
      </c>
      <c r="S650" s="487">
        <f>SUM('Products x speed'!E122:N132)</f>
        <v>43033.514280569128</v>
      </c>
    </row>
    <row r="651" spans="1:19" ht="15.5">
      <c r="B651" s="206" t="str">
        <f t="shared" si="86"/>
        <v>100G CWDM4-subspec_500 m_QSFP28</v>
      </c>
      <c r="C651" s="142">
        <f>IF(C637=0,"",(C665*10^6)/C637)</f>
        <v>625</v>
      </c>
      <c r="D651" s="142">
        <f>IF(D637=0,"",(D665*10^6)/D637)</f>
        <v>450</v>
      </c>
      <c r="E651" s="142">
        <f t="shared" si="89"/>
        <v>280</v>
      </c>
      <c r="F651" s="142" t="str">
        <f t="shared" si="89"/>
        <v/>
      </c>
      <c r="G651" s="142" t="str">
        <f t="shared" si="89"/>
        <v/>
      </c>
      <c r="H651" s="142" t="str">
        <f t="shared" si="89"/>
        <v/>
      </c>
      <c r="I651" s="142" t="str">
        <f t="shared" si="89"/>
        <v/>
      </c>
      <c r="J651" s="142" t="str">
        <f t="shared" si="89"/>
        <v/>
      </c>
      <c r="K651" s="142" t="str">
        <f t="shared" si="89"/>
        <v/>
      </c>
      <c r="L651" s="142" t="str">
        <f t="shared" si="88"/>
        <v/>
      </c>
      <c r="S651" s="487">
        <f>S649-S650</f>
        <v>0</v>
      </c>
    </row>
    <row r="652" spans="1:19">
      <c r="B652" s="206" t="str">
        <f t="shared" si="86"/>
        <v>100G CWDM4_2 km_QSFP28</v>
      </c>
      <c r="C652" s="142">
        <f>IF(C638=0,"",(C666*10^6)/C638)</f>
        <v>825</v>
      </c>
      <c r="D652" s="142">
        <f>IF(D638=0,"",(D666*10^6)/D638)</f>
        <v>650</v>
      </c>
      <c r="E652" s="142">
        <f t="shared" si="89"/>
        <v>490</v>
      </c>
      <c r="F652" s="142" t="str">
        <f t="shared" si="89"/>
        <v/>
      </c>
      <c r="G652" s="142" t="str">
        <f t="shared" si="89"/>
        <v/>
      </c>
      <c r="H652" s="142" t="str">
        <f t="shared" si="89"/>
        <v/>
      </c>
      <c r="I652" s="142" t="str">
        <f t="shared" si="89"/>
        <v/>
      </c>
      <c r="J652" s="142" t="str">
        <f t="shared" si="89"/>
        <v/>
      </c>
      <c r="K652" s="142" t="str">
        <f t="shared" si="89"/>
        <v/>
      </c>
      <c r="L652" s="142" t="str">
        <f t="shared" si="88"/>
        <v/>
      </c>
    </row>
    <row r="653" spans="1:19" ht="15.5">
      <c r="B653" s="206" t="str">
        <f t="shared" si="86"/>
        <v>100G FR1_2 km_QSFP28</v>
      </c>
      <c r="C653" s="142"/>
      <c r="D653" s="142"/>
      <c r="E653" s="142"/>
      <c r="F653" s="142" t="str">
        <f t="shared" ref="F653:K653" si="90">IF(F639=0,"",(F667*10^6)/F639)</f>
        <v/>
      </c>
      <c r="G653" s="142" t="str">
        <f t="shared" si="90"/>
        <v/>
      </c>
      <c r="H653" s="142" t="str">
        <f t="shared" si="90"/>
        <v/>
      </c>
      <c r="I653" s="142" t="str">
        <f t="shared" si="90"/>
        <v/>
      </c>
      <c r="J653" s="142" t="str">
        <f t="shared" si="90"/>
        <v/>
      </c>
      <c r="K653" s="142" t="str">
        <f t="shared" si="90"/>
        <v/>
      </c>
      <c r="L653" s="142" t="str">
        <f t="shared" si="88"/>
        <v/>
      </c>
      <c r="S653" s="487"/>
    </row>
    <row r="654" spans="1:19">
      <c r="B654" s="206" t="str">
        <f t="shared" si="86"/>
        <v>100G LR4_10 km_CFP</v>
      </c>
      <c r="C654" s="142">
        <f t="shared" ref="C654:D656" si="91">IF(C640=0,"",(C668*10^6)/C640)</f>
        <v>3527.8709620331333</v>
      </c>
      <c r="D654" s="142">
        <f t="shared" si="91"/>
        <v>2768.0701132780364</v>
      </c>
      <c r="E654" s="142">
        <f t="shared" ref="E654:K654" si="92">IF(E640=0,"",(E668*10^6)/E640)</f>
        <v>2103.9330552211131</v>
      </c>
      <c r="F654" s="142" t="str">
        <f t="shared" si="92"/>
        <v/>
      </c>
      <c r="G654" s="142" t="str">
        <f t="shared" si="92"/>
        <v/>
      </c>
      <c r="H654" s="142" t="str">
        <f t="shared" si="92"/>
        <v/>
      </c>
      <c r="I654" s="142" t="str">
        <f t="shared" si="92"/>
        <v/>
      </c>
      <c r="J654" s="142" t="str">
        <f t="shared" si="92"/>
        <v/>
      </c>
      <c r="K654" s="142" t="str">
        <f t="shared" si="92"/>
        <v/>
      </c>
      <c r="L654" s="142" t="str">
        <f t="shared" si="88"/>
        <v/>
      </c>
    </row>
    <row r="655" spans="1:19">
      <c r="B655" s="206" t="str">
        <f t="shared" si="86"/>
        <v>100G LR4_10 km_CFP2/4</v>
      </c>
      <c r="C655" s="142">
        <f t="shared" si="91"/>
        <v>2882.5268681316725</v>
      </c>
      <c r="D655" s="142">
        <f t="shared" si="91"/>
        <v>2140.3307221126156</v>
      </c>
      <c r="E655" s="142">
        <f t="shared" ref="E655:K656" si="93">IF(E641=0,"",(E669*10^6)/E641)</f>
        <v>1371.5324877705048</v>
      </c>
      <c r="F655" s="142" t="str">
        <f t="shared" si="93"/>
        <v/>
      </c>
      <c r="G655" s="142" t="str">
        <f t="shared" si="93"/>
        <v/>
      </c>
      <c r="H655" s="142" t="str">
        <f t="shared" si="93"/>
        <v/>
      </c>
      <c r="I655" s="142" t="str">
        <f t="shared" si="93"/>
        <v/>
      </c>
      <c r="J655" s="142" t="str">
        <f t="shared" si="93"/>
        <v/>
      </c>
      <c r="K655" s="142" t="str">
        <f t="shared" si="93"/>
        <v/>
      </c>
      <c r="L655" s="142" t="str">
        <f t="shared" si="88"/>
        <v/>
      </c>
      <c r="S655" s="26"/>
    </row>
    <row r="656" spans="1:19">
      <c r="B656" s="206" t="str">
        <f t="shared" si="86"/>
        <v>100G LR4 and LR1_10 km_QSFP28</v>
      </c>
      <c r="C656" s="142">
        <f t="shared" si="91"/>
        <v>1938.1501024552811</v>
      </c>
      <c r="D656" s="142">
        <f t="shared" si="91"/>
        <v>1200</v>
      </c>
      <c r="E656" s="142">
        <f t="shared" si="93"/>
        <v>833.83281288172873</v>
      </c>
      <c r="F656" s="142" t="str">
        <f t="shared" si="93"/>
        <v/>
      </c>
      <c r="G656" s="142" t="str">
        <f t="shared" si="93"/>
        <v/>
      </c>
      <c r="H656" s="142" t="str">
        <f t="shared" si="93"/>
        <v/>
      </c>
      <c r="I656" s="142" t="str">
        <f t="shared" si="93"/>
        <v/>
      </c>
      <c r="J656" s="142" t="str">
        <f t="shared" si="93"/>
        <v/>
      </c>
      <c r="K656" s="142" t="str">
        <f t="shared" si="93"/>
        <v/>
      </c>
      <c r="L656" s="142" t="str">
        <f t="shared" si="88"/>
        <v/>
      </c>
      <c r="S656" s="26"/>
    </row>
    <row r="657" spans="2:19">
      <c r="B657" s="206" t="str">
        <f t="shared" si="86"/>
        <v>100G 4WDM10_10 km_QSFP28</v>
      </c>
      <c r="C657" s="142"/>
      <c r="D657" s="142">
        <f>IF(D643=0,"",(D671*10^6)/D643)</f>
        <v>500</v>
      </c>
      <c r="E657" s="142">
        <f t="shared" ref="E657:K657" si="94">IF(E643=0,"",(E671*10^6)/E643)</f>
        <v>300</v>
      </c>
      <c r="F657" s="142" t="str">
        <f t="shared" si="94"/>
        <v/>
      </c>
      <c r="G657" s="142" t="str">
        <f t="shared" si="94"/>
        <v/>
      </c>
      <c r="H657" s="142" t="str">
        <f t="shared" si="94"/>
        <v/>
      </c>
      <c r="I657" s="142" t="str">
        <f t="shared" si="94"/>
        <v/>
      </c>
      <c r="J657" s="142" t="str">
        <f t="shared" si="94"/>
        <v/>
      </c>
      <c r="K657" s="142" t="str">
        <f t="shared" si="94"/>
        <v/>
      </c>
      <c r="L657" s="142" t="str">
        <f t="shared" si="88"/>
        <v/>
      </c>
      <c r="S657" s="26"/>
    </row>
    <row r="658" spans="2:19">
      <c r="B658" s="206" t="str">
        <f t="shared" si="86"/>
        <v>100G 4WDM20_20 km_QSFP28</v>
      </c>
      <c r="C658" s="142"/>
      <c r="D658" s="142"/>
      <c r="E658" s="142"/>
      <c r="F658" s="142" t="str">
        <f t="shared" ref="F658:K658" si="95">IF(F644=0,"",(F672*10^6)/F644)</f>
        <v/>
      </c>
      <c r="G658" s="142" t="str">
        <f t="shared" si="95"/>
        <v/>
      </c>
      <c r="H658" s="142" t="str">
        <f t="shared" si="95"/>
        <v/>
      </c>
      <c r="I658" s="142" t="str">
        <f t="shared" si="95"/>
        <v/>
      </c>
      <c r="J658" s="142" t="str">
        <f t="shared" si="95"/>
        <v/>
      </c>
      <c r="K658" s="142" t="str">
        <f t="shared" si="95"/>
        <v/>
      </c>
      <c r="L658" s="142" t="str">
        <f t="shared" si="88"/>
        <v/>
      </c>
      <c r="S658" s="26"/>
    </row>
    <row r="659" spans="2:19">
      <c r="B659" s="296" t="str">
        <f t="shared" si="86"/>
        <v>100G ER4, ER4-Lite_40 km_QSFP28</v>
      </c>
      <c r="C659" s="138">
        <f>IF(C645=0,"",(C673*10^6)/C645)</f>
        <v>8992.3605424008583</v>
      </c>
      <c r="D659" s="138">
        <f>IF(D645=0,"",(D673*10^6)/D645)</f>
        <v>6042.927196558162</v>
      </c>
      <c r="E659" s="138">
        <f t="shared" ref="E659:K659" si="96">IF(E645=0,"",(E673*10^6)/E645)</f>
        <v>3963.8865151935943</v>
      </c>
      <c r="F659" s="138" t="str">
        <f t="shared" si="96"/>
        <v/>
      </c>
      <c r="G659" s="138" t="str">
        <f t="shared" si="96"/>
        <v/>
      </c>
      <c r="H659" s="138" t="str">
        <f t="shared" si="96"/>
        <v/>
      </c>
      <c r="I659" s="138" t="str">
        <f t="shared" si="96"/>
        <v/>
      </c>
      <c r="J659" s="138" t="str">
        <f t="shared" si="96"/>
        <v/>
      </c>
      <c r="K659" s="138" t="str">
        <f t="shared" si="96"/>
        <v/>
      </c>
      <c r="L659" s="138" t="str">
        <f t="shared" si="88"/>
        <v/>
      </c>
      <c r="S659" s="26"/>
    </row>
    <row r="660" spans="2:19">
      <c r="B660" s="296" t="str">
        <f>$B$646</f>
        <v>100G Long Reach</v>
      </c>
      <c r="C660" s="138">
        <f t="shared" ref="C660:H660" si="97">IF(C646=0,"",(C674*10^6)/C646)</f>
        <v>1684.3876324759012</v>
      </c>
      <c r="D660" s="138">
        <f t="shared" si="97"/>
        <v>679.7945773014543</v>
      </c>
      <c r="E660" s="138">
        <f t="shared" si="97"/>
        <v>464.14134589853222</v>
      </c>
      <c r="F660" s="138" t="str">
        <f t="shared" si="97"/>
        <v/>
      </c>
      <c r="G660" s="138" t="str">
        <f t="shared" si="97"/>
        <v/>
      </c>
      <c r="H660" s="138" t="str">
        <f t="shared" si="97"/>
        <v/>
      </c>
      <c r="I660" s="138" t="str">
        <f>IF(I646=0,"",(I674*10^6)/I646)</f>
        <v/>
      </c>
      <c r="J660" s="138" t="str">
        <f>IF(J646=0,"",(J674*10^6)/J646)</f>
        <v/>
      </c>
      <c r="K660" s="138" t="str">
        <f>IF(K646=0,"",(K674*10^6)/K646)</f>
        <v/>
      </c>
      <c r="L660" s="138" t="str">
        <f t="shared" si="88"/>
        <v/>
      </c>
      <c r="S660" s="26"/>
    </row>
    <row r="661" spans="2:19">
      <c r="B661" s="4"/>
      <c r="C661" s="26"/>
      <c r="D661" s="26"/>
      <c r="E661" s="26"/>
      <c r="F661" s="26"/>
      <c r="G661" s="26"/>
      <c r="H661" s="26"/>
      <c r="I661" s="26"/>
      <c r="J661" s="26"/>
      <c r="K661" s="26"/>
      <c r="L661" s="26"/>
      <c r="S661" s="26"/>
    </row>
    <row r="662" spans="2:19">
      <c r="B662" s="68" t="s">
        <v>15</v>
      </c>
      <c r="C662" s="302">
        <v>2016</v>
      </c>
      <c r="D662" s="308">
        <v>2017</v>
      </c>
      <c r="E662" s="308">
        <v>2018</v>
      </c>
      <c r="F662" s="308">
        <v>2019</v>
      </c>
      <c r="G662" s="308">
        <v>2020</v>
      </c>
      <c r="H662" s="308">
        <v>2021</v>
      </c>
      <c r="I662" s="308">
        <v>2022</v>
      </c>
      <c r="J662" s="308">
        <v>2023</v>
      </c>
      <c r="K662" s="308">
        <v>2024</v>
      </c>
      <c r="L662" s="308">
        <v>2025</v>
      </c>
    </row>
    <row r="663" spans="2:19">
      <c r="B663" s="280" t="str">
        <f t="shared" ref="B663:B673" si="98">B635</f>
        <v>100G PSM4_500 m_QSFP28</v>
      </c>
      <c r="C663" s="140">
        <f>'Products x speed'!E197</f>
        <v>67.773890240000014</v>
      </c>
      <c r="D663" s="140">
        <f>'Products x speed'!F197</f>
        <v>158.09400299999999</v>
      </c>
      <c r="E663" s="140">
        <f>'Products x speed'!G197</f>
        <v>96.70092799999999</v>
      </c>
      <c r="F663" s="140">
        <f>'Products x speed'!H197</f>
        <v>0</v>
      </c>
      <c r="G663" s="140">
        <f>'Products x speed'!I197</f>
        <v>0</v>
      </c>
      <c r="H663" s="140">
        <f>'Products x speed'!J197</f>
        <v>0</v>
      </c>
      <c r="I663" s="140">
        <f>'Products x speed'!K197</f>
        <v>0</v>
      </c>
      <c r="J663" s="140">
        <f>'Products x speed'!L197</f>
        <v>0</v>
      </c>
      <c r="K663" s="140">
        <f>'Products x speed'!M197</f>
        <v>0</v>
      </c>
      <c r="L663" s="140">
        <f>'Products x speed'!N197</f>
        <v>0</v>
      </c>
    </row>
    <row r="664" spans="2:19" ht="15.5">
      <c r="B664" s="206" t="str">
        <f t="shared" si="98"/>
        <v>100G DR_500 m_QSFP28</v>
      </c>
      <c r="C664" s="142">
        <f>'Products x speed'!E198</f>
        <v>0</v>
      </c>
      <c r="D664" s="142">
        <f>'Products x speed'!F198</f>
        <v>0</v>
      </c>
      <c r="E664" s="142">
        <f>'Products x speed'!G198</f>
        <v>1.2</v>
      </c>
      <c r="F664" s="142">
        <f>'Products x speed'!H198</f>
        <v>0</v>
      </c>
      <c r="G664" s="142">
        <f>'Products x speed'!I198</f>
        <v>0</v>
      </c>
      <c r="H664" s="142">
        <f>'Products x speed'!J198</f>
        <v>0</v>
      </c>
      <c r="I664" s="142">
        <f>'Products x speed'!K198</f>
        <v>0</v>
      </c>
      <c r="J664" s="142">
        <f>'Products x speed'!L198</f>
        <v>0</v>
      </c>
      <c r="K664" s="142">
        <f>'Products x speed'!M198</f>
        <v>0</v>
      </c>
      <c r="L664" s="142">
        <f>'Products x speed'!N198</f>
        <v>0</v>
      </c>
      <c r="S664" s="487">
        <f>SUM(C663:L674)</f>
        <v>8957.2705399252554</v>
      </c>
    </row>
    <row r="665" spans="2:19" ht="15.5">
      <c r="B665" s="206" t="str">
        <f t="shared" si="98"/>
        <v>100G CWDM4-subspec_500 m_QSFP28</v>
      </c>
      <c r="C665" s="142">
        <f>'Products x speed'!E199</f>
        <v>55.125374999999998</v>
      </c>
      <c r="D665" s="142">
        <f>'Products x speed'!F199</f>
        <v>307.53544499999998</v>
      </c>
      <c r="E665" s="142">
        <f>'Products x speed'!G199</f>
        <v>308</v>
      </c>
      <c r="F665" s="142">
        <f>'Products x speed'!H199</f>
        <v>0</v>
      </c>
      <c r="G665" s="142">
        <f>'Products x speed'!I199</f>
        <v>0</v>
      </c>
      <c r="H665" s="142">
        <f>'Products x speed'!J199</f>
        <v>0</v>
      </c>
      <c r="I665" s="142">
        <f>'Products x speed'!K199</f>
        <v>0</v>
      </c>
      <c r="J665" s="142">
        <f>'Products x speed'!L199</f>
        <v>0</v>
      </c>
      <c r="K665" s="142">
        <f>'Products x speed'!M199</f>
        <v>0</v>
      </c>
      <c r="L665" s="142">
        <f>'Products x speed'!N199</f>
        <v>0</v>
      </c>
      <c r="S665" s="487">
        <f>SUM('Products x speed'!E197:N207)*2</f>
        <v>8957.2705399252554</v>
      </c>
    </row>
    <row r="666" spans="2:19" ht="15.5">
      <c r="B666" s="206" t="str">
        <f t="shared" si="98"/>
        <v>100G CWDM4_2 km_QSFP28</v>
      </c>
      <c r="C666" s="142">
        <f>+'Products x speed'!E200</f>
        <v>25.566254999999995</v>
      </c>
      <c r="D666" s="142">
        <f>+'Products x speed'!F200</f>
        <v>190.37908500000003</v>
      </c>
      <c r="E666" s="142">
        <f>+'Products x speed'!G200</f>
        <v>914.48338333333322</v>
      </c>
      <c r="F666" s="142">
        <f>+'Products x speed'!H200</f>
        <v>0</v>
      </c>
      <c r="G666" s="142">
        <f>+'Products x speed'!I200</f>
        <v>0</v>
      </c>
      <c r="H666" s="142">
        <f>+'Products x speed'!J200</f>
        <v>0</v>
      </c>
      <c r="I666" s="142">
        <f>+'Products x speed'!K200</f>
        <v>0</v>
      </c>
      <c r="J666" s="142">
        <f>+'Products x speed'!L200</f>
        <v>0</v>
      </c>
      <c r="K666" s="142">
        <f>+'Products x speed'!M200</f>
        <v>0</v>
      </c>
      <c r="L666" s="142">
        <f>+'Products x speed'!N200</f>
        <v>0</v>
      </c>
      <c r="S666" s="487">
        <f>S664-S665</f>
        <v>0</v>
      </c>
    </row>
    <row r="667" spans="2:19">
      <c r="B667" s="206" t="str">
        <f t="shared" si="98"/>
        <v>100G FR1_2 km_QSFP28</v>
      </c>
      <c r="C667" s="142">
        <f>'Products x speed'!E201</f>
        <v>0</v>
      </c>
      <c r="D667" s="142">
        <f>'Products x speed'!F201</f>
        <v>0</v>
      </c>
      <c r="E667" s="142">
        <f>'Products x speed'!G201</f>
        <v>0</v>
      </c>
      <c r="F667" s="142">
        <f>'Products x speed'!H201</f>
        <v>0</v>
      </c>
      <c r="G667" s="142">
        <f>'Products x speed'!I201</f>
        <v>0</v>
      </c>
      <c r="H667" s="142">
        <f>'Products x speed'!J201</f>
        <v>0</v>
      </c>
      <c r="I667" s="142">
        <f>'Products x speed'!K201</f>
        <v>0</v>
      </c>
      <c r="J667" s="142">
        <f>'Products x speed'!L201</f>
        <v>0</v>
      </c>
      <c r="K667" s="142">
        <f>'Products x speed'!M201</f>
        <v>0</v>
      </c>
      <c r="L667" s="142">
        <f>'Products x speed'!N201</f>
        <v>0</v>
      </c>
    </row>
    <row r="668" spans="2:19">
      <c r="B668" s="206" t="str">
        <f t="shared" si="98"/>
        <v>100G LR4_10 km_CFP</v>
      </c>
      <c r="C668" s="142">
        <f>'Products x speed'!E202</f>
        <v>387.84002208207454</v>
      </c>
      <c r="D668" s="142">
        <f>'Products x speed'!F202</f>
        <v>186.42675405916248</v>
      </c>
      <c r="E668" s="142">
        <f>'Products x speed'!G202</f>
        <v>81.455872165940619</v>
      </c>
      <c r="F668" s="142">
        <f>'Products x speed'!H202</f>
        <v>0</v>
      </c>
      <c r="G668" s="142">
        <f>'Products x speed'!I202</f>
        <v>0</v>
      </c>
      <c r="H668" s="142">
        <f>'Products x speed'!J202</f>
        <v>0</v>
      </c>
      <c r="I668" s="142">
        <f>'Products x speed'!K202</f>
        <v>0</v>
      </c>
      <c r="J668" s="142">
        <f>'Products x speed'!L202</f>
        <v>0</v>
      </c>
      <c r="K668" s="142">
        <f>'Products x speed'!M202</f>
        <v>0</v>
      </c>
      <c r="L668" s="142">
        <f>'Products x speed'!N202</f>
        <v>0</v>
      </c>
    </row>
    <row r="669" spans="2:19">
      <c r="B669" s="206" t="str">
        <f t="shared" si="98"/>
        <v>100G LR4_10 km_CFP2/4</v>
      </c>
      <c r="C669" s="142">
        <f>'Products x speed'!E203</f>
        <v>265.89292589706986</v>
      </c>
      <c r="D669" s="142">
        <f>'Products x speed'!F203</f>
        <v>167.37814313065076</v>
      </c>
      <c r="E669" s="142">
        <f>'Products x speed'!G203</f>
        <v>101.21498299999995</v>
      </c>
      <c r="F669" s="142">
        <f>'Products x speed'!H203</f>
        <v>0</v>
      </c>
      <c r="G669" s="142">
        <f>'Products x speed'!I203</f>
        <v>0</v>
      </c>
      <c r="H669" s="142">
        <f>'Products x speed'!J203</f>
        <v>0</v>
      </c>
      <c r="I669" s="142">
        <f>'Products x speed'!K203</f>
        <v>0</v>
      </c>
      <c r="J669" s="142">
        <f>'Products x speed'!L203</f>
        <v>0</v>
      </c>
      <c r="K669" s="142">
        <f>'Products x speed'!M203</f>
        <v>0</v>
      </c>
      <c r="L669" s="142">
        <f>'Products x speed'!N203</f>
        <v>0</v>
      </c>
    </row>
    <row r="670" spans="2:19">
      <c r="B670" s="206" t="str">
        <f t="shared" si="98"/>
        <v>100G LR4 and LR1_10 km_QSFP28</v>
      </c>
      <c r="C670" s="142">
        <f>'Products x speed'!E204</f>
        <v>175.29210971636297</v>
      </c>
      <c r="D670" s="142">
        <f>'Products x speed'!F204</f>
        <v>434.82240000000002</v>
      </c>
      <c r="E670" s="142">
        <f>'Products x speed'!G204</f>
        <v>331.77466984830187</v>
      </c>
      <c r="F670" s="142">
        <f>'Products x speed'!H204</f>
        <v>0</v>
      </c>
      <c r="G670" s="142">
        <f>'Products x speed'!I204</f>
        <v>0</v>
      </c>
      <c r="H670" s="142">
        <f>'Products x speed'!J204</f>
        <v>0</v>
      </c>
      <c r="I670" s="142">
        <f>'Products x speed'!K204</f>
        <v>0</v>
      </c>
      <c r="J670" s="142">
        <f>'Products x speed'!L204</f>
        <v>0</v>
      </c>
      <c r="K670" s="142">
        <f>'Products x speed'!M204</f>
        <v>0</v>
      </c>
      <c r="L670" s="142">
        <f>'Products x speed'!N204</f>
        <v>0</v>
      </c>
    </row>
    <row r="671" spans="2:19">
      <c r="B671" s="206" t="str">
        <f t="shared" si="98"/>
        <v>100G 4WDM10_10 km_QSFP28</v>
      </c>
      <c r="C671" s="142">
        <f>'Products x speed'!E205</f>
        <v>0</v>
      </c>
      <c r="D671" s="142">
        <f>'Products x speed'!F205</f>
        <v>22.5</v>
      </c>
      <c r="E671" s="142">
        <f>'Products x speed'!G205</f>
        <v>30</v>
      </c>
      <c r="F671" s="142">
        <f>'Products x speed'!H205</f>
        <v>0</v>
      </c>
      <c r="G671" s="142">
        <f>'Products x speed'!I205</f>
        <v>0</v>
      </c>
      <c r="H671" s="142">
        <f>'Products x speed'!J205</f>
        <v>0</v>
      </c>
      <c r="I671" s="142">
        <f>'Products x speed'!K205</f>
        <v>0</v>
      </c>
      <c r="J671" s="142">
        <f>'Products x speed'!L205</f>
        <v>0</v>
      </c>
      <c r="K671" s="142">
        <f>'Products x speed'!M205</f>
        <v>0</v>
      </c>
      <c r="L671" s="142">
        <f>'Products x speed'!N205</f>
        <v>0</v>
      </c>
    </row>
    <row r="672" spans="2:19">
      <c r="B672" s="206" t="str">
        <f t="shared" si="98"/>
        <v>100G 4WDM20_20 km_QSFP28</v>
      </c>
      <c r="C672" s="142">
        <f>'Products x speed'!E206</f>
        <v>0</v>
      </c>
      <c r="D672" s="142">
        <f>'Products x speed'!F206</f>
        <v>0</v>
      </c>
      <c r="E672" s="142">
        <f>'Products x speed'!G206</f>
        <v>0</v>
      </c>
      <c r="F672" s="142">
        <f>'Products x speed'!H206</f>
        <v>0</v>
      </c>
      <c r="G672" s="142">
        <f>'Products x speed'!I206</f>
        <v>0</v>
      </c>
      <c r="H672" s="142">
        <f>'Products x speed'!J206</f>
        <v>0</v>
      </c>
      <c r="I672" s="142">
        <f>'Products x speed'!K206</f>
        <v>0</v>
      </c>
      <c r="J672" s="142">
        <f>'Products x speed'!L206</f>
        <v>0</v>
      </c>
      <c r="K672" s="142">
        <f>'Products x speed'!M206</f>
        <v>0</v>
      </c>
      <c r="L672" s="142">
        <f>'Products x speed'!N206</f>
        <v>0</v>
      </c>
    </row>
    <row r="673" spans="2:12">
      <c r="B673" s="296" t="str">
        <f t="shared" si="98"/>
        <v>100G ER4, ER4-Lite_40 km_QSFP28</v>
      </c>
      <c r="C673" s="138">
        <f>'Products x speed'!E207</f>
        <v>67.047040204140799</v>
      </c>
      <c r="D673" s="138">
        <f>'Products x speed'!F207</f>
        <v>62.072948163045439</v>
      </c>
      <c r="E673" s="138">
        <f>'Products x speed'!G207</f>
        <v>40.059037122546464</v>
      </c>
      <c r="F673" s="138">
        <f>'Products x speed'!H207</f>
        <v>0</v>
      </c>
      <c r="G673" s="138">
        <f>'Products x speed'!I207</f>
        <v>0</v>
      </c>
      <c r="H673" s="138">
        <f>'Products x speed'!J207</f>
        <v>0</v>
      </c>
      <c r="I673" s="138">
        <f>'Products x speed'!K207</f>
        <v>0</v>
      </c>
      <c r="J673" s="138">
        <f>'Products x speed'!L207</f>
        <v>0</v>
      </c>
      <c r="K673" s="138">
        <f>'Products x speed'!M207</f>
        <v>0</v>
      </c>
      <c r="L673" s="138">
        <f>'Products x speed'!N207</f>
        <v>0</v>
      </c>
    </row>
    <row r="674" spans="2:12">
      <c r="B674" s="296" t="str">
        <f>$B$646</f>
        <v>100G Long Reach</v>
      </c>
      <c r="C674" s="138">
        <f t="shared" ref="C674:L674" si="99">SUM(C663:C673)</f>
        <v>1044.5376181396482</v>
      </c>
      <c r="D674" s="138">
        <f t="shared" si="99"/>
        <v>1529.2087783528584</v>
      </c>
      <c r="E674" s="138">
        <f t="shared" si="99"/>
        <v>1904.888873470122</v>
      </c>
      <c r="F674" s="138">
        <f t="shared" si="99"/>
        <v>0</v>
      </c>
      <c r="G674" s="138">
        <f t="shared" si="99"/>
        <v>0</v>
      </c>
      <c r="H674" s="138">
        <f t="shared" si="99"/>
        <v>0</v>
      </c>
      <c r="I674" s="138">
        <f t="shared" si="99"/>
        <v>0</v>
      </c>
      <c r="J674" s="138">
        <f t="shared" si="99"/>
        <v>0</v>
      </c>
      <c r="K674" s="138">
        <f t="shared" si="99"/>
        <v>0</v>
      </c>
      <c r="L674" s="138">
        <f t="shared" si="99"/>
        <v>0</v>
      </c>
    </row>
    <row r="675" spans="2:12">
      <c r="C675" s="127">
        <f>SUM('Products x speed'!E197:E207)-C674</f>
        <v>0</v>
      </c>
      <c r="D675" s="127">
        <f>SUM('Products x speed'!F197:F207)-D674</f>
        <v>0</v>
      </c>
      <c r="E675" s="127">
        <f>SUM('Products x speed'!G197:G207)-E674</f>
        <v>0</v>
      </c>
      <c r="F675" s="127">
        <f>SUM('Products x speed'!H197:H207)-F674</f>
        <v>0</v>
      </c>
      <c r="G675" s="127">
        <f>SUM('Products x speed'!I197:I207)-G674</f>
        <v>0</v>
      </c>
      <c r="H675" s="127">
        <f>SUM('Products x speed'!J197:J207)-H674</f>
        <v>0</v>
      </c>
      <c r="I675" s="127">
        <f>SUM('Products x speed'!K197:K207)-I674</f>
        <v>0</v>
      </c>
      <c r="J675" s="127">
        <f>SUM('Products x speed'!L197:L207)-J674</f>
        <v>0</v>
      </c>
      <c r="K675" s="127">
        <f>SUM('Products x speed'!M197:M207)-K674</f>
        <v>0</v>
      </c>
      <c r="L675" s="127">
        <f>SUM('Products x speed'!N197:N207)-L674</f>
        <v>0</v>
      </c>
    </row>
    <row r="677" spans="2:12" s="371" customFormat="1" ht="21">
      <c r="B677" s="559" t="s">
        <v>438</v>
      </c>
    </row>
    <row r="678" spans="2:12" s="210" customFormat="1" ht="21">
      <c r="B678" s="560"/>
    </row>
    <row r="679" spans="2:12" s="210" customFormat="1" ht="21">
      <c r="B679" s="560"/>
    </row>
    <row r="680" spans="2:12" s="210" customFormat="1" ht="21">
      <c r="B680" s="560"/>
    </row>
    <row r="681" spans="2:12" s="210" customFormat="1" ht="21">
      <c r="B681" s="560"/>
    </row>
    <row r="682" spans="2:12" s="210" customFormat="1" ht="21">
      <c r="B682" s="560"/>
    </row>
    <row r="683" spans="2:12" s="210" customFormat="1" ht="21">
      <c r="B683" s="560"/>
    </row>
    <row r="684" spans="2:12" s="210" customFormat="1" ht="21">
      <c r="B684" s="560"/>
    </row>
    <row r="685" spans="2:12" s="210" customFormat="1" ht="21">
      <c r="B685" s="560"/>
    </row>
    <row r="686" spans="2:12" s="210" customFormat="1" ht="21">
      <c r="B686" s="560"/>
    </row>
    <row r="687" spans="2:12" s="210" customFormat="1" ht="21">
      <c r="B687" s="560"/>
    </row>
    <row r="688" spans="2:12" s="210" customFormat="1" ht="21">
      <c r="B688" s="560"/>
    </row>
    <row r="689" spans="2:19" s="210" customFormat="1" ht="21">
      <c r="B689" s="560"/>
    </row>
    <row r="690" spans="2:19" s="210" customFormat="1" ht="21">
      <c r="B690" s="560"/>
    </row>
    <row r="694" spans="2:19" ht="15.5">
      <c r="B694" s="567" t="s">
        <v>440</v>
      </c>
    </row>
    <row r="695" spans="2:19">
      <c r="B695" s="68" t="s">
        <v>22</v>
      </c>
      <c r="C695" s="472">
        <v>2016</v>
      </c>
      <c r="D695" s="472">
        <v>2017</v>
      </c>
      <c r="E695" s="472">
        <v>2018</v>
      </c>
      <c r="F695" s="472">
        <v>2019</v>
      </c>
      <c r="G695" s="472">
        <v>2020</v>
      </c>
      <c r="H695" s="472">
        <v>2021</v>
      </c>
      <c r="I695" s="472">
        <v>2022</v>
      </c>
      <c r="J695" s="472">
        <v>2023</v>
      </c>
      <c r="K695" s="472">
        <v>2024</v>
      </c>
      <c r="L695" s="472">
        <v>2025</v>
      </c>
    </row>
    <row r="696" spans="2:19">
      <c r="B696" s="213" t="s">
        <v>442</v>
      </c>
      <c r="C696" s="212">
        <f t="shared" ref="C696:L696" si="100">C557</f>
        <v>280058</v>
      </c>
      <c r="D696" s="212">
        <f t="shared" si="100"/>
        <v>622792</v>
      </c>
      <c r="E696" s="212">
        <f t="shared" si="100"/>
        <v>1915817</v>
      </c>
      <c r="F696" s="212">
        <f t="shared" si="100"/>
        <v>0</v>
      </c>
      <c r="G696" s="212">
        <f t="shared" si="100"/>
        <v>0</v>
      </c>
      <c r="H696" s="212">
        <f t="shared" si="100"/>
        <v>0</v>
      </c>
      <c r="I696" s="212">
        <f t="shared" si="100"/>
        <v>0</v>
      </c>
      <c r="J696" s="212">
        <f t="shared" si="100"/>
        <v>0</v>
      </c>
      <c r="K696" s="212">
        <f t="shared" si="100"/>
        <v>0</v>
      </c>
      <c r="L696" s="212">
        <f t="shared" si="100"/>
        <v>0</v>
      </c>
    </row>
    <row r="697" spans="2:19">
      <c r="B697" s="280" t="s">
        <v>376</v>
      </c>
      <c r="C697" s="460">
        <f>C635</f>
        <v>200861</v>
      </c>
      <c r="D697" s="460">
        <f t="shared" ref="D697:L697" si="101">D635</f>
        <v>710038</v>
      </c>
      <c r="E697" s="460">
        <f t="shared" si="101"/>
        <v>514311</v>
      </c>
      <c r="F697" s="460">
        <f t="shared" si="101"/>
        <v>0</v>
      </c>
      <c r="G697" s="460">
        <f t="shared" si="101"/>
        <v>0</v>
      </c>
      <c r="H697" s="460">
        <f t="shared" si="101"/>
        <v>0</v>
      </c>
      <c r="I697" s="460">
        <f t="shared" si="101"/>
        <v>0</v>
      </c>
      <c r="J697" s="460">
        <f t="shared" si="101"/>
        <v>0</v>
      </c>
      <c r="K697" s="460">
        <f t="shared" si="101"/>
        <v>0</v>
      </c>
      <c r="L697" s="460">
        <f t="shared" si="101"/>
        <v>0</v>
      </c>
      <c r="S697" s="157" t="s">
        <v>335</v>
      </c>
    </row>
    <row r="698" spans="2:19">
      <c r="B698" s="280" t="s">
        <v>439</v>
      </c>
      <c r="C698" s="460">
        <f>C636+C639</f>
        <v>0</v>
      </c>
      <c r="D698" s="460">
        <f t="shared" ref="D698:L698" si="102">D636+D639</f>
        <v>0</v>
      </c>
      <c r="E698" s="460">
        <f t="shared" si="102"/>
        <v>3000</v>
      </c>
      <c r="F698" s="460">
        <f t="shared" si="102"/>
        <v>0</v>
      </c>
      <c r="G698" s="460">
        <f t="shared" si="102"/>
        <v>0</v>
      </c>
      <c r="H698" s="460">
        <f t="shared" si="102"/>
        <v>0</v>
      </c>
      <c r="I698" s="460">
        <f t="shared" si="102"/>
        <v>0</v>
      </c>
      <c r="J698" s="460">
        <f t="shared" si="102"/>
        <v>0</v>
      </c>
      <c r="K698" s="460">
        <f t="shared" si="102"/>
        <v>0</v>
      </c>
      <c r="L698" s="460">
        <f t="shared" si="102"/>
        <v>0</v>
      </c>
      <c r="S698" s="60">
        <f>SUM(C696:L702)</f>
        <v>19975769.473389357</v>
      </c>
    </row>
    <row r="699" spans="2:19">
      <c r="B699" s="280" t="s">
        <v>441</v>
      </c>
      <c r="C699" s="460">
        <f>C637+C638</f>
        <v>119190</v>
      </c>
      <c r="D699" s="460">
        <f t="shared" ref="D699:L699" si="103">D637+D638</f>
        <v>976303</v>
      </c>
      <c r="E699" s="460">
        <f t="shared" si="103"/>
        <v>2966292.6190476189</v>
      </c>
      <c r="F699" s="460">
        <f t="shared" si="103"/>
        <v>0</v>
      </c>
      <c r="G699" s="460">
        <f t="shared" si="103"/>
        <v>0</v>
      </c>
      <c r="H699" s="460">
        <f t="shared" si="103"/>
        <v>0</v>
      </c>
      <c r="I699" s="460">
        <f t="shared" si="103"/>
        <v>0</v>
      </c>
      <c r="J699" s="460">
        <f t="shared" si="103"/>
        <v>0</v>
      </c>
      <c r="K699" s="460">
        <f t="shared" si="103"/>
        <v>0</v>
      </c>
      <c r="L699" s="460">
        <f t="shared" si="103"/>
        <v>0</v>
      </c>
      <c r="S699" s="104">
        <f>2*SUM('Products x speed'!E75:N75)</f>
        <v>19975769.473389357</v>
      </c>
    </row>
    <row r="700" spans="2:19">
      <c r="B700" s="213" t="s">
        <v>385</v>
      </c>
      <c r="C700" s="212">
        <f t="shared" ref="C700:L700" si="104">C642</f>
        <v>90443</v>
      </c>
      <c r="D700" s="212">
        <f t="shared" si="104"/>
        <v>362352</v>
      </c>
      <c r="E700" s="212">
        <f t="shared" si="104"/>
        <v>397891.1176470588</v>
      </c>
      <c r="F700" s="212">
        <f t="shared" si="104"/>
        <v>0</v>
      </c>
      <c r="G700" s="212">
        <f t="shared" si="104"/>
        <v>0</v>
      </c>
      <c r="H700" s="212">
        <f t="shared" si="104"/>
        <v>0</v>
      </c>
      <c r="I700" s="212">
        <f t="shared" si="104"/>
        <v>0</v>
      </c>
      <c r="J700" s="212">
        <f t="shared" si="104"/>
        <v>0</v>
      </c>
      <c r="K700" s="212">
        <f t="shared" si="104"/>
        <v>0</v>
      </c>
      <c r="L700" s="212">
        <f t="shared" si="104"/>
        <v>0</v>
      </c>
      <c r="S700" s="60">
        <f>S698-S699</f>
        <v>0</v>
      </c>
    </row>
    <row r="701" spans="2:19">
      <c r="B701" s="562" t="s">
        <v>443</v>
      </c>
      <c r="C701" s="563">
        <f>C702-SUM(C696:C700)</f>
        <v>228818</v>
      </c>
      <c r="D701" s="563">
        <f t="shared" ref="D701:L701" si="105">D702-SUM(D696:D700)</f>
        <v>210005</v>
      </c>
      <c r="E701" s="563">
        <f t="shared" si="105"/>
        <v>389713</v>
      </c>
      <c r="F701" s="563">
        <f t="shared" si="105"/>
        <v>0</v>
      </c>
      <c r="G701" s="563">
        <f t="shared" si="105"/>
        <v>0</v>
      </c>
      <c r="H701" s="563">
        <f t="shared" si="105"/>
        <v>0</v>
      </c>
      <c r="I701" s="563">
        <f t="shared" si="105"/>
        <v>0</v>
      </c>
      <c r="J701" s="563">
        <f t="shared" si="105"/>
        <v>0</v>
      </c>
      <c r="K701" s="563">
        <f t="shared" si="105"/>
        <v>0</v>
      </c>
      <c r="L701" s="563">
        <f t="shared" si="105"/>
        <v>0</v>
      </c>
    </row>
    <row r="702" spans="2:19">
      <c r="B702" s="562" t="s">
        <v>444</v>
      </c>
      <c r="C702" s="564">
        <f>'Products x speed'!E75</f>
        <v>919370</v>
      </c>
      <c r="D702" s="564">
        <f>'Products x speed'!F75</f>
        <v>2881490</v>
      </c>
      <c r="E702" s="564">
        <f>'Products x speed'!G75</f>
        <v>6187024.7366946787</v>
      </c>
      <c r="F702" s="564">
        <f>'Products x speed'!H75</f>
        <v>0</v>
      </c>
      <c r="G702" s="564">
        <f>'Products x speed'!I75</f>
        <v>0</v>
      </c>
      <c r="H702" s="564">
        <f>'Products x speed'!J75</f>
        <v>0</v>
      </c>
      <c r="I702" s="564">
        <f>'Products x speed'!K75</f>
        <v>0</v>
      </c>
      <c r="J702" s="564">
        <f>'Products x speed'!L75</f>
        <v>0</v>
      </c>
      <c r="K702" s="564">
        <f>'Products x speed'!M75</f>
        <v>0</v>
      </c>
      <c r="L702" s="564">
        <f>'Products x speed'!N75</f>
        <v>0</v>
      </c>
    </row>
    <row r="704" spans="2:19">
      <c r="B704" s="68" t="s">
        <v>21</v>
      </c>
      <c r="C704" s="472">
        <v>2016</v>
      </c>
      <c r="D704" s="472">
        <v>2017</v>
      </c>
      <c r="E704" s="472">
        <v>2018</v>
      </c>
      <c r="F704" s="472">
        <v>2019</v>
      </c>
      <c r="G704" s="472">
        <v>2020</v>
      </c>
      <c r="H704" s="472">
        <v>2021</v>
      </c>
      <c r="I704" s="472">
        <v>2022</v>
      </c>
      <c r="J704" s="472">
        <v>2023</v>
      </c>
      <c r="K704" s="472">
        <v>2024</v>
      </c>
      <c r="L704" s="472">
        <v>2025</v>
      </c>
    </row>
    <row r="705" spans="2:19">
      <c r="B705" s="213" t="s">
        <v>442</v>
      </c>
      <c r="C705" s="561">
        <f>IF(C696=0,"",(C714*10^6)/C696)</f>
        <v>258.09426618771823</v>
      </c>
      <c r="D705" s="561">
        <f t="shared" ref="D705:L705" si="106">IF(D696=0,"",(D714*10^6)/D696)</f>
        <v>182.02277386466108</v>
      </c>
      <c r="E705" s="561">
        <f t="shared" si="106"/>
        <v>113.54682982085136</v>
      </c>
      <c r="F705" s="561" t="str">
        <f t="shared" si="106"/>
        <v/>
      </c>
      <c r="G705" s="561" t="str">
        <f t="shared" si="106"/>
        <v/>
      </c>
      <c r="H705" s="561" t="str">
        <f t="shared" si="106"/>
        <v/>
      </c>
      <c r="I705" s="561" t="str">
        <f t="shared" si="106"/>
        <v/>
      </c>
      <c r="J705" s="561" t="str">
        <f t="shared" si="106"/>
        <v/>
      </c>
      <c r="K705" s="561" t="str">
        <f t="shared" si="106"/>
        <v/>
      </c>
      <c r="L705" s="561" t="str">
        <f t="shared" si="106"/>
        <v/>
      </c>
    </row>
    <row r="706" spans="2:19">
      <c r="B706" s="280" t="s">
        <v>376</v>
      </c>
      <c r="C706" s="561">
        <f t="shared" ref="C706:L711" si="107">IF(C697=0,"",(C715*10^6)/C697)</f>
        <v>337.41687156790022</v>
      </c>
      <c r="D706" s="561">
        <f t="shared" si="107"/>
        <v>222.65569307558187</v>
      </c>
      <c r="E706" s="561">
        <f t="shared" si="107"/>
        <v>188.02033788894266</v>
      </c>
      <c r="F706" s="561" t="str">
        <f t="shared" si="107"/>
        <v/>
      </c>
      <c r="G706" s="561" t="str">
        <f t="shared" si="107"/>
        <v/>
      </c>
      <c r="H706" s="561" t="str">
        <f t="shared" si="107"/>
        <v/>
      </c>
      <c r="I706" s="561" t="str">
        <f t="shared" si="107"/>
        <v/>
      </c>
      <c r="J706" s="561" t="str">
        <f t="shared" si="107"/>
        <v/>
      </c>
      <c r="K706" s="561" t="str">
        <f t="shared" si="107"/>
        <v/>
      </c>
      <c r="L706" s="561" t="str">
        <f t="shared" si="107"/>
        <v/>
      </c>
    </row>
    <row r="707" spans="2:19">
      <c r="B707" s="280" t="s">
        <v>439</v>
      </c>
      <c r="C707" s="561"/>
      <c r="D707" s="561"/>
      <c r="E707" s="561">
        <f t="shared" si="107"/>
        <v>400</v>
      </c>
      <c r="F707" s="561" t="str">
        <f t="shared" si="107"/>
        <v/>
      </c>
      <c r="G707" s="561" t="str">
        <f t="shared" si="107"/>
        <v/>
      </c>
      <c r="H707" s="561" t="str">
        <f t="shared" si="107"/>
        <v/>
      </c>
      <c r="I707" s="561" t="str">
        <f t="shared" si="107"/>
        <v/>
      </c>
      <c r="J707" s="561" t="str">
        <f t="shared" si="107"/>
        <v/>
      </c>
      <c r="K707" s="561" t="str">
        <f t="shared" si="107"/>
        <v/>
      </c>
      <c r="L707" s="561" t="str">
        <f t="shared" si="107"/>
        <v/>
      </c>
    </row>
    <row r="708" spans="2:19">
      <c r="B708" s="280" t="s">
        <v>441</v>
      </c>
      <c r="C708" s="561">
        <f t="shared" si="107"/>
        <v>676.99999999999989</v>
      </c>
      <c r="D708" s="561">
        <f t="shared" si="107"/>
        <v>510</v>
      </c>
      <c r="E708" s="561">
        <f t="shared" si="107"/>
        <v>412.12501271227694</v>
      </c>
      <c r="F708" s="561" t="str">
        <f t="shared" si="107"/>
        <v/>
      </c>
      <c r="G708" s="561" t="str">
        <f t="shared" si="107"/>
        <v/>
      </c>
      <c r="H708" s="561" t="str">
        <f t="shared" si="107"/>
        <v/>
      </c>
      <c r="I708" s="561" t="str">
        <f t="shared" si="107"/>
        <v/>
      </c>
      <c r="J708" s="561" t="str">
        <f t="shared" si="107"/>
        <v/>
      </c>
      <c r="K708" s="561" t="str">
        <f t="shared" si="107"/>
        <v/>
      </c>
      <c r="L708" s="561" t="str">
        <f t="shared" si="107"/>
        <v/>
      </c>
    </row>
    <row r="709" spans="2:19">
      <c r="B709" s="213" t="s">
        <v>385</v>
      </c>
      <c r="C709" s="561">
        <f t="shared" si="107"/>
        <v>1938.1501024552811</v>
      </c>
      <c r="D709" s="561">
        <f t="shared" si="107"/>
        <v>1200</v>
      </c>
      <c r="E709" s="561">
        <f t="shared" si="107"/>
        <v>833.83281288172873</v>
      </c>
      <c r="F709" s="561" t="str">
        <f t="shared" si="107"/>
        <v/>
      </c>
      <c r="G709" s="561" t="str">
        <f t="shared" si="107"/>
        <v/>
      </c>
      <c r="H709" s="561" t="str">
        <f t="shared" si="107"/>
        <v/>
      </c>
      <c r="I709" s="561" t="str">
        <f t="shared" si="107"/>
        <v/>
      </c>
      <c r="J709" s="561" t="str">
        <f t="shared" si="107"/>
        <v/>
      </c>
      <c r="K709" s="561" t="str">
        <f t="shared" si="107"/>
        <v/>
      </c>
      <c r="L709" s="561" t="str">
        <f t="shared" si="107"/>
        <v/>
      </c>
    </row>
    <row r="710" spans="2:19">
      <c r="B710" s="562" t="s">
        <v>443</v>
      </c>
      <c r="C710" s="565">
        <f t="shared" si="107"/>
        <v>3265.1276131391992</v>
      </c>
      <c r="D710" s="565">
        <f t="shared" si="107"/>
        <v>2141.1870115133383</v>
      </c>
      <c r="E710" s="565">
        <f t="shared" si="107"/>
        <v>736.76859116449145</v>
      </c>
      <c r="F710" s="565" t="str">
        <f t="shared" si="107"/>
        <v/>
      </c>
      <c r="G710" s="565" t="str">
        <f t="shared" si="107"/>
        <v/>
      </c>
      <c r="H710" s="565" t="str">
        <f t="shared" si="107"/>
        <v/>
      </c>
      <c r="I710" s="565" t="str">
        <f t="shared" si="107"/>
        <v/>
      </c>
      <c r="J710" s="565" t="str">
        <f t="shared" si="107"/>
        <v/>
      </c>
      <c r="K710" s="565" t="str">
        <f t="shared" si="107"/>
        <v/>
      </c>
      <c r="L710" s="565" t="str">
        <f t="shared" si="107"/>
        <v/>
      </c>
    </row>
    <row r="711" spans="2:19">
      <c r="B711" s="562" t="s">
        <v>444</v>
      </c>
      <c r="C711" s="565">
        <f t="shared" si="107"/>
        <v>1243.4155608075619</v>
      </c>
      <c r="D711" s="565">
        <f t="shared" si="107"/>
        <v>573.95765341319202</v>
      </c>
      <c r="E711" s="565">
        <f t="shared" si="107"/>
        <v>348.60410581924793</v>
      </c>
      <c r="F711" s="565" t="str">
        <f t="shared" si="107"/>
        <v/>
      </c>
      <c r="G711" s="565" t="str">
        <f t="shared" si="107"/>
        <v/>
      </c>
      <c r="H711" s="565" t="str">
        <f t="shared" si="107"/>
        <v/>
      </c>
      <c r="I711" s="565" t="str">
        <f t="shared" si="107"/>
        <v/>
      </c>
      <c r="J711" s="565" t="str">
        <f t="shared" si="107"/>
        <v/>
      </c>
      <c r="K711" s="565" t="str">
        <f t="shared" si="107"/>
        <v/>
      </c>
      <c r="L711" s="565" t="str">
        <f t="shared" si="107"/>
        <v/>
      </c>
    </row>
    <row r="712" spans="2:19">
      <c r="S712" s="157" t="s">
        <v>335</v>
      </c>
    </row>
    <row r="713" spans="2:19">
      <c r="B713" s="68" t="s">
        <v>15</v>
      </c>
      <c r="C713" s="472">
        <v>2016</v>
      </c>
      <c r="D713" s="472">
        <v>2017</v>
      </c>
      <c r="E713" s="472">
        <v>2018</v>
      </c>
      <c r="F713" s="472">
        <v>2019</v>
      </c>
      <c r="G713" s="472">
        <v>2020</v>
      </c>
      <c r="H713" s="472">
        <v>2021</v>
      </c>
      <c r="I713" s="472">
        <v>2022</v>
      </c>
      <c r="J713" s="472">
        <v>2023</v>
      </c>
      <c r="K713" s="472">
        <v>2024</v>
      </c>
      <c r="L713" s="472">
        <v>2025</v>
      </c>
      <c r="S713" s="474">
        <f>SUM(C714:L720)</f>
        <v>9907.6688577804853</v>
      </c>
    </row>
    <row r="714" spans="2:19">
      <c r="B714" s="213" t="s">
        <v>442</v>
      </c>
      <c r="C714" s="561">
        <f t="shared" ref="C714:L714" si="108">C573</f>
        <v>72.281363999999996</v>
      </c>
      <c r="D714" s="561">
        <f t="shared" si="108"/>
        <v>113.36232738072</v>
      </c>
      <c r="E714" s="561">
        <f t="shared" si="108"/>
        <v>217.53494686689399</v>
      </c>
      <c r="F714" s="561">
        <f t="shared" si="108"/>
        <v>0</v>
      </c>
      <c r="G714" s="561">
        <f t="shared" si="108"/>
        <v>0</v>
      </c>
      <c r="H714" s="561">
        <f t="shared" si="108"/>
        <v>0</v>
      </c>
      <c r="I714" s="561">
        <f t="shared" si="108"/>
        <v>0</v>
      </c>
      <c r="J714" s="561">
        <f t="shared" si="108"/>
        <v>0</v>
      </c>
      <c r="K714" s="561">
        <f t="shared" si="108"/>
        <v>0</v>
      </c>
      <c r="L714" s="561">
        <f t="shared" si="108"/>
        <v>0</v>
      </c>
      <c r="S714" s="474">
        <f>2*SUM('Products x speed'!E225:N225)</f>
        <v>9907.6688577804853</v>
      </c>
    </row>
    <row r="715" spans="2:19">
      <c r="B715" s="280" t="s">
        <v>376</v>
      </c>
      <c r="C715" s="539">
        <f t="shared" ref="C715:L715" si="109">C663</f>
        <v>67.773890240000014</v>
      </c>
      <c r="D715" s="539">
        <f t="shared" si="109"/>
        <v>158.09400299999999</v>
      </c>
      <c r="E715" s="539">
        <f t="shared" si="109"/>
        <v>96.70092799999999</v>
      </c>
      <c r="F715" s="539">
        <f t="shared" si="109"/>
        <v>0</v>
      </c>
      <c r="G715" s="539">
        <f t="shared" si="109"/>
        <v>0</v>
      </c>
      <c r="H715" s="539">
        <f t="shared" si="109"/>
        <v>0</v>
      </c>
      <c r="I715" s="539">
        <f t="shared" si="109"/>
        <v>0</v>
      </c>
      <c r="J715" s="539">
        <f t="shared" si="109"/>
        <v>0</v>
      </c>
      <c r="K715" s="539">
        <f t="shared" si="109"/>
        <v>0</v>
      </c>
      <c r="L715" s="539">
        <f t="shared" si="109"/>
        <v>0</v>
      </c>
      <c r="S715" s="474">
        <f>S713-S714</f>
        <v>0</v>
      </c>
    </row>
    <row r="716" spans="2:19">
      <c r="B716" s="280" t="s">
        <v>439</v>
      </c>
      <c r="C716" s="539">
        <f>C664+C667</f>
        <v>0</v>
      </c>
      <c r="D716" s="539">
        <f t="shared" ref="D716:L716" si="110">D664+D667</f>
        <v>0</v>
      </c>
      <c r="E716" s="539">
        <f t="shared" si="110"/>
        <v>1.2</v>
      </c>
      <c r="F716" s="539">
        <f t="shared" si="110"/>
        <v>0</v>
      </c>
      <c r="G716" s="539">
        <f t="shared" si="110"/>
        <v>0</v>
      </c>
      <c r="H716" s="539">
        <f t="shared" si="110"/>
        <v>0</v>
      </c>
      <c r="I716" s="539">
        <f t="shared" si="110"/>
        <v>0</v>
      </c>
      <c r="J716" s="539">
        <f t="shared" si="110"/>
        <v>0</v>
      </c>
      <c r="K716" s="539">
        <f t="shared" si="110"/>
        <v>0</v>
      </c>
      <c r="L716" s="539">
        <f t="shared" si="110"/>
        <v>0</v>
      </c>
    </row>
    <row r="717" spans="2:19">
      <c r="B717" s="280" t="s">
        <v>441</v>
      </c>
      <c r="C717" s="539">
        <f>C665+C666</f>
        <v>80.691629999999989</v>
      </c>
      <c r="D717" s="539">
        <f t="shared" ref="D717:L717" si="111">D665+D666</f>
        <v>497.91453000000001</v>
      </c>
      <c r="E717" s="539">
        <f t="shared" si="111"/>
        <v>1222.4833833333332</v>
      </c>
      <c r="F717" s="539">
        <f t="shared" si="111"/>
        <v>0</v>
      </c>
      <c r="G717" s="539">
        <f t="shared" si="111"/>
        <v>0</v>
      </c>
      <c r="H717" s="539">
        <f t="shared" si="111"/>
        <v>0</v>
      </c>
      <c r="I717" s="539">
        <f t="shared" si="111"/>
        <v>0</v>
      </c>
      <c r="J717" s="539">
        <f t="shared" si="111"/>
        <v>0</v>
      </c>
      <c r="K717" s="539">
        <f t="shared" si="111"/>
        <v>0</v>
      </c>
      <c r="L717" s="539">
        <f t="shared" si="111"/>
        <v>0</v>
      </c>
    </row>
    <row r="718" spans="2:19">
      <c r="B718" s="213" t="s">
        <v>385</v>
      </c>
      <c r="C718" s="561">
        <f>C670</f>
        <v>175.29210971636297</v>
      </c>
      <c r="D718" s="561">
        <f t="shared" ref="D718:L718" si="112">D670</f>
        <v>434.82240000000002</v>
      </c>
      <c r="E718" s="561">
        <f t="shared" si="112"/>
        <v>331.77466984830187</v>
      </c>
      <c r="F718" s="561">
        <f t="shared" si="112"/>
        <v>0</v>
      </c>
      <c r="G718" s="561">
        <f t="shared" si="112"/>
        <v>0</v>
      </c>
      <c r="H718" s="561">
        <f t="shared" si="112"/>
        <v>0</v>
      </c>
      <c r="I718" s="561">
        <f t="shared" si="112"/>
        <v>0</v>
      </c>
      <c r="J718" s="561">
        <f t="shared" si="112"/>
        <v>0</v>
      </c>
      <c r="K718" s="561">
        <f t="shared" si="112"/>
        <v>0</v>
      </c>
      <c r="L718" s="561">
        <f t="shared" si="112"/>
        <v>0</v>
      </c>
    </row>
    <row r="719" spans="2:19">
      <c r="B719" s="562" t="s">
        <v>443</v>
      </c>
      <c r="C719" s="566">
        <f>C720-SUM(C714:C718)</f>
        <v>747.1199701832852</v>
      </c>
      <c r="D719" s="566">
        <f t="shared" ref="D719" si="113">D720-SUM(D714:D718)</f>
        <v>449.65997835285862</v>
      </c>
      <c r="E719" s="566">
        <f t="shared" ref="E719" si="114">E720-SUM(E714:E718)</f>
        <v>287.12829796848746</v>
      </c>
      <c r="F719" s="566">
        <f t="shared" ref="F719" si="115">F720-SUM(F714:F718)</f>
        <v>0</v>
      </c>
      <c r="G719" s="566">
        <f t="shared" ref="G719" si="116">G720-SUM(G714:G718)</f>
        <v>0</v>
      </c>
      <c r="H719" s="566">
        <f t="shared" ref="H719" si="117">H720-SUM(H714:H718)</f>
        <v>0</v>
      </c>
      <c r="I719" s="566">
        <f t="shared" ref="I719" si="118">I720-SUM(I714:I718)</f>
        <v>0</v>
      </c>
      <c r="J719" s="566">
        <f t="shared" ref="J719" si="119">J720-SUM(J714:J718)</f>
        <v>0</v>
      </c>
      <c r="K719" s="566">
        <f t="shared" ref="K719" si="120">K720-SUM(K714:K718)</f>
        <v>0</v>
      </c>
      <c r="L719" s="566">
        <f t="shared" ref="L719" si="121">L720-SUM(L714:L718)</f>
        <v>0</v>
      </c>
    </row>
    <row r="720" spans="2:19">
      <c r="B720" s="562" t="s">
        <v>444</v>
      </c>
      <c r="C720" s="566">
        <f>'Products x speed'!E225</f>
        <v>1143.1589641396481</v>
      </c>
      <c r="D720" s="566">
        <f>'Products x speed'!F225</f>
        <v>1653.8532387335786</v>
      </c>
      <c r="E720" s="566">
        <f>'Products x speed'!G225</f>
        <v>2156.8222260170164</v>
      </c>
      <c r="F720" s="566">
        <f>'Products x speed'!H225</f>
        <v>0</v>
      </c>
      <c r="G720" s="566">
        <f>'Products x speed'!I225</f>
        <v>0</v>
      </c>
      <c r="H720" s="566">
        <f>'Products x speed'!J225</f>
        <v>0</v>
      </c>
      <c r="I720" s="566">
        <f>'Products x speed'!K225</f>
        <v>0</v>
      </c>
      <c r="J720" s="566">
        <f>'Products x speed'!L225</f>
        <v>0</v>
      </c>
      <c r="K720" s="566">
        <f>'Products x speed'!M225</f>
        <v>0</v>
      </c>
      <c r="L720" s="566">
        <f>'Products x speed'!N225</f>
        <v>0</v>
      </c>
    </row>
    <row r="722" spans="2:18" ht="21">
      <c r="B722" s="125" t="s">
        <v>282</v>
      </c>
    </row>
    <row r="723" spans="2:18" ht="9" customHeight="1"/>
    <row r="724" spans="2:18" ht="21">
      <c r="B724" s="216" t="s">
        <v>22</v>
      </c>
      <c r="G724" s="216" t="s">
        <v>21</v>
      </c>
      <c r="M724" s="216" t="s">
        <v>15</v>
      </c>
    </row>
    <row r="725" spans="2:18">
      <c r="B725" s="4"/>
      <c r="C725" s="4"/>
      <c r="D725" s="4"/>
      <c r="E725" s="4"/>
      <c r="F725" s="4"/>
      <c r="G725" s="4"/>
      <c r="H725" s="4"/>
      <c r="I725" s="4"/>
      <c r="J725" s="4"/>
      <c r="K725" s="4"/>
      <c r="L725" s="4"/>
      <c r="M725" s="4"/>
      <c r="N725" s="4"/>
      <c r="O725" s="4"/>
      <c r="Q725" s="4"/>
      <c r="R725" s="4"/>
    </row>
    <row r="726" spans="2:18">
      <c r="B726" s="4"/>
      <c r="C726" s="4"/>
      <c r="D726" s="4"/>
      <c r="E726" s="4"/>
      <c r="F726" s="4"/>
      <c r="G726" s="4"/>
      <c r="H726" s="4"/>
      <c r="I726" s="4"/>
      <c r="J726" s="4"/>
      <c r="K726" s="4"/>
      <c r="L726" s="4"/>
      <c r="M726" s="4"/>
      <c r="N726" s="4"/>
      <c r="O726" s="4"/>
      <c r="Q726" s="4"/>
      <c r="R726" s="4"/>
    </row>
    <row r="727" spans="2:18">
      <c r="B727" s="4"/>
      <c r="C727" s="4"/>
      <c r="D727" s="4"/>
      <c r="E727" s="4"/>
      <c r="F727" s="4"/>
      <c r="G727" s="4"/>
      <c r="H727" s="4"/>
      <c r="I727" s="4"/>
      <c r="J727" s="4"/>
      <c r="K727" s="4"/>
      <c r="L727" s="4"/>
      <c r="M727" s="4"/>
      <c r="N727" s="4"/>
      <c r="O727" s="4"/>
      <c r="Q727" s="4"/>
      <c r="R727" s="4"/>
    </row>
    <row r="728" spans="2:18">
      <c r="B728" s="4"/>
      <c r="C728" s="4"/>
      <c r="D728" s="4"/>
      <c r="E728" s="4"/>
      <c r="F728" s="4"/>
      <c r="G728" s="4"/>
      <c r="H728" s="4"/>
      <c r="I728" s="4"/>
      <c r="J728" s="4"/>
      <c r="K728" s="4"/>
      <c r="L728" s="4"/>
      <c r="M728" s="4"/>
      <c r="N728" s="4"/>
      <c r="O728" s="4"/>
      <c r="Q728" s="4"/>
      <c r="R728" s="4"/>
    </row>
    <row r="729" spans="2:18">
      <c r="B729" s="4"/>
      <c r="C729" s="4"/>
      <c r="D729" s="4"/>
      <c r="E729" s="4"/>
      <c r="F729" s="4"/>
      <c r="G729" s="4"/>
      <c r="H729" s="4"/>
      <c r="I729" s="4"/>
      <c r="J729" s="4"/>
      <c r="K729" s="4"/>
      <c r="L729" s="4"/>
      <c r="M729" s="4"/>
      <c r="N729" s="4"/>
      <c r="O729" s="4"/>
      <c r="Q729" s="4"/>
      <c r="R729" s="4"/>
    </row>
    <row r="730" spans="2:18">
      <c r="B730" s="4"/>
      <c r="C730" s="4"/>
      <c r="D730" s="4"/>
      <c r="E730" s="4"/>
      <c r="F730" s="4"/>
      <c r="G730" s="4"/>
      <c r="H730" s="4"/>
      <c r="I730" s="4"/>
      <c r="J730" s="4"/>
      <c r="K730" s="4"/>
      <c r="L730" s="4"/>
      <c r="M730" s="4"/>
      <c r="N730" s="4"/>
      <c r="O730" s="4"/>
      <c r="Q730" s="4"/>
      <c r="R730" s="4"/>
    </row>
    <row r="731" spans="2:18">
      <c r="B731" s="4"/>
      <c r="C731" s="4"/>
      <c r="D731" s="4"/>
      <c r="E731" s="4"/>
      <c r="F731" s="4"/>
      <c r="G731" s="4"/>
      <c r="H731" s="4"/>
      <c r="I731" s="4"/>
      <c r="J731" s="4"/>
      <c r="K731" s="4"/>
      <c r="L731" s="4"/>
      <c r="M731" s="4"/>
      <c r="N731" s="4"/>
      <c r="O731" s="4"/>
      <c r="Q731" s="4"/>
      <c r="R731" s="4"/>
    </row>
    <row r="732" spans="2:18">
      <c r="B732" s="4"/>
      <c r="C732" s="4"/>
      <c r="D732" s="4"/>
      <c r="E732" s="4"/>
      <c r="F732" s="4"/>
      <c r="G732" s="4"/>
      <c r="H732" s="4"/>
      <c r="I732" s="4"/>
      <c r="J732" s="4"/>
      <c r="K732" s="4"/>
      <c r="L732" s="4"/>
      <c r="M732" s="4"/>
      <c r="N732" s="4"/>
      <c r="O732" s="4"/>
      <c r="Q732" s="4"/>
      <c r="R732" s="4"/>
    </row>
    <row r="733" spans="2:18">
      <c r="B733" s="4"/>
      <c r="C733" s="4"/>
      <c r="D733" s="4"/>
      <c r="E733" s="4"/>
      <c r="F733" s="4"/>
      <c r="G733" s="4"/>
      <c r="H733" s="4"/>
      <c r="I733" s="4"/>
      <c r="J733" s="4"/>
      <c r="K733" s="4"/>
      <c r="L733" s="4"/>
      <c r="M733" s="4"/>
      <c r="N733" s="4"/>
      <c r="O733" s="4"/>
      <c r="Q733" s="4"/>
      <c r="R733" s="4"/>
    </row>
    <row r="734" spans="2:18">
      <c r="B734" s="4"/>
      <c r="C734" s="4"/>
      <c r="D734" s="4"/>
      <c r="E734" s="4"/>
      <c r="F734" s="4"/>
      <c r="G734" s="4"/>
      <c r="H734" s="4"/>
      <c r="I734" s="4"/>
      <c r="J734" s="4"/>
      <c r="K734" s="4"/>
      <c r="L734" s="4"/>
      <c r="M734" s="4"/>
      <c r="N734" s="4"/>
      <c r="O734" s="4"/>
      <c r="Q734" s="4"/>
      <c r="R734" s="4"/>
    </row>
    <row r="735" spans="2:18" ht="12" customHeight="1">
      <c r="B735" s="4"/>
      <c r="C735" s="4"/>
      <c r="D735" s="4"/>
      <c r="E735" s="4"/>
      <c r="F735" s="4"/>
      <c r="G735" s="4"/>
      <c r="H735" s="4"/>
      <c r="I735" s="4"/>
      <c r="J735" s="4"/>
      <c r="K735" s="4"/>
      <c r="L735" s="4"/>
      <c r="M735" s="4"/>
      <c r="N735" s="4"/>
      <c r="O735" s="4"/>
      <c r="Q735" s="4"/>
      <c r="R735" s="4"/>
    </row>
    <row r="736" spans="2:18">
      <c r="B736" s="4"/>
      <c r="C736" s="4"/>
      <c r="D736" s="4"/>
      <c r="E736" s="4"/>
      <c r="F736" s="4"/>
      <c r="G736" s="4"/>
      <c r="H736" s="4"/>
      <c r="I736" s="4"/>
      <c r="J736" s="4"/>
      <c r="K736" s="4"/>
      <c r="L736" s="4"/>
      <c r="M736" s="4"/>
      <c r="N736" s="4"/>
      <c r="O736" s="4"/>
      <c r="Q736" s="4"/>
      <c r="R736" s="4"/>
    </row>
    <row r="737" spans="2:19">
      <c r="B737" s="4"/>
      <c r="C737" s="4"/>
      <c r="D737" s="4"/>
      <c r="E737" s="4"/>
      <c r="F737" s="4"/>
      <c r="G737" s="4"/>
      <c r="H737" s="4"/>
      <c r="I737" s="4"/>
      <c r="J737" s="4"/>
      <c r="K737" s="4"/>
      <c r="L737" s="4"/>
      <c r="M737" s="4"/>
      <c r="N737" s="4"/>
      <c r="O737" s="4"/>
      <c r="Q737" s="4"/>
      <c r="R737" s="4"/>
    </row>
    <row r="738" spans="2:19">
      <c r="B738" s="4"/>
      <c r="C738" s="4"/>
      <c r="D738" s="4"/>
      <c r="E738" s="4"/>
      <c r="F738" s="4"/>
      <c r="G738" s="4"/>
      <c r="H738" s="4"/>
      <c r="I738" s="4"/>
      <c r="J738" s="4"/>
      <c r="K738" s="4"/>
      <c r="L738" s="4"/>
      <c r="M738" s="4"/>
      <c r="N738" s="4"/>
      <c r="O738" s="4"/>
      <c r="Q738" s="4"/>
      <c r="R738" s="4"/>
    </row>
    <row r="739" spans="2:19">
      <c r="B739" s="4"/>
      <c r="C739" s="4"/>
      <c r="D739" s="4"/>
      <c r="E739" s="4"/>
      <c r="F739" s="4"/>
      <c r="G739" s="4"/>
      <c r="H739" s="4"/>
      <c r="I739" s="4"/>
      <c r="J739" s="4"/>
      <c r="K739" s="4"/>
      <c r="L739" s="4"/>
      <c r="M739" s="4"/>
      <c r="N739" s="4"/>
      <c r="O739" s="4"/>
      <c r="Q739" s="4"/>
      <c r="R739" s="4"/>
    </row>
    <row r="740" spans="2:19">
      <c r="B740" s="4"/>
      <c r="C740" s="4"/>
      <c r="D740" s="4"/>
      <c r="E740" s="4"/>
      <c r="F740" s="4"/>
      <c r="G740" s="4"/>
      <c r="H740" s="4"/>
      <c r="I740" s="4"/>
      <c r="J740" s="4"/>
      <c r="K740" s="4"/>
      <c r="L740" s="4"/>
      <c r="M740" s="4"/>
      <c r="N740" s="4"/>
      <c r="O740" s="4"/>
      <c r="Q740" s="4"/>
      <c r="R740" s="4"/>
    </row>
    <row r="741" spans="2:19">
      <c r="B741" s="4"/>
      <c r="C741" s="4"/>
      <c r="D741" s="4"/>
      <c r="E741" s="4"/>
      <c r="F741" s="4"/>
      <c r="G741" s="4"/>
      <c r="H741" s="4"/>
      <c r="I741" s="4"/>
      <c r="J741" s="4"/>
      <c r="K741" s="4"/>
      <c r="L741" s="4"/>
      <c r="M741" s="4"/>
      <c r="N741" s="4"/>
      <c r="O741" s="4"/>
      <c r="Q741" s="4"/>
      <c r="R741" s="4"/>
    </row>
    <row r="742" spans="2:19">
      <c r="B742" s="4"/>
      <c r="C742" s="4"/>
      <c r="D742" s="4"/>
      <c r="E742" s="4"/>
      <c r="F742" s="4"/>
      <c r="G742" s="4"/>
      <c r="H742" s="4"/>
      <c r="I742" s="4"/>
      <c r="J742" s="4"/>
      <c r="K742" s="4"/>
      <c r="L742" s="4"/>
      <c r="M742" s="4"/>
      <c r="N742" s="4"/>
      <c r="O742" s="4"/>
      <c r="Q742" s="4"/>
      <c r="R742" s="4"/>
    </row>
    <row r="743" spans="2:19">
      <c r="B743" s="4"/>
      <c r="C743" s="4"/>
      <c r="D743" s="4"/>
      <c r="E743" s="4"/>
      <c r="F743" s="4"/>
      <c r="G743" s="4"/>
      <c r="H743" s="4"/>
      <c r="I743" s="4"/>
      <c r="J743" s="4"/>
      <c r="K743" s="4"/>
      <c r="L743" s="4"/>
      <c r="M743" s="4"/>
      <c r="N743" s="4"/>
      <c r="O743" s="4"/>
      <c r="Q743" s="4"/>
      <c r="R743" s="4"/>
    </row>
    <row r="744" spans="2:19">
      <c r="B744" s="4"/>
      <c r="C744" s="4"/>
      <c r="D744" s="4"/>
      <c r="E744" s="4"/>
      <c r="F744" s="4"/>
      <c r="G744" s="4"/>
      <c r="H744" s="4"/>
      <c r="I744" s="4"/>
      <c r="J744" s="4"/>
      <c r="K744" s="4"/>
      <c r="L744" s="4"/>
      <c r="M744" s="4"/>
      <c r="N744" s="4"/>
      <c r="O744" s="4"/>
      <c r="Q744" s="4"/>
      <c r="R744" s="4"/>
    </row>
    <row r="745" spans="2:19" ht="15.5">
      <c r="B745" s="103" t="s">
        <v>203</v>
      </c>
      <c r="C745" s="302">
        <v>2016</v>
      </c>
      <c r="D745" s="308">
        <v>2017</v>
      </c>
      <c r="E745" s="308">
        <v>2018</v>
      </c>
      <c r="F745" s="308">
        <v>2019</v>
      </c>
      <c r="G745" s="308">
        <v>2020</v>
      </c>
      <c r="H745" s="308">
        <v>2021</v>
      </c>
      <c r="I745" s="308">
        <v>2022</v>
      </c>
      <c r="J745" s="308">
        <v>2023</v>
      </c>
      <c r="K745" s="308">
        <v>2024</v>
      </c>
      <c r="L745" s="308">
        <v>2025</v>
      </c>
    </row>
    <row r="746" spans="2:19">
      <c r="B746" s="280" t="str">
        <f>'Products x speed'!B208</f>
        <v>200G SR4</v>
      </c>
      <c r="C746" s="131"/>
      <c r="D746" s="131"/>
      <c r="E746" s="131">
        <f>'Products x speed'!G58</f>
        <v>500</v>
      </c>
      <c r="F746" s="131">
        <f>'Products x speed'!H58</f>
        <v>0</v>
      </c>
      <c r="G746" s="131">
        <f>'Products x speed'!I58</f>
        <v>0</v>
      </c>
      <c r="H746" s="131">
        <f>'Products x speed'!J58</f>
        <v>0</v>
      </c>
      <c r="I746" s="131">
        <f>'Products x speed'!K58</f>
        <v>0</v>
      </c>
      <c r="J746" s="131">
        <f>'Products x speed'!L58</f>
        <v>0</v>
      </c>
      <c r="K746" s="131">
        <f>'Products x speed'!M58</f>
        <v>0</v>
      </c>
      <c r="L746" s="131">
        <f>'Products x speed'!N58</f>
        <v>0</v>
      </c>
    </row>
    <row r="747" spans="2:19" ht="15.5">
      <c r="B747" s="206" t="str">
        <f>'Products x speed'!B210</f>
        <v>200G FR4</v>
      </c>
      <c r="C747" s="133"/>
      <c r="D747" s="133"/>
      <c r="E747" s="133">
        <f>'Products x speed'!G60</f>
        <v>500</v>
      </c>
      <c r="F747" s="133">
        <f>'Products x speed'!H60</f>
        <v>0</v>
      </c>
      <c r="G747" s="133">
        <f>'Products x speed'!I60</f>
        <v>0</v>
      </c>
      <c r="H747" s="133">
        <f>'Products x speed'!J60</f>
        <v>0</v>
      </c>
      <c r="I747" s="133">
        <f>'Products x speed'!K60</f>
        <v>0</v>
      </c>
      <c r="J747" s="133">
        <f>'Products x speed'!L60</f>
        <v>0</v>
      </c>
      <c r="K747" s="133">
        <f>'Products x speed'!M60</f>
        <v>0</v>
      </c>
      <c r="L747" s="133">
        <f>'Products x speed'!N60</f>
        <v>0</v>
      </c>
      <c r="S747" s="487">
        <f>SUM(C746:L748)</f>
        <v>2000</v>
      </c>
    </row>
    <row r="748" spans="2:19" ht="15.5">
      <c r="B748" s="213" t="s">
        <v>13</v>
      </c>
      <c r="C748" s="137"/>
      <c r="D748" s="137"/>
      <c r="E748" s="137">
        <f t="shared" ref="E748:K748" si="122">SUM(E746:E747)</f>
        <v>1000</v>
      </c>
      <c r="F748" s="137">
        <f t="shared" si="122"/>
        <v>0</v>
      </c>
      <c r="G748" s="137">
        <f t="shared" si="122"/>
        <v>0</v>
      </c>
      <c r="H748" s="137">
        <f t="shared" si="122"/>
        <v>0</v>
      </c>
      <c r="I748" s="137">
        <f t="shared" si="122"/>
        <v>0</v>
      </c>
      <c r="J748" s="137">
        <f t="shared" si="122"/>
        <v>0</v>
      </c>
      <c r="K748" s="137">
        <f t="shared" si="122"/>
        <v>0</v>
      </c>
      <c r="L748" s="137">
        <f>SUM(L746:L747)</f>
        <v>0</v>
      </c>
      <c r="S748" s="487">
        <f>(SUM('Products x speed'!E58:N58)+SUM('Products x speed'!E60:N60))*2</f>
        <v>2000</v>
      </c>
    </row>
    <row r="749" spans="2:19" ht="15.5">
      <c r="C749" s="191"/>
      <c r="D749" s="191"/>
      <c r="E749" s="191"/>
      <c r="F749" s="246" t="s">
        <v>92</v>
      </c>
      <c r="G749" s="191" t="e">
        <f t="shared" ref="G749:L749" si="123">G748/F748-1</f>
        <v>#DIV/0!</v>
      </c>
      <c r="H749" s="191" t="e">
        <f t="shared" si="123"/>
        <v>#DIV/0!</v>
      </c>
      <c r="I749" s="191" t="e">
        <f t="shared" si="123"/>
        <v>#DIV/0!</v>
      </c>
      <c r="J749" s="191" t="e">
        <f t="shared" si="123"/>
        <v>#DIV/0!</v>
      </c>
      <c r="K749" s="191" t="e">
        <f t="shared" si="123"/>
        <v>#DIV/0!</v>
      </c>
      <c r="L749" s="191" t="e">
        <f t="shared" si="123"/>
        <v>#DIV/0!</v>
      </c>
      <c r="S749" s="489">
        <f>S748-S747</f>
        <v>0</v>
      </c>
    </row>
    <row r="751" spans="2:19" ht="15.5">
      <c r="B751" s="103" t="s">
        <v>204</v>
      </c>
      <c r="C751" s="302">
        <v>2016</v>
      </c>
      <c r="D751" s="308">
        <v>2017</v>
      </c>
      <c r="E751" s="308">
        <v>2018</v>
      </c>
      <c r="F751" s="308">
        <v>2019</v>
      </c>
      <c r="G751" s="308">
        <v>2020</v>
      </c>
      <c r="H751" s="308">
        <v>2021</v>
      </c>
      <c r="I751" s="308">
        <v>2022</v>
      </c>
      <c r="J751" s="308">
        <v>2023</v>
      </c>
      <c r="K751" s="308">
        <v>2024</v>
      </c>
      <c r="L751" s="308">
        <v>2025</v>
      </c>
    </row>
    <row r="752" spans="2:19">
      <c r="B752" s="280" t="str">
        <f>B746</f>
        <v>200G SR4</v>
      </c>
      <c r="C752" s="131"/>
      <c r="D752" s="140"/>
      <c r="E752" s="140">
        <f t="shared" ref="E752:L754" si="124">IF(E746=0,"",(E758*10^6)/E746)</f>
        <v>700</v>
      </c>
      <c r="F752" s="140" t="str">
        <f t="shared" si="124"/>
        <v/>
      </c>
      <c r="G752" s="140" t="str">
        <f t="shared" si="124"/>
        <v/>
      </c>
      <c r="H752" s="140" t="str">
        <f t="shared" si="124"/>
        <v/>
      </c>
      <c r="I752" s="140" t="str">
        <f t="shared" si="124"/>
        <v/>
      </c>
      <c r="J752" s="140" t="str">
        <f t="shared" si="124"/>
        <v/>
      </c>
      <c r="K752" s="140" t="str">
        <f t="shared" si="124"/>
        <v/>
      </c>
      <c r="L752" s="140" t="str">
        <f t="shared" si="124"/>
        <v/>
      </c>
    </row>
    <row r="753" spans="2:19">
      <c r="B753" s="206" t="str">
        <f>B747</f>
        <v>200G FR4</v>
      </c>
      <c r="C753" s="133"/>
      <c r="D753" s="142"/>
      <c r="E753" s="142">
        <f t="shared" si="124"/>
        <v>1500</v>
      </c>
      <c r="F753" s="142" t="str">
        <f t="shared" si="124"/>
        <v/>
      </c>
      <c r="G753" s="142" t="str">
        <f t="shared" si="124"/>
        <v/>
      </c>
      <c r="H753" s="142" t="str">
        <f t="shared" si="124"/>
        <v/>
      </c>
      <c r="I753" s="142" t="str">
        <f t="shared" si="124"/>
        <v/>
      </c>
      <c r="J753" s="142" t="str">
        <f t="shared" si="124"/>
        <v/>
      </c>
      <c r="K753" s="142" t="str">
        <f t="shared" si="124"/>
        <v/>
      </c>
      <c r="L753" s="142" t="str">
        <f t="shared" si="124"/>
        <v/>
      </c>
    </row>
    <row r="754" spans="2:19">
      <c r="B754" s="296" t="str">
        <f>B748</f>
        <v>Total</v>
      </c>
      <c r="C754" s="137"/>
      <c r="D754" s="98"/>
      <c r="E754" s="98">
        <f t="shared" si="124"/>
        <v>1100</v>
      </c>
      <c r="F754" s="98" t="str">
        <f t="shared" si="124"/>
        <v/>
      </c>
      <c r="G754" s="98" t="str">
        <f t="shared" si="124"/>
        <v/>
      </c>
      <c r="H754" s="98" t="str">
        <f t="shared" si="124"/>
        <v/>
      </c>
      <c r="I754" s="98" t="str">
        <f t="shared" si="124"/>
        <v/>
      </c>
      <c r="J754" s="98" t="str">
        <f t="shared" si="124"/>
        <v/>
      </c>
      <c r="K754" s="98" t="str">
        <f t="shared" si="124"/>
        <v/>
      </c>
      <c r="L754" s="98" t="str">
        <f t="shared" si="124"/>
        <v/>
      </c>
    </row>
    <row r="755" spans="2:19">
      <c r="B755" s="246"/>
      <c r="C755" s="191"/>
      <c r="D755" s="191"/>
      <c r="E755" s="191"/>
      <c r="F755" s="191"/>
      <c r="G755" s="191"/>
      <c r="H755" s="191"/>
    </row>
    <row r="757" spans="2:19" ht="15.5">
      <c r="B757" s="103" t="s">
        <v>205</v>
      </c>
      <c r="C757" s="302">
        <v>2016</v>
      </c>
      <c r="D757" s="308">
        <v>2017</v>
      </c>
      <c r="E757" s="308">
        <v>2018</v>
      </c>
      <c r="F757" s="308">
        <v>2019</v>
      </c>
      <c r="G757" s="308">
        <v>2020</v>
      </c>
      <c r="H757" s="308">
        <v>2021</v>
      </c>
      <c r="I757" s="308">
        <v>2022</v>
      </c>
      <c r="J757" s="308">
        <v>2023</v>
      </c>
      <c r="K757" s="308">
        <v>2024</v>
      </c>
      <c r="L757" s="308">
        <v>2025</v>
      </c>
      <c r="S757" s="487">
        <f>(SUM('Products x speed'!E208:N208)+SUM('Products x speed'!E210:N210))*2</f>
        <v>2.2000000000000002</v>
      </c>
    </row>
    <row r="758" spans="2:19" ht="15.5">
      <c r="B758" s="280" t="str">
        <f>B746</f>
        <v>200G SR4</v>
      </c>
      <c r="C758" s="131"/>
      <c r="D758" s="140"/>
      <c r="E758" s="219">
        <f>'Products x speed'!G208</f>
        <v>0.35</v>
      </c>
      <c r="F758" s="140">
        <f>'Products x speed'!H208</f>
        <v>0</v>
      </c>
      <c r="G758" s="140">
        <f>'Products x speed'!I208</f>
        <v>0</v>
      </c>
      <c r="H758" s="140">
        <f>'Products x speed'!J208</f>
        <v>0</v>
      </c>
      <c r="I758" s="140">
        <f>'Products x speed'!K208</f>
        <v>0</v>
      </c>
      <c r="J758" s="140">
        <f>'Products x speed'!L208</f>
        <v>0</v>
      </c>
      <c r="K758" s="140">
        <f>'Products x speed'!M208</f>
        <v>0</v>
      </c>
      <c r="L758" s="140">
        <f>'Products x speed'!N208</f>
        <v>0</v>
      </c>
      <c r="S758" s="487">
        <f>SUM(D758:L760)</f>
        <v>2.2000000000000002</v>
      </c>
    </row>
    <row r="759" spans="2:19" ht="15.5">
      <c r="B759" s="206" t="str">
        <f>B747</f>
        <v>200G FR4</v>
      </c>
      <c r="C759" s="133"/>
      <c r="D759" s="142"/>
      <c r="E759" s="142">
        <f>'Products x speed'!G210</f>
        <v>0.75</v>
      </c>
      <c r="F759" s="142">
        <f>'Products x speed'!H210</f>
        <v>0</v>
      </c>
      <c r="G759" s="142">
        <f>'Products x speed'!I210</f>
        <v>0</v>
      </c>
      <c r="H759" s="142">
        <f>'Products x speed'!J210</f>
        <v>0</v>
      </c>
      <c r="I759" s="142">
        <f>'Products x speed'!K210</f>
        <v>0</v>
      </c>
      <c r="J759" s="142">
        <f>'Products x speed'!L210</f>
        <v>0</v>
      </c>
      <c r="K759" s="142">
        <f>'Products x speed'!M210</f>
        <v>0</v>
      </c>
      <c r="L759" s="142">
        <f>'Products x speed'!N210</f>
        <v>0</v>
      </c>
      <c r="S759" s="489">
        <f>S757-S758</f>
        <v>0</v>
      </c>
    </row>
    <row r="760" spans="2:19">
      <c r="B760" s="213" t="str">
        <f>B754</f>
        <v>Total</v>
      </c>
      <c r="C760" s="137"/>
      <c r="D760" s="98"/>
      <c r="E760" s="98">
        <f t="shared" ref="E760" si="125">SUM(E758:E759)</f>
        <v>1.1000000000000001</v>
      </c>
      <c r="F760" s="98">
        <f t="shared" ref="F760" si="126">SUM(F758:F759)</f>
        <v>0</v>
      </c>
      <c r="G760" s="98">
        <f t="shared" ref="G760" si="127">SUM(G758:G759)</f>
        <v>0</v>
      </c>
      <c r="H760" s="98">
        <f t="shared" ref="H760" si="128">SUM(H758:H759)</f>
        <v>0</v>
      </c>
      <c r="I760" s="98">
        <f t="shared" ref="I760" si="129">SUM(I758:I759)</f>
        <v>0</v>
      </c>
      <c r="J760" s="98">
        <f t="shared" ref="J760" si="130">SUM(J758:J759)</f>
        <v>0</v>
      </c>
      <c r="K760" s="98">
        <f t="shared" ref="K760" si="131">SUM(K758:K759)</f>
        <v>0</v>
      </c>
      <c r="L760" s="98">
        <f>SUM(L758:L759)</f>
        <v>0</v>
      </c>
    </row>
    <row r="761" spans="2:19">
      <c r="C761" s="191"/>
      <c r="D761" s="191"/>
      <c r="E761" s="191"/>
      <c r="F761" s="246" t="s">
        <v>92</v>
      </c>
      <c r="G761" s="191" t="e">
        <f t="shared" ref="G761:L761" si="132">G760/F760-1</f>
        <v>#DIV/0!</v>
      </c>
      <c r="H761" s="191" t="e">
        <f t="shared" si="132"/>
        <v>#DIV/0!</v>
      </c>
      <c r="I761" s="191" t="e">
        <f t="shared" si="132"/>
        <v>#DIV/0!</v>
      </c>
      <c r="J761" s="191" t="e">
        <f t="shared" si="132"/>
        <v>#DIV/0!</v>
      </c>
      <c r="K761" s="191" t="e">
        <f t="shared" si="132"/>
        <v>#DIV/0!</v>
      </c>
      <c r="L761" s="191" t="e">
        <f t="shared" si="132"/>
        <v>#DIV/0!</v>
      </c>
    </row>
    <row r="764" spans="2:19" ht="21">
      <c r="B764" s="125" t="s">
        <v>283</v>
      </c>
    </row>
    <row r="765" spans="2:19" ht="21">
      <c r="B765" s="216" t="s">
        <v>22</v>
      </c>
      <c r="G765" s="216" t="s">
        <v>21</v>
      </c>
      <c r="M765" s="216" t="s">
        <v>15</v>
      </c>
    </row>
    <row r="769" ht="16.5" customHeight="1"/>
    <row r="786" spans="2:19" ht="15.5">
      <c r="B786" s="103" t="s">
        <v>206</v>
      </c>
      <c r="C786" s="307">
        <v>2016</v>
      </c>
      <c r="D786" s="308">
        <v>2017</v>
      </c>
      <c r="E786" s="308">
        <v>2018</v>
      </c>
      <c r="F786" s="308">
        <v>2019</v>
      </c>
      <c r="G786" s="308">
        <v>2020</v>
      </c>
      <c r="H786" s="308">
        <v>2021</v>
      </c>
      <c r="I786" s="308">
        <v>2022</v>
      </c>
      <c r="J786" s="308">
        <v>2023</v>
      </c>
      <c r="K786" s="308">
        <v>2024</v>
      </c>
      <c r="L786" s="308">
        <v>2025</v>
      </c>
    </row>
    <row r="787" spans="2:19">
      <c r="B787" s="280" t="str">
        <f>'Products x speed'!B209</f>
        <v>2x200 (400G-SR8)</v>
      </c>
      <c r="C787" s="130"/>
      <c r="D787" s="131"/>
      <c r="E787" s="131">
        <f>'Products x speed'!G59</f>
        <v>23000</v>
      </c>
      <c r="F787" s="131">
        <f>'Products x speed'!H59</f>
        <v>0</v>
      </c>
      <c r="G787" s="131">
        <f>'Products x speed'!I59</f>
        <v>0</v>
      </c>
      <c r="H787" s="131">
        <f>'Products x speed'!J59</f>
        <v>0</v>
      </c>
      <c r="I787" s="131">
        <f>'Products x speed'!K59</f>
        <v>0</v>
      </c>
      <c r="J787" s="131">
        <f>'Products x speed'!L59</f>
        <v>0</v>
      </c>
      <c r="K787" s="131">
        <f>'Products x speed'!M59</f>
        <v>0</v>
      </c>
      <c r="L787" s="131">
        <f>'Products x speed'!N59</f>
        <v>0</v>
      </c>
    </row>
    <row r="788" spans="2:19" ht="15.5">
      <c r="B788" s="206" t="str">
        <f>'Products x speed'!B212</f>
        <v>400G SR4.2, SR4</v>
      </c>
      <c r="C788" s="132"/>
      <c r="D788" s="133"/>
      <c r="E788" s="133">
        <f>'Products x speed'!G62</f>
        <v>0</v>
      </c>
      <c r="F788" s="133">
        <f>'Products x speed'!H62</f>
        <v>0</v>
      </c>
      <c r="G788" s="133">
        <f>'Products x speed'!I62</f>
        <v>0</v>
      </c>
      <c r="H788" s="133">
        <f>'Products x speed'!J62</f>
        <v>0</v>
      </c>
      <c r="I788" s="133">
        <f>'Products x speed'!K62</f>
        <v>0</v>
      </c>
      <c r="J788" s="133">
        <f>'Products x speed'!L62</f>
        <v>0</v>
      </c>
      <c r="K788" s="133">
        <f>'Products x speed'!M62</f>
        <v>0</v>
      </c>
      <c r="L788" s="133">
        <f>'Products x speed'!N62</f>
        <v>0</v>
      </c>
      <c r="S788" s="487">
        <f>SUM(C787:L793)</f>
        <v>78178</v>
      </c>
    </row>
    <row r="789" spans="2:19" ht="15.5">
      <c r="B789" s="206" t="str">
        <f>'Products x speed'!B213</f>
        <v>400G DR4</v>
      </c>
      <c r="C789" s="132"/>
      <c r="D789" s="133"/>
      <c r="E789" s="133">
        <f>'Products x speed'!G63</f>
        <v>2000</v>
      </c>
      <c r="F789" s="133">
        <f>'Products x speed'!H63</f>
        <v>0</v>
      </c>
      <c r="G789" s="133">
        <f>'Products x speed'!I63</f>
        <v>0</v>
      </c>
      <c r="H789" s="133">
        <f>'Products x speed'!J63</f>
        <v>0</v>
      </c>
      <c r="I789" s="133">
        <f>'Products x speed'!K63</f>
        <v>0</v>
      </c>
      <c r="J789" s="133">
        <f>'Products x speed'!L63</f>
        <v>0</v>
      </c>
      <c r="K789" s="133">
        <f>'Products x speed'!M63</f>
        <v>0</v>
      </c>
      <c r="L789" s="133">
        <f>'Products x speed'!N63</f>
        <v>0</v>
      </c>
      <c r="S789" s="487">
        <f>(SUM('Products x speed'!E61:N65)+SUM('Products x speed'!E59:N59))*2</f>
        <v>78178</v>
      </c>
    </row>
    <row r="790" spans="2:19">
      <c r="B790" s="206" t="str">
        <f>'Products x speed'!B211</f>
        <v>2x(200G FR4)</v>
      </c>
      <c r="C790" s="132"/>
      <c r="D790" s="133"/>
      <c r="E790" s="133">
        <f>'Products x speed'!G61</f>
        <v>12000</v>
      </c>
      <c r="F790" s="133">
        <f>'Products x speed'!H61</f>
        <v>0</v>
      </c>
      <c r="G790" s="133">
        <f>'Products x speed'!I61</f>
        <v>0</v>
      </c>
      <c r="H790" s="133">
        <f>'Products x speed'!J61</f>
        <v>0</v>
      </c>
      <c r="I790" s="133">
        <f>'Products x speed'!K61</f>
        <v>0</v>
      </c>
      <c r="J790" s="133">
        <f>'Products x speed'!L61</f>
        <v>0</v>
      </c>
      <c r="K790" s="133">
        <f>'Products x speed'!M61</f>
        <v>0</v>
      </c>
      <c r="L790" s="133">
        <f>'Products x speed'!N61</f>
        <v>0</v>
      </c>
    </row>
    <row r="791" spans="2:19" ht="15.5">
      <c r="B791" s="206" t="str">
        <f>'Products x speed'!B214</f>
        <v>400G FR4</v>
      </c>
      <c r="C791" s="132"/>
      <c r="D791" s="133">
        <f>'Products x speed'!F64</f>
        <v>7</v>
      </c>
      <c r="E791" s="133">
        <f>'Products x speed'!G64</f>
        <v>1000</v>
      </c>
      <c r="F791" s="133">
        <f>'Products x speed'!H64</f>
        <v>0</v>
      </c>
      <c r="G791" s="133">
        <f>'Products x speed'!I64</f>
        <v>0</v>
      </c>
      <c r="H791" s="133">
        <f>'Products x speed'!J64</f>
        <v>0</v>
      </c>
      <c r="I791" s="133">
        <f>'Products x speed'!K64</f>
        <v>0</v>
      </c>
      <c r="J791" s="133">
        <f>'Products x speed'!L64</f>
        <v>0</v>
      </c>
      <c r="K791" s="133">
        <f>'Products x speed'!M64</f>
        <v>0</v>
      </c>
      <c r="L791" s="133">
        <f>'Products x speed'!N64</f>
        <v>0</v>
      </c>
      <c r="S791" s="489">
        <f>S789-S788</f>
        <v>0</v>
      </c>
    </row>
    <row r="792" spans="2:19">
      <c r="B792" s="206" t="str">
        <f>'Products x speed'!B215</f>
        <v>400G LR4, LR8</v>
      </c>
      <c r="C792" s="134"/>
      <c r="D792" s="135">
        <f>'Products x speed'!F65</f>
        <v>82</v>
      </c>
      <c r="E792" s="135">
        <f>'Products x speed'!G65</f>
        <v>1000</v>
      </c>
      <c r="F792" s="135">
        <f>'Products x speed'!H65</f>
        <v>0</v>
      </c>
      <c r="G792" s="135">
        <f>'Products x speed'!I65</f>
        <v>0</v>
      </c>
      <c r="H792" s="135">
        <f>'Products x speed'!J65</f>
        <v>0</v>
      </c>
      <c r="I792" s="135">
        <f>'Products x speed'!K65</f>
        <v>0</v>
      </c>
      <c r="J792" s="135">
        <f>'Products x speed'!L65</f>
        <v>0</v>
      </c>
      <c r="K792" s="135">
        <f>'Products x speed'!M65</f>
        <v>0</v>
      </c>
      <c r="L792" s="135">
        <f>'Products x speed'!N65</f>
        <v>0</v>
      </c>
    </row>
    <row r="793" spans="2:19">
      <c r="B793" s="192" t="s">
        <v>13</v>
      </c>
      <c r="C793" s="136"/>
      <c r="D793" s="137">
        <f>SUM(D787:D792)</f>
        <v>89</v>
      </c>
      <c r="E793" s="137">
        <f t="shared" ref="E793:L793" si="133">SUM(E787:E792)</f>
        <v>39000</v>
      </c>
      <c r="F793" s="137">
        <f t="shared" si="133"/>
        <v>0</v>
      </c>
      <c r="G793" s="137">
        <f t="shared" si="133"/>
        <v>0</v>
      </c>
      <c r="H793" s="137">
        <f t="shared" si="133"/>
        <v>0</v>
      </c>
      <c r="I793" s="137">
        <f t="shared" si="133"/>
        <v>0</v>
      </c>
      <c r="J793" s="137">
        <f t="shared" si="133"/>
        <v>0</v>
      </c>
      <c r="K793" s="137">
        <f t="shared" si="133"/>
        <v>0</v>
      </c>
      <c r="L793" s="137">
        <f t="shared" si="133"/>
        <v>0</v>
      </c>
    </row>
    <row r="794" spans="2:19">
      <c r="C794" s="191"/>
      <c r="D794" s="191"/>
      <c r="E794" s="191"/>
      <c r="F794" s="246" t="s">
        <v>92</v>
      </c>
      <c r="G794" s="191" t="e">
        <f t="shared" ref="G794:L794" si="134">G793/F793-1</f>
        <v>#DIV/0!</v>
      </c>
      <c r="H794" s="191" t="e">
        <f t="shared" si="134"/>
        <v>#DIV/0!</v>
      </c>
      <c r="I794" s="191" t="e">
        <f t="shared" si="134"/>
        <v>#DIV/0!</v>
      </c>
      <c r="J794" s="191" t="e">
        <f t="shared" si="134"/>
        <v>#DIV/0!</v>
      </c>
      <c r="K794" s="191" t="e">
        <f t="shared" si="134"/>
        <v>#DIV/0!</v>
      </c>
      <c r="L794" s="191" t="e">
        <f t="shared" si="134"/>
        <v>#DIV/0!</v>
      </c>
    </row>
    <row r="796" spans="2:19" ht="15.5">
      <c r="B796" s="103" t="s">
        <v>207</v>
      </c>
      <c r="C796" s="302">
        <v>2016</v>
      </c>
      <c r="D796" s="308">
        <v>2017</v>
      </c>
      <c r="E796" s="308">
        <v>2018</v>
      </c>
      <c r="F796" s="308">
        <v>2019</v>
      </c>
      <c r="G796" s="308">
        <v>2020</v>
      </c>
      <c r="H796" s="308">
        <v>2021</v>
      </c>
      <c r="I796" s="308">
        <v>2022</v>
      </c>
      <c r="J796" s="308">
        <v>2023</v>
      </c>
      <c r="K796" s="308">
        <v>2024</v>
      </c>
      <c r="L796" s="308">
        <v>2025</v>
      </c>
    </row>
    <row r="797" spans="2:19">
      <c r="B797" s="280" t="str">
        <f t="shared" ref="B797:B802" si="135">B787</f>
        <v>2x200 (400G-SR8)</v>
      </c>
      <c r="C797" s="130"/>
      <c r="D797" s="140"/>
      <c r="E797" s="140">
        <f t="shared" ref="E797:F797" si="136">IF(E787=0,"",(E807*10^6)/E787)</f>
        <v>644</v>
      </c>
      <c r="F797" s="140" t="str">
        <f t="shared" si="136"/>
        <v/>
      </c>
      <c r="G797" s="140" t="str">
        <f t="shared" ref="G797:L803" si="137">IF(G787=0,"",(G807*10^6)/G787)</f>
        <v/>
      </c>
      <c r="H797" s="140" t="str">
        <f t="shared" si="137"/>
        <v/>
      </c>
      <c r="I797" s="140" t="str">
        <f t="shared" si="137"/>
        <v/>
      </c>
      <c r="J797" s="140" t="str">
        <f t="shared" si="137"/>
        <v/>
      </c>
      <c r="K797" s="140" t="str">
        <f t="shared" si="137"/>
        <v/>
      </c>
      <c r="L797" s="140" t="str">
        <f t="shared" si="137"/>
        <v/>
      </c>
    </row>
    <row r="798" spans="2:19">
      <c r="B798" s="206" t="str">
        <f t="shared" si="135"/>
        <v>400G SR4.2, SR4</v>
      </c>
      <c r="C798" s="132"/>
      <c r="D798" s="142"/>
      <c r="E798" s="142"/>
      <c r="F798" s="142"/>
      <c r="G798" s="142" t="str">
        <f t="shared" si="137"/>
        <v/>
      </c>
      <c r="H798" s="142" t="str">
        <f t="shared" si="137"/>
        <v/>
      </c>
      <c r="I798" s="142" t="str">
        <f t="shared" si="137"/>
        <v/>
      </c>
      <c r="J798" s="142" t="str">
        <f t="shared" si="137"/>
        <v/>
      </c>
      <c r="K798" s="142" t="str">
        <f t="shared" si="137"/>
        <v/>
      </c>
      <c r="L798" s="142" t="str">
        <f t="shared" si="137"/>
        <v/>
      </c>
    </row>
    <row r="799" spans="2:19">
      <c r="B799" s="206" t="str">
        <f t="shared" si="135"/>
        <v>400G DR4</v>
      </c>
      <c r="C799" s="132"/>
      <c r="D799" s="142"/>
      <c r="E799" s="142">
        <f t="shared" ref="E799:F799" si="138">IF(E789=0,"",(E809*10^6)/E789)</f>
        <v>1100</v>
      </c>
      <c r="F799" s="142" t="str">
        <f t="shared" si="138"/>
        <v/>
      </c>
      <c r="G799" s="142" t="str">
        <f t="shared" si="137"/>
        <v/>
      </c>
      <c r="H799" s="142" t="str">
        <f t="shared" si="137"/>
        <v/>
      </c>
      <c r="I799" s="142" t="str">
        <f t="shared" si="137"/>
        <v/>
      </c>
      <c r="J799" s="142" t="str">
        <f t="shared" si="137"/>
        <v/>
      </c>
      <c r="K799" s="142" t="str">
        <f t="shared" si="137"/>
        <v/>
      </c>
      <c r="L799" s="142" t="str">
        <f t="shared" si="137"/>
        <v/>
      </c>
    </row>
    <row r="800" spans="2:19">
      <c r="B800" s="206" t="str">
        <f t="shared" si="135"/>
        <v>2x(200G FR4)</v>
      </c>
      <c r="C800" s="132"/>
      <c r="D800" s="142"/>
      <c r="E800" s="142">
        <f t="shared" ref="E800:F800" si="139">IF(E790=0,"",(E810*10^6)/E790)</f>
        <v>1850</v>
      </c>
      <c r="F800" s="142" t="str">
        <f t="shared" si="139"/>
        <v/>
      </c>
      <c r="G800" s="142" t="str">
        <f t="shared" si="137"/>
        <v/>
      </c>
      <c r="H800" s="142" t="str">
        <f t="shared" si="137"/>
        <v/>
      </c>
      <c r="I800" s="142" t="str">
        <f t="shared" si="137"/>
        <v/>
      </c>
      <c r="J800" s="142" t="str">
        <f t="shared" si="137"/>
        <v/>
      </c>
      <c r="K800" s="142" t="str">
        <f t="shared" si="137"/>
        <v/>
      </c>
      <c r="L800" s="142" t="str">
        <f t="shared" si="137"/>
        <v/>
      </c>
    </row>
    <row r="801" spans="2:19">
      <c r="B801" s="206" t="str">
        <f t="shared" si="135"/>
        <v>400G FR4</v>
      </c>
      <c r="C801" s="132"/>
      <c r="D801" s="142"/>
      <c r="E801" s="142">
        <f t="shared" ref="E801:F803" si="140">IF(E791=0,"",(E811*10^6)/E791)</f>
        <v>2000</v>
      </c>
      <c r="F801" s="142" t="str">
        <f t="shared" si="140"/>
        <v/>
      </c>
      <c r="G801" s="142" t="str">
        <f t="shared" si="137"/>
        <v/>
      </c>
      <c r="H801" s="142" t="str">
        <f t="shared" si="137"/>
        <v/>
      </c>
      <c r="I801" s="142" t="str">
        <f t="shared" si="137"/>
        <v/>
      </c>
      <c r="J801" s="142" t="str">
        <f t="shared" si="137"/>
        <v/>
      </c>
      <c r="K801" s="142" t="str">
        <f t="shared" si="137"/>
        <v/>
      </c>
      <c r="L801" s="142" t="str">
        <f t="shared" si="137"/>
        <v/>
      </c>
    </row>
    <row r="802" spans="2:19">
      <c r="B802" s="296" t="str">
        <f t="shared" si="135"/>
        <v>400G LR4, LR8</v>
      </c>
      <c r="C802" s="134"/>
      <c r="D802" s="138"/>
      <c r="E802" s="138">
        <f t="shared" si="140"/>
        <v>8000</v>
      </c>
      <c r="F802" s="138" t="str">
        <f t="shared" si="140"/>
        <v/>
      </c>
      <c r="G802" s="138" t="str">
        <f t="shared" si="137"/>
        <v/>
      </c>
      <c r="H802" s="138" t="str">
        <f t="shared" si="137"/>
        <v/>
      </c>
      <c r="I802" s="138" t="str">
        <f t="shared" si="137"/>
        <v/>
      </c>
      <c r="J802" s="138" t="str">
        <f t="shared" si="137"/>
        <v/>
      </c>
      <c r="K802" s="138" t="str">
        <f t="shared" si="137"/>
        <v/>
      </c>
      <c r="L802" s="138" t="str">
        <f t="shared" si="137"/>
        <v/>
      </c>
    </row>
    <row r="803" spans="2:19">
      <c r="B803" s="192" t="str">
        <f>$B$793</f>
        <v>Total</v>
      </c>
      <c r="C803" s="136"/>
      <c r="D803" s="98">
        <f>IF(D793=0,"",(D813*10^6)/D793)</f>
        <v>15149.438202247189</v>
      </c>
      <c r="E803" s="98">
        <f t="shared" si="140"/>
        <v>1261.8461538461538</v>
      </c>
      <c r="F803" s="98" t="str">
        <f t="shared" si="140"/>
        <v/>
      </c>
      <c r="G803" s="98" t="str">
        <f t="shared" si="137"/>
        <v/>
      </c>
      <c r="H803" s="98" t="str">
        <f t="shared" si="137"/>
        <v/>
      </c>
      <c r="I803" s="98" t="str">
        <f t="shared" si="137"/>
        <v/>
      </c>
      <c r="J803" s="98" t="str">
        <f t="shared" si="137"/>
        <v/>
      </c>
      <c r="K803" s="98" t="str">
        <f t="shared" si="137"/>
        <v/>
      </c>
      <c r="L803" s="98" t="str">
        <f t="shared" si="137"/>
        <v/>
      </c>
    </row>
    <row r="804" spans="2:19">
      <c r="C804" s="191"/>
      <c r="D804" s="191"/>
      <c r="E804" s="191"/>
      <c r="F804" s="246" t="s">
        <v>92</v>
      </c>
      <c r="G804" s="191" t="e">
        <f t="shared" ref="G804:L804" si="141">G803/F803-1</f>
        <v>#VALUE!</v>
      </c>
      <c r="H804" s="191" t="e">
        <f t="shared" si="141"/>
        <v>#VALUE!</v>
      </c>
      <c r="I804" s="191" t="e">
        <f t="shared" si="141"/>
        <v>#VALUE!</v>
      </c>
      <c r="J804" s="191" t="e">
        <f t="shared" si="141"/>
        <v>#VALUE!</v>
      </c>
      <c r="K804" s="191" t="e">
        <f t="shared" si="141"/>
        <v>#VALUE!</v>
      </c>
      <c r="L804" s="191" t="e">
        <f t="shared" si="141"/>
        <v>#VALUE!</v>
      </c>
    </row>
    <row r="806" spans="2:19" ht="15.5">
      <c r="B806" s="103" t="s">
        <v>208</v>
      </c>
      <c r="C806" s="302">
        <v>2016</v>
      </c>
      <c r="D806" s="308">
        <v>2017</v>
      </c>
      <c r="E806" s="308">
        <v>2018</v>
      </c>
      <c r="F806" s="308">
        <v>2019</v>
      </c>
      <c r="G806" s="308">
        <v>2020</v>
      </c>
      <c r="H806" s="308">
        <v>2021</v>
      </c>
      <c r="I806" s="308">
        <v>2022</v>
      </c>
      <c r="J806" s="308">
        <v>2023</v>
      </c>
      <c r="K806" s="308">
        <v>2024</v>
      </c>
      <c r="L806" s="308">
        <v>2025</v>
      </c>
    </row>
    <row r="807" spans="2:19">
      <c r="B807" s="280" t="str">
        <f t="shared" ref="B807:B812" si="142">B787</f>
        <v>2x200 (400G-SR8)</v>
      </c>
      <c r="C807" s="130"/>
      <c r="D807" s="140"/>
      <c r="E807" s="140">
        <f>'Products x speed'!G209</f>
        <v>14.811999999999999</v>
      </c>
      <c r="F807" s="140">
        <f>'Products x speed'!H209</f>
        <v>0</v>
      </c>
      <c r="G807" s="140">
        <f>'Products x speed'!I209</f>
        <v>0</v>
      </c>
      <c r="H807" s="140">
        <f>'Products x speed'!J209</f>
        <v>0</v>
      </c>
      <c r="I807" s="140">
        <f>'Products x speed'!K209</f>
        <v>0</v>
      </c>
      <c r="J807" s="140">
        <f>'Products x speed'!L209</f>
        <v>0</v>
      </c>
      <c r="K807" s="140">
        <f>'Products x speed'!M209</f>
        <v>0</v>
      </c>
      <c r="L807" s="140">
        <f>'Products x speed'!N209</f>
        <v>0</v>
      </c>
    </row>
    <row r="808" spans="2:19" ht="15.5">
      <c r="B808" s="206" t="str">
        <f t="shared" si="142"/>
        <v>400G SR4.2, SR4</v>
      </c>
      <c r="C808" s="132"/>
      <c r="D808" s="142"/>
      <c r="E808" s="142">
        <f>'Products x speed'!G212</f>
        <v>0</v>
      </c>
      <c r="F808" s="142">
        <f>'Products x speed'!H212</f>
        <v>0</v>
      </c>
      <c r="G808" s="142">
        <f>'Products x speed'!I212</f>
        <v>0</v>
      </c>
      <c r="H808" s="142">
        <f>'Products x speed'!J212</f>
        <v>0</v>
      </c>
      <c r="I808" s="142">
        <f>'Products x speed'!K212</f>
        <v>0</v>
      </c>
      <c r="J808" s="142">
        <f>'Products x speed'!L212</f>
        <v>0</v>
      </c>
      <c r="K808" s="142">
        <f>'Products x speed'!M212</f>
        <v>0</v>
      </c>
      <c r="L808" s="142">
        <f>'Products x speed'!N212</f>
        <v>0</v>
      </c>
      <c r="S808" s="487">
        <f>SUM(D807:L813)</f>
        <v>101.12060000000001</v>
      </c>
    </row>
    <row r="809" spans="2:19" ht="15.5">
      <c r="B809" s="206" t="str">
        <f t="shared" si="142"/>
        <v>400G DR4</v>
      </c>
      <c r="C809" s="132"/>
      <c r="D809" s="142"/>
      <c r="E809" s="142">
        <f>'Products x speed'!G213</f>
        <v>2.2000000000000002</v>
      </c>
      <c r="F809" s="142">
        <f>'Products x speed'!H213</f>
        <v>0</v>
      </c>
      <c r="G809" s="142">
        <f>'Products x speed'!I213</f>
        <v>0</v>
      </c>
      <c r="H809" s="142">
        <f>'Products x speed'!J213</f>
        <v>0</v>
      </c>
      <c r="I809" s="142">
        <f>'Products x speed'!K213</f>
        <v>0</v>
      </c>
      <c r="J809" s="142">
        <f>'Products x speed'!L213</f>
        <v>0</v>
      </c>
      <c r="K809" s="142">
        <f>'Products x speed'!M213</f>
        <v>0</v>
      </c>
      <c r="L809" s="142">
        <f>'Products x speed'!N213</f>
        <v>0</v>
      </c>
      <c r="S809" s="487">
        <f>(SUM('Products x speed'!F211:N215)+SUM('Products x speed'!E209:N209))*2</f>
        <v>101.1206</v>
      </c>
    </row>
    <row r="810" spans="2:19">
      <c r="B810" s="206" t="str">
        <f t="shared" si="142"/>
        <v>2x(200G FR4)</v>
      </c>
      <c r="C810" s="132"/>
      <c r="D810" s="142"/>
      <c r="E810" s="142">
        <f>'Products x speed'!G211</f>
        <v>22.2</v>
      </c>
      <c r="F810" s="142">
        <f>'Products x speed'!H211</f>
        <v>0</v>
      </c>
      <c r="G810" s="142">
        <f>'Products x speed'!I211</f>
        <v>0</v>
      </c>
      <c r="H810" s="142">
        <f>'Products x speed'!J211</f>
        <v>0</v>
      </c>
      <c r="I810" s="142">
        <f>'Products x speed'!K211</f>
        <v>0</v>
      </c>
      <c r="J810" s="142">
        <f>'Products x speed'!L211</f>
        <v>0</v>
      </c>
      <c r="K810" s="142">
        <f>'Products x speed'!M211</f>
        <v>0</v>
      </c>
      <c r="L810" s="142">
        <f>'Products x speed'!N211</f>
        <v>0</v>
      </c>
    </row>
    <row r="811" spans="2:19" ht="15.5">
      <c r="B811" s="206" t="str">
        <f t="shared" si="142"/>
        <v>400G FR4</v>
      </c>
      <c r="C811" s="132"/>
      <c r="D811" s="142">
        <f>'Products x speed'!F214</f>
        <v>8.1299999999999997E-2</v>
      </c>
      <c r="E811" s="142">
        <f>'Products x speed'!G214</f>
        <v>2</v>
      </c>
      <c r="F811" s="142">
        <f>'Products x speed'!H214</f>
        <v>0</v>
      </c>
      <c r="G811" s="142">
        <f>'Products x speed'!I214</f>
        <v>0</v>
      </c>
      <c r="H811" s="142">
        <f>'Products x speed'!J214</f>
        <v>0</v>
      </c>
      <c r="I811" s="142">
        <f>'Products x speed'!K214</f>
        <v>0</v>
      </c>
      <c r="J811" s="142">
        <f>'Products x speed'!L214</f>
        <v>0</v>
      </c>
      <c r="K811" s="142">
        <f>'Products x speed'!M214</f>
        <v>0</v>
      </c>
      <c r="L811" s="142">
        <f>'Products x speed'!N214</f>
        <v>0</v>
      </c>
      <c r="S811" s="489">
        <f>S809-S808</f>
        <v>0</v>
      </c>
    </row>
    <row r="812" spans="2:19">
      <c r="B812" s="296" t="str">
        <f t="shared" si="142"/>
        <v>400G LR4, LR8</v>
      </c>
      <c r="C812" s="134"/>
      <c r="D812" s="138">
        <f>'Products x speed'!F215</f>
        <v>1.2669999999999999</v>
      </c>
      <c r="E812" s="138">
        <f>'Products x speed'!G215</f>
        <v>8</v>
      </c>
      <c r="F812" s="138">
        <f>'Products x speed'!H215</f>
        <v>0</v>
      </c>
      <c r="G812" s="138">
        <f>'Products x speed'!I215</f>
        <v>0</v>
      </c>
      <c r="H812" s="138">
        <f>'Products x speed'!J215</f>
        <v>0</v>
      </c>
      <c r="I812" s="138">
        <f>'Products x speed'!K215</f>
        <v>0</v>
      </c>
      <c r="J812" s="138">
        <f>'Products x speed'!L215</f>
        <v>0</v>
      </c>
      <c r="K812" s="138">
        <f>'Products x speed'!M215</f>
        <v>0</v>
      </c>
      <c r="L812" s="138">
        <f>'Products x speed'!N215</f>
        <v>0</v>
      </c>
    </row>
    <row r="813" spans="2:19">
      <c r="B813" s="192" t="str">
        <f>$B$793</f>
        <v>Total</v>
      </c>
      <c r="C813" s="136"/>
      <c r="D813" s="372">
        <f>SUM(D807:D812)</f>
        <v>1.3482999999999998</v>
      </c>
      <c r="E813" s="98">
        <f t="shared" ref="E813:L813" si="143">SUM(E807:E812)</f>
        <v>49.212000000000003</v>
      </c>
      <c r="F813" s="98">
        <f t="shared" si="143"/>
        <v>0</v>
      </c>
      <c r="G813" s="98">
        <f t="shared" si="143"/>
        <v>0</v>
      </c>
      <c r="H813" s="98">
        <f t="shared" si="143"/>
        <v>0</v>
      </c>
      <c r="I813" s="98">
        <f t="shared" si="143"/>
        <v>0</v>
      </c>
      <c r="J813" s="98">
        <f t="shared" si="143"/>
        <v>0</v>
      </c>
      <c r="K813" s="98">
        <f t="shared" si="143"/>
        <v>0</v>
      </c>
      <c r="L813" s="98">
        <f t="shared" si="143"/>
        <v>0</v>
      </c>
    </row>
    <row r="814" spans="2:19">
      <c r="C814" s="191"/>
      <c r="D814" s="191"/>
      <c r="E814" s="191"/>
      <c r="F814" s="246" t="s">
        <v>92</v>
      </c>
      <c r="G814" s="191" t="e">
        <f t="shared" ref="G814:L814" si="144">G813/F813-1</f>
        <v>#DIV/0!</v>
      </c>
      <c r="H814" s="191" t="e">
        <f t="shared" si="144"/>
        <v>#DIV/0!</v>
      </c>
      <c r="I814" s="191" t="e">
        <f t="shared" si="144"/>
        <v>#DIV/0!</v>
      </c>
      <c r="J814" s="191" t="e">
        <f t="shared" si="144"/>
        <v>#DIV/0!</v>
      </c>
      <c r="K814" s="191" t="e">
        <f t="shared" si="144"/>
        <v>#DIV/0!</v>
      </c>
      <c r="L814" s="191" t="e">
        <f t="shared" si="144"/>
        <v>#DIV/0!</v>
      </c>
    </row>
    <row r="817" spans="2:13" ht="21">
      <c r="B817" s="125" t="s">
        <v>429</v>
      </c>
    </row>
    <row r="818" spans="2:13" ht="21">
      <c r="B818" s="216" t="s">
        <v>22</v>
      </c>
      <c r="G818" s="216" t="s">
        <v>21</v>
      </c>
      <c r="M818" s="216" t="s">
        <v>15</v>
      </c>
    </row>
    <row r="822" spans="2:13" ht="16.5" customHeight="1"/>
    <row r="839" spans="2:19" ht="15.5">
      <c r="B839" s="103" t="s">
        <v>430</v>
      </c>
      <c r="C839" s="302">
        <v>2016</v>
      </c>
      <c r="D839" s="308">
        <v>2017</v>
      </c>
      <c r="E839" s="308">
        <v>2018</v>
      </c>
      <c r="F839" s="308">
        <v>2019</v>
      </c>
      <c r="G839" s="308">
        <v>2020</v>
      </c>
      <c r="H839" s="308">
        <v>2021</v>
      </c>
      <c r="I839" s="308">
        <v>2022</v>
      </c>
      <c r="J839" s="308">
        <v>2023</v>
      </c>
      <c r="K839" s="308">
        <v>2024</v>
      </c>
      <c r="L839" s="308">
        <v>2025</v>
      </c>
    </row>
    <row r="840" spans="2:19" ht="15.5">
      <c r="B840" s="370" t="str">
        <f>'Products x speed'!O66</f>
        <v>800G SR8_50 m_OSFP, QSFP-DD800</v>
      </c>
      <c r="C840" s="131">
        <f>'Products x speed'!E66</f>
        <v>0</v>
      </c>
      <c r="D840" s="131">
        <f>'Products x speed'!F66</f>
        <v>0</v>
      </c>
      <c r="E840" s="131">
        <f>'Products x speed'!G66</f>
        <v>0</v>
      </c>
      <c r="F840" s="131">
        <f>'Products x speed'!H66</f>
        <v>0</v>
      </c>
      <c r="G840" s="131">
        <f>'Products x speed'!I66</f>
        <v>0</v>
      </c>
      <c r="H840" s="131">
        <f>'Products x speed'!J66</f>
        <v>0</v>
      </c>
      <c r="I840" s="131">
        <f>'Products x speed'!K66</f>
        <v>0</v>
      </c>
      <c r="J840" s="131">
        <f>'Products x speed'!L66</f>
        <v>0</v>
      </c>
      <c r="K840" s="131">
        <f>'Products x speed'!M66</f>
        <v>0</v>
      </c>
      <c r="L840" s="131">
        <f>'Products x speed'!N66</f>
        <v>0</v>
      </c>
      <c r="S840" s="487">
        <f>SUM(C840:L844)</f>
        <v>0</v>
      </c>
    </row>
    <row r="841" spans="2:19" ht="15.5">
      <c r="B841" s="206" t="str">
        <f>'Products x speed'!O67</f>
        <v>800G PSM8_500 m_OSFP, QSFP-DD800</v>
      </c>
      <c r="C841" s="133">
        <f>'Products x speed'!E67</f>
        <v>0</v>
      </c>
      <c r="D841" s="133">
        <f>'Products x speed'!F67</f>
        <v>0</v>
      </c>
      <c r="E841" s="133">
        <f>'Products x speed'!G67</f>
        <v>0</v>
      </c>
      <c r="F841" s="133">
        <f>'Products x speed'!H67</f>
        <v>0</v>
      </c>
      <c r="G841" s="133">
        <f>'Products x speed'!I67</f>
        <v>0</v>
      </c>
      <c r="H841" s="133">
        <f>'Products x speed'!J67</f>
        <v>0</v>
      </c>
      <c r="I841" s="133">
        <f>'Products x speed'!K67</f>
        <v>0</v>
      </c>
      <c r="J841" s="133">
        <f>'Products x speed'!L67</f>
        <v>0</v>
      </c>
      <c r="K841" s="133">
        <f>'Products x speed'!M67</f>
        <v>0</v>
      </c>
      <c r="L841" s="133">
        <f>'Products x speed'!N67</f>
        <v>0</v>
      </c>
      <c r="S841" s="487">
        <f>SUM('Products x speed'!E66:N69)*2</f>
        <v>0</v>
      </c>
    </row>
    <row r="842" spans="2:19" ht="15.5">
      <c r="B842" s="206" t="str">
        <f>'Products x speed'!O68</f>
        <v>2x(400G FR4)_2 km_OSFP, QSFP-DD800</v>
      </c>
      <c r="C842" s="133">
        <f>'Products x speed'!E68</f>
        <v>0</v>
      </c>
      <c r="D842" s="133">
        <f>'Products x speed'!F68</f>
        <v>0</v>
      </c>
      <c r="E842" s="133">
        <f>'Products x speed'!G68</f>
        <v>0</v>
      </c>
      <c r="F842" s="133">
        <f>'Products x speed'!H68</f>
        <v>0</v>
      </c>
      <c r="G842" s="133">
        <f>'Products x speed'!I68</f>
        <v>0</v>
      </c>
      <c r="H842" s="133">
        <f>'Products x speed'!J68</f>
        <v>0</v>
      </c>
      <c r="I842" s="133">
        <f>'Products x speed'!K68</f>
        <v>0</v>
      </c>
      <c r="J842" s="133">
        <f>'Products x speed'!L68</f>
        <v>0</v>
      </c>
      <c r="K842" s="133">
        <f>'Products x speed'!M68</f>
        <v>0</v>
      </c>
      <c r="L842" s="133">
        <f>'Products x speed'!N68</f>
        <v>0</v>
      </c>
      <c r="S842" s="489">
        <f>S841-S840</f>
        <v>0</v>
      </c>
    </row>
    <row r="843" spans="2:19">
      <c r="B843" s="206"/>
      <c r="C843" s="133"/>
      <c r="D843" s="133" t="str">
        <f>'Products x speed'!F113</f>
        <v/>
      </c>
      <c r="E843" s="133" t="str">
        <f>'Products x speed'!G113</f>
        <v/>
      </c>
      <c r="F843" s="133" t="str">
        <f>'Products x speed'!H113</f>
        <v/>
      </c>
      <c r="G843" s="133" t="str">
        <f>'Products x speed'!I113</f>
        <v/>
      </c>
      <c r="H843" s="133" t="str">
        <f>'Products x speed'!J113</f>
        <v/>
      </c>
      <c r="I843" s="133" t="str">
        <f>'Products x speed'!K113</f>
        <v/>
      </c>
      <c r="J843" s="133" t="str">
        <f>'Products x speed'!L113</f>
        <v/>
      </c>
      <c r="K843" s="133" t="str">
        <f>'Products x speed'!M113</f>
        <v/>
      </c>
      <c r="L843" s="133" t="str">
        <f>'Products x speed'!N113</f>
        <v/>
      </c>
    </row>
    <row r="844" spans="2:19">
      <c r="B844" s="192" t="s">
        <v>13</v>
      </c>
      <c r="C844" s="136"/>
      <c r="D844" s="137">
        <f t="shared" ref="D844" si="145">SUM(D840:D843)</f>
        <v>0</v>
      </c>
      <c r="E844" s="137">
        <f t="shared" ref="E844" si="146">SUM(E840:E843)</f>
        <v>0</v>
      </c>
      <c r="F844" s="137">
        <f t="shared" ref="F844" si="147">SUM(F840:F843)</f>
        <v>0</v>
      </c>
      <c r="G844" s="137">
        <f t="shared" ref="G844" si="148">SUM(G840:G843)</f>
        <v>0</v>
      </c>
      <c r="H844" s="137">
        <f>SUM(H840:H843)</f>
        <v>0</v>
      </c>
      <c r="I844" s="137">
        <f>SUM(I840:I843)</f>
        <v>0</v>
      </c>
      <c r="J844" s="137">
        <f t="shared" ref="J844" si="149">SUM(J840:J843)</f>
        <v>0</v>
      </c>
      <c r="K844" s="137">
        <f t="shared" ref="K844" si="150">SUM(K840:K843)</f>
        <v>0</v>
      </c>
      <c r="L844" s="137">
        <f t="shared" ref="L844" si="151">SUM(L840:L843)</f>
        <v>0</v>
      </c>
    </row>
    <row r="845" spans="2:19">
      <c r="C845" s="191"/>
      <c r="D845" s="191"/>
      <c r="E845" s="191"/>
      <c r="F845" s="246" t="s">
        <v>92</v>
      </c>
      <c r="G845" s="191"/>
      <c r="H845" s="191"/>
      <c r="I845" s="191" t="e">
        <f t="shared" ref="I845" si="152">I844/H844-1</f>
        <v>#DIV/0!</v>
      </c>
      <c r="J845" s="191" t="e">
        <f t="shared" ref="J845" si="153">J844/I844-1</f>
        <v>#DIV/0!</v>
      </c>
      <c r="K845" s="191" t="e">
        <f t="shared" ref="K845" si="154">K844/J844-1</f>
        <v>#DIV/0!</v>
      </c>
      <c r="L845" s="191" t="e">
        <f t="shared" ref="L845" si="155">L844/K844-1</f>
        <v>#DIV/0!</v>
      </c>
    </row>
    <row r="847" spans="2:19" ht="15.5">
      <c r="B847" s="103" t="s">
        <v>431</v>
      </c>
      <c r="C847" s="302">
        <v>2016</v>
      </c>
      <c r="D847" s="308">
        <v>2017</v>
      </c>
      <c r="E847" s="308">
        <v>2018</v>
      </c>
      <c r="F847" s="308">
        <v>2019</v>
      </c>
      <c r="G847" s="308">
        <v>2020</v>
      </c>
      <c r="H847" s="308">
        <v>2021</v>
      </c>
      <c r="I847" s="308">
        <v>2022</v>
      </c>
      <c r="J847" s="308">
        <v>2023</v>
      </c>
      <c r="K847" s="308">
        <v>2024</v>
      </c>
      <c r="L847" s="308">
        <v>2025</v>
      </c>
    </row>
    <row r="848" spans="2:19">
      <c r="B848" s="280" t="str">
        <f>B840</f>
        <v>800G SR8_50 m_OSFP, QSFP-DD800</v>
      </c>
      <c r="C848" s="131"/>
      <c r="D848" s="140"/>
      <c r="E848" s="140"/>
      <c r="F848" s="140"/>
      <c r="G848" s="140"/>
      <c r="H848" s="140" t="str">
        <f t="shared" ref="H848:K848" si="156">IF(H840=0,"",(H856*10^6)/H840)</f>
        <v/>
      </c>
      <c r="I848" s="140" t="str">
        <f t="shared" si="156"/>
        <v/>
      </c>
      <c r="J848" s="140" t="str">
        <f t="shared" si="156"/>
        <v/>
      </c>
      <c r="K848" s="140" t="str">
        <f t="shared" si="156"/>
        <v/>
      </c>
      <c r="L848" s="140" t="str">
        <f>IF(L840=0,"",(L856*10^6)/L840)</f>
        <v/>
      </c>
    </row>
    <row r="849" spans="2:19">
      <c r="B849" s="206" t="str">
        <f>B841</f>
        <v>800G PSM8_500 m_OSFP, QSFP-DD800</v>
      </c>
      <c r="C849" s="133"/>
      <c r="D849" s="142"/>
      <c r="E849" s="142"/>
      <c r="F849" s="142"/>
      <c r="G849" s="142"/>
      <c r="H849" s="142" t="str">
        <f t="shared" ref="H849:K849" si="157">IF(H841=0,"",(H857*10^6)/H841)</f>
        <v/>
      </c>
      <c r="I849" s="142" t="str">
        <f t="shared" si="157"/>
        <v/>
      </c>
      <c r="J849" s="142" t="str">
        <f t="shared" si="157"/>
        <v/>
      </c>
      <c r="K849" s="142" t="str">
        <f t="shared" si="157"/>
        <v/>
      </c>
      <c r="L849" s="142" t="str">
        <f>IF(L841=0,"",(L857*10^6)/L841)</f>
        <v/>
      </c>
    </row>
    <row r="850" spans="2:19">
      <c r="B850" s="206" t="str">
        <f>B842</f>
        <v>2x(400G FR4)_2 km_OSFP, QSFP-DD800</v>
      </c>
      <c r="C850" s="133"/>
      <c r="D850" s="142"/>
      <c r="E850" s="142"/>
      <c r="F850" s="142"/>
      <c r="G850" s="142"/>
      <c r="H850" s="142" t="str">
        <f t="shared" ref="H850:K850" si="158">IF(H842=0,"",(H858*10^6)/H842)</f>
        <v/>
      </c>
      <c r="I850" s="142" t="str">
        <f t="shared" si="158"/>
        <v/>
      </c>
      <c r="J850" s="142" t="str">
        <f t="shared" si="158"/>
        <v/>
      </c>
      <c r="K850" s="142" t="str">
        <f t="shared" si="158"/>
        <v/>
      </c>
      <c r="L850" s="142" t="str">
        <f>IF(L842=0,"",(L858*10^6)/L842)</f>
        <v/>
      </c>
    </row>
    <row r="851" spans="2:19">
      <c r="B851" s="206"/>
      <c r="C851" s="133"/>
      <c r="D851" s="142"/>
      <c r="E851" s="142"/>
      <c r="F851" s="142"/>
      <c r="G851" s="142"/>
      <c r="H851" s="142"/>
      <c r="I851" s="142"/>
      <c r="J851" s="142"/>
      <c r="K851" s="142"/>
      <c r="L851" s="142"/>
    </row>
    <row r="852" spans="2:19">
      <c r="B852" s="192" t="str">
        <f>$B$793</f>
        <v>Total</v>
      </c>
      <c r="C852" s="136"/>
      <c r="D852" s="98" t="str">
        <f>IF(D844=0,"",(D860*10^6)/D844)</f>
        <v/>
      </c>
      <c r="E852" s="98" t="str">
        <f>IF(E844=0,"",(E860*10^6)/E844)</f>
        <v/>
      </c>
      <c r="F852" s="98" t="str">
        <f t="shared" ref="F852:K852" si="159">IF(F844=0,"",(F860*10^6)/F844)</f>
        <v/>
      </c>
      <c r="G852" s="98" t="str">
        <f t="shared" si="159"/>
        <v/>
      </c>
      <c r="H852" s="98" t="str">
        <f>IF(H844=0,"",(H860*10^6)/H844)</f>
        <v/>
      </c>
      <c r="I852" s="98" t="str">
        <f t="shared" si="159"/>
        <v/>
      </c>
      <c r="J852" s="98" t="str">
        <f t="shared" si="159"/>
        <v/>
      </c>
      <c r="K852" s="98" t="str">
        <f t="shared" si="159"/>
        <v/>
      </c>
      <c r="L852" s="98" t="str">
        <f>IF(L844=0,"",(L860*10^6)/L844)</f>
        <v/>
      </c>
    </row>
    <row r="853" spans="2:19">
      <c r="C853" s="191"/>
      <c r="D853" s="191"/>
      <c r="E853" s="191"/>
      <c r="F853" s="246" t="s">
        <v>92</v>
      </c>
      <c r="G853" s="191"/>
      <c r="H853" s="191"/>
      <c r="I853" s="191" t="e">
        <f t="shared" ref="I853" si="160">I852/H852-1</f>
        <v>#VALUE!</v>
      </c>
      <c r="J853" s="191" t="e">
        <f t="shared" ref="J853" si="161">J852/I852-1</f>
        <v>#VALUE!</v>
      </c>
      <c r="K853" s="191" t="e">
        <f t="shared" ref="K853" si="162">K852/J852-1</f>
        <v>#VALUE!</v>
      </c>
      <c r="L853" s="191" t="e">
        <f t="shared" ref="L853" si="163">L852/K852-1</f>
        <v>#VALUE!</v>
      </c>
    </row>
    <row r="855" spans="2:19" ht="15.5">
      <c r="B855" s="103" t="s">
        <v>432</v>
      </c>
      <c r="C855" s="302">
        <v>2016</v>
      </c>
      <c r="D855" s="308">
        <v>2017</v>
      </c>
      <c r="E855" s="308">
        <v>2018</v>
      </c>
      <c r="F855" s="308">
        <v>2019</v>
      </c>
      <c r="G855" s="308">
        <v>2020</v>
      </c>
      <c r="H855" s="308">
        <v>2021</v>
      </c>
      <c r="I855" s="308">
        <v>2022</v>
      </c>
      <c r="J855" s="308">
        <v>2023</v>
      </c>
      <c r="K855" s="308">
        <v>2024</v>
      </c>
      <c r="L855" s="308">
        <v>2025</v>
      </c>
    </row>
    <row r="856" spans="2:19" ht="15.5">
      <c r="B856" s="280" t="str">
        <f>B840</f>
        <v>800G SR8_50 m_OSFP, QSFP-DD800</v>
      </c>
      <c r="C856" s="131"/>
      <c r="D856" s="140"/>
      <c r="E856" s="140"/>
      <c r="F856" s="140"/>
      <c r="G856" s="140">
        <f>'Products x speed'!I216</f>
        <v>0</v>
      </c>
      <c r="H856" s="140">
        <f>'Products x speed'!J216</f>
        <v>0</v>
      </c>
      <c r="I856" s="140">
        <f>'Products x speed'!K216</f>
        <v>0</v>
      </c>
      <c r="J856" s="140">
        <f>'Products x speed'!L216</f>
        <v>0</v>
      </c>
      <c r="K856" s="140">
        <f>'Products x speed'!M216</f>
        <v>0</v>
      </c>
      <c r="L856" s="140">
        <f>'Products x speed'!N216</f>
        <v>0</v>
      </c>
      <c r="S856" s="487">
        <f>SUM(D856:L860)</f>
        <v>0</v>
      </c>
    </row>
    <row r="857" spans="2:19" ht="15.5">
      <c r="B857" s="206" t="str">
        <f>B841</f>
        <v>800G PSM8_500 m_OSFP, QSFP-DD800</v>
      </c>
      <c r="C857" s="133"/>
      <c r="D857" s="142"/>
      <c r="E857" s="142"/>
      <c r="F857" s="142"/>
      <c r="G857" s="142">
        <f>'Products x speed'!I217</f>
        <v>0</v>
      </c>
      <c r="H857" s="142">
        <f>'Products x speed'!J217</f>
        <v>0</v>
      </c>
      <c r="I857" s="142">
        <f>'Products x speed'!K217</f>
        <v>0</v>
      </c>
      <c r="J857" s="142">
        <f>'Products x speed'!L217</f>
        <v>0</v>
      </c>
      <c r="K857" s="142">
        <f>'Products x speed'!M217</f>
        <v>0</v>
      </c>
      <c r="L857" s="142">
        <f>'Products x speed'!N217</f>
        <v>0</v>
      </c>
      <c r="S857" s="487">
        <f>SUM('Products x speed'!E216:N218)*2</f>
        <v>0</v>
      </c>
    </row>
    <row r="858" spans="2:19" ht="15.5">
      <c r="B858" s="206" t="str">
        <f>B842</f>
        <v>2x(400G FR4)_2 km_OSFP, QSFP-DD800</v>
      </c>
      <c r="C858" s="133"/>
      <c r="D858" s="217"/>
      <c r="E858" s="142"/>
      <c r="F858" s="142"/>
      <c r="G858" s="142">
        <f>'Products x speed'!I218</f>
        <v>0</v>
      </c>
      <c r="H858" s="142">
        <f>'Products x speed'!J218</f>
        <v>0</v>
      </c>
      <c r="I858" s="142">
        <f>'Products x speed'!K218</f>
        <v>0</v>
      </c>
      <c r="J858" s="142">
        <f>'Products x speed'!L218</f>
        <v>0</v>
      </c>
      <c r="K858" s="142">
        <f>'Products x speed'!M218</f>
        <v>0</v>
      </c>
      <c r="L858" s="142">
        <f>'Products x speed'!N218</f>
        <v>0</v>
      </c>
      <c r="S858" s="489">
        <f>S857-S856</f>
        <v>0</v>
      </c>
    </row>
    <row r="859" spans="2:19">
      <c r="B859" s="206"/>
      <c r="C859" s="133"/>
      <c r="D859" s="217"/>
      <c r="E859" s="142"/>
      <c r="F859" s="142"/>
      <c r="G859" s="142"/>
      <c r="H859" s="142"/>
      <c r="I859" s="142"/>
      <c r="J859" s="142"/>
      <c r="K859" s="142"/>
      <c r="L859" s="142"/>
    </row>
    <row r="860" spans="2:19">
      <c r="B860" s="192" t="str">
        <f>$B$793</f>
        <v>Total</v>
      </c>
      <c r="C860" s="136"/>
      <c r="D860" s="372">
        <f t="shared" ref="D860" si="164">SUM(D856:D859)</f>
        <v>0</v>
      </c>
      <c r="E860" s="98">
        <f t="shared" ref="E860" si="165">SUM(E856:E859)</f>
        <v>0</v>
      </c>
      <c r="F860" s="98">
        <f t="shared" ref="F860" si="166">SUM(F856:F859)</f>
        <v>0</v>
      </c>
      <c r="G860" s="98">
        <f t="shared" ref="G860" si="167">SUM(G856:G859)</f>
        <v>0</v>
      </c>
      <c r="H860" s="98">
        <f>SUM(H856:H859)</f>
        <v>0</v>
      </c>
      <c r="I860" s="98">
        <f t="shared" ref="I860" si="168">SUM(I856:I859)</f>
        <v>0</v>
      </c>
      <c r="J860" s="98">
        <f t="shared" ref="J860" si="169">SUM(J856:J859)</f>
        <v>0</v>
      </c>
      <c r="K860" s="98">
        <f t="shared" ref="K860" si="170">SUM(K856:K859)</f>
        <v>0</v>
      </c>
      <c r="L860" s="98">
        <f t="shared" ref="L860" si="171">SUM(L856:L859)</f>
        <v>0</v>
      </c>
    </row>
    <row r="861" spans="2:19">
      <c r="C861" s="191"/>
      <c r="D861" s="191"/>
      <c r="E861" s="191"/>
      <c r="F861" s="246" t="s">
        <v>92</v>
      </c>
      <c r="G861" s="191"/>
      <c r="H861" s="191"/>
      <c r="I861" s="191" t="e">
        <f t="shared" ref="I861" si="172">I860/H860-1</f>
        <v>#DIV/0!</v>
      </c>
      <c r="J861" s="191" t="e">
        <f t="shared" ref="J861" si="173">J860/I860-1</f>
        <v>#DIV/0!</v>
      </c>
      <c r="K861" s="191" t="e">
        <f t="shared" ref="K861" si="174">K860/J860-1</f>
        <v>#DIV/0!</v>
      </c>
      <c r="L861" s="191" t="e">
        <f t="shared" ref="L861" si="175">L860/K860-1</f>
        <v>#DIV/0!</v>
      </c>
    </row>
    <row r="863" spans="2:19" ht="21">
      <c r="B863" s="125" t="s">
        <v>391</v>
      </c>
      <c r="C863" s="472">
        <v>2016</v>
      </c>
      <c r="D863" s="472">
        <v>2017</v>
      </c>
      <c r="E863" s="472">
        <v>2018</v>
      </c>
      <c r="F863" s="472">
        <v>2019</v>
      </c>
      <c r="G863" s="472">
        <v>2020</v>
      </c>
      <c r="H863" s="472">
        <v>2021</v>
      </c>
      <c r="I863" s="472">
        <v>2022</v>
      </c>
      <c r="J863" s="472">
        <v>2023</v>
      </c>
      <c r="K863" s="472">
        <v>2024</v>
      </c>
      <c r="L863" s="472">
        <v>2025</v>
      </c>
    </row>
    <row r="864" spans="2:19">
      <c r="B864" s="190" t="s">
        <v>72</v>
      </c>
      <c r="C864" s="540">
        <f t="shared" ref="C864:L864" si="176">C277</f>
        <v>13000883.93</v>
      </c>
      <c r="D864" s="540">
        <f t="shared" si="176"/>
        <v>14702610</v>
      </c>
      <c r="E864" s="540">
        <f t="shared" si="176"/>
        <v>16130297.5</v>
      </c>
      <c r="F864" s="540">
        <f t="shared" si="176"/>
        <v>0</v>
      </c>
      <c r="G864" s="540">
        <f t="shared" si="176"/>
        <v>0</v>
      </c>
      <c r="H864" s="211">
        <f t="shared" si="176"/>
        <v>0</v>
      </c>
      <c r="I864" s="211">
        <f t="shared" si="176"/>
        <v>0</v>
      </c>
      <c r="J864" s="211">
        <f t="shared" si="176"/>
        <v>0</v>
      </c>
      <c r="K864" s="211">
        <f t="shared" si="176"/>
        <v>0</v>
      </c>
      <c r="L864" s="211">
        <f t="shared" si="176"/>
        <v>0</v>
      </c>
    </row>
    <row r="865" spans="2:13">
      <c r="B865" s="190" t="s">
        <v>369</v>
      </c>
      <c r="C865" s="212" t="e">
        <f>SUM(#REF!)</f>
        <v>#REF!</v>
      </c>
      <c r="D865" s="212" t="e">
        <f>SUM(#REF!)</f>
        <v>#REF!</v>
      </c>
      <c r="E865" s="212" t="e">
        <f>SUM(#REF!)</f>
        <v>#REF!</v>
      </c>
      <c r="F865" s="212" t="e">
        <f>SUM(#REF!)</f>
        <v>#REF!</v>
      </c>
      <c r="G865" s="212" t="e">
        <f>SUM(#REF!)</f>
        <v>#REF!</v>
      </c>
      <c r="H865" s="197" t="e">
        <f>SUM(#REF!)</f>
        <v>#REF!</v>
      </c>
      <c r="I865" s="197" t="e">
        <f>SUM(#REF!)</f>
        <v>#REF!</v>
      </c>
      <c r="J865" s="197" t="e">
        <f>SUM(#REF!)</f>
        <v>#REF!</v>
      </c>
      <c r="K865" s="197" t="e">
        <f>SUM(#REF!)</f>
        <v>#REF!</v>
      </c>
      <c r="L865" s="197" t="e">
        <f>SUM(#REF!)</f>
        <v>#REF!</v>
      </c>
    </row>
    <row r="866" spans="2:13">
      <c r="B866" s="190" t="s">
        <v>392</v>
      </c>
      <c r="C866" s="212" t="e">
        <f>C867+C868</f>
        <v>#REF!</v>
      </c>
      <c r="D866" s="212" t="e">
        <f t="shared" ref="D866:L866" si="177">D867+D868</f>
        <v>#REF!</v>
      </c>
      <c r="E866" s="212" t="e">
        <f t="shared" si="177"/>
        <v>#REF!</v>
      </c>
      <c r="F866" s="212" t="e">
        <f t="shared" si="177"/>
        <v>#REF!</v>
      </c>
      <c r="G866" s="212" t="e">
        <f t="shared" si="177"/>
        <v>#REF!</v>
      </c>
      <c r="H866" s="197" t="e">
        <f t="shared" si="177"/>
        <v>#REF!</v>
      </c>
      <c r="I866" s="197" t="e">
        <f t="shared" si="177"/>
        <v>#REF!</v>
      </c>
      <c r="J866" s="197" t="e">
        <f t="shared" si="177"/>
        <v>#REF!</v>
      </c>
      <c r="K866" s="197" t="e">
        <f t="shared" si="177"/>
        <v>#REF!</v>
      </c>
      <c r="L866" s="197" t="e">
        <f t="shared" si="177"/>
        <v>#REF!</v>
      </c>
    </row>
    <row r="867" spans="2:13">
      <c r="B867" s="190" t="s">
        <v>394</v>
      </c>
      <c r="C867" s="197" t="e">
        <f>SUM(#REF!)</f>
        <v>#REF!</v>
      </c>
      <c r="D867" s="197" t="e">
        <f>SUM(#REF!)</f>
        <v>#REF!</v>
      </c>
      <c r="E867" s="197" t="e">
        <f>SUM(#REF!)</f>
        <v>#REF!</v>
      </c>
      <c r="F867" s="197" t="e">
        <f>SUM(#REF!)</f>
        <v>#REF!</v>
      </c>
      <c r="G867" s="197" t="e">
        <f>SUM(#REF!)</f>
        <v>#REF!</v>
      </c>
      <c r="H867" s="197" t="e">
        <f>SUM(#REF!)</f>
        <v>#REF!</v>
      </c>
      <c r="I867" s="197" t="e">
        <f>SUM(#REF!)</f>
        <v>#REF!</v>
      </c>
      <c r="J867" s="197" t="e">
        <f>SUM(#REF!)</f>
        <v>#REF!</v>
      </c>
      <c r="K867" s="197" t="e">
        <f>SUM(#REF!)</f>
        <v>#REF!</v>
      </c>
      <c r="L867" s="197" t="e">
        <f>SUM(#REF!)</f>
        <v>#REF!</v>
      </c>
    </row>
    <row r="868" spans="2:13">
      <c r="B868" s="190" t="s">
        <v>395</v>
      </c>
      <c r="C868" s="197" t="e">
        <f>SUM(#REF!)</f>
        <v>#REF!</v>
      </c>
      <c r="D868" s="197" t="e">
        <f>SUM(#REF!)</f>
        <v>#REF!</v>
      </c>
      <c r="E868" s="197" t="e">
        <f>SUM(#REF!)</f>
        <v>#REF!</v>
      </c>
      <c r="F868" s="197" t="e">
        <f>SUM(#REF!)</f>
        <v>#REF!</v>
      </c>
      <c r="G868" s="197" t="e">
        <f>SUM(#REF!)</f>
        <v>#REF!</v>
      </c>
      <c r="H868" s="197" t="e">
        <f>SUM(#REF!)</f>
        <v>#REF!</v>
      </c>
      <c r="I868" s="197" t="e">
        <f>SUM(#REF!)</f>
        <v>#REF!</v>
      </c>
      <c r="J868" s="197" t="e">
        <f>SUM(#REF!)</f>
        <v>#REF!</v>
      </c>
      <c r="K868" s="197" t="e">
        <f>SUM(#REF!)</f>
        <v>#REF!</v>
      </c>
      <c r="L868" s="197" t="e">
        <f>SUM(#REF!)</f>
        <v>#REF!</v>
      </c>
    </row>
    <row r="870" spans="2:13" ht="21">
      <c r="B870" s="125" t="s">
        <v>396</v>
      </c>
    </row>
    <row r="871" spans="2:13">
      <c r="B871" s="190" t="s">
        <v>139</v>
      </c>
      <c r="C871" s="211">
        <f t="shared" ref="C871:L871" si="178">SUM(C555:C559)</f>
        <v>299241</v>
      </c>
      <c r="D871" s="211">
        <f t="shared" si="178"/>
        <v>631974</v>
      </c>
      <c r="E871" s="211">
        <f t="shared" si="178"/>
        <v>2082911</v>
      </c>
      <c r="F871" s="211">
        <f t="shared" si="178"/>
        <v>0</v>
      </c>
      <c r="G871" s="211">
        <f t="shared" si="178"/>
        <v>0</v>
      </c>
      <c r="H871" s="449">
        <f t="shared" si="178"/>
        <v>0</v>
      </c>
      <c r="I871" s="449">
        <f t="shared" si="178"/>
        <v>0</v>
      </c>
      <c r="J871" s="449">
        <f t="shared" si="178"/>
        <v>0</v>
      </c>
      <c r="K871" s="449">
        <f t="shared" si="178"/>
        <v>0</v>
      </c>
      <c r="L871" s="449">
        <f t="shared" si="178"/>
        <v>0</v>
      </c>
    </row>
    <row r="872" spans="2:13">
      <c r="B872" s="190" t="s">
        <v>393</v>
      </c>
      <c r="C872" s="211">
        <f>SUM(C640:C644)</f>
        <v>292622</v>
      </c>
      <c r="D872" s="211">
        <f t="shared" ref="D872:L872" si="179">SUM(D640:D643)</f>
        <v>552903</v>
      </c>
      <c r="E872" s="211">
        <f t="shared" si="179"/>
        <v>610404.1176470588</v>
      </c>
      <c r="F872" s="211">
        <f t="shared" si="179"/>
        <v>0</v>
      </c>
      <c r="G872" s="211">
        <f t="shared" si="179"/>
        <v>0</v>
      </c>
      <c r="H872" s="449">
        <f t="shared" si="179"/>
        <v>0</v>
      </c>
      <c r="I872" s="449">
        <f t="shared" si="179"/>
        <v>0</v>
      </c>
      <c r="J872" s="449">
        <f t="shared" si="179"/>
        <v>0</v>
      </c>
      <c r="K872" s="449">
        <f t="shared" si="179"/>
        <v>0</v>
      </c>
      <c r="L872" s="449">
        <f t="shared" si="179"/>
        <v>0</v>
      </c>
    </row>
    <row r="873" spans="2:13">
      <c r="B873" s="190" t="s">
        <v>400</v>
      </c>
      <c r="C873" s="211">
        <f>C874+C875</f>
        <v>7456</v>
      </c>
      <c r="D873" s="211">
        <f t="shared" ref="D873:L873" si="180">D874+D875</f>
        <v>10272</v>
      </c>
      <c r="E873" s="211">
        <f t="shared" si="180"/>
        <v>10106</v>
      </c>
      <c r="F873" s="211">
        <f t="shared" si="180"/>
        <v>0</v>
      </c>
      <c r="G873" s="211">
        <f t="shared" si="180"/>
        <v>0</v>
      </c>
      <c r="H873" s="449">
        <f t="shared" si="180"/>
        <v>12000</v>
      </c>
      <c r="I873" s="449">
        <f t="shared" si="180"/>
        <v>42000</v>
      </c>
      <c r="J873" s="449">
        <f t="shared" si="180"/>
        <v>126000</v>
      </c>
      <c r="K873" s="449">
        <f t="shared" si="180"/>
        <v>220500</v>
      </c>
      <c r="L873" s="449">
        <f t="shared" si="180"/>
        <v>297675</v>
      </c>
    </row>
    <row r="874" spans="2:13">
      <c r="B874" s="190" t="s">
        <v>399</v>
      </c>
      <c r="C874" s="211">
        <f t="shared" ref="C874:L874" si="181">C645</f>
        <v>7456</v>
      </c>
      <c r="D874" s="211">
        <f t="shared" si="181"/>
        <v>10272</v>
      </c>
      <c r="E874" s="211">
        <f t="shared" si="181"/>
        <v>10106</v>
      </c>
      <c r="F874" s="211">
        <f t="shared" si="181"/>
        <v>0</v>
      </c>
      <c r="G874" s="211">
        <f t="shared" si="181"/>
        <v>0</v>
      </c>
      <c r="H874" s="211">
        <f t="shared" si="181"/>
        <v>0</v>
      </c>
      <c r="I874" s="211">
        <f t="shared" si="181"/>
        <v>0</v>
      </c>
      <c r="J874" s="211">
        <f t="shared" si="181"/>
        <v>0</v>
      </c>
      <c r="K874" s="211">
        <f t="shared" si="181"/>
        <v>0</v>
      </c>
      <c r="L874" s="211">
        <f t="shared" si="181"/>
        <v>0</v>
      </c>
    </row>
    <row r="875" spans="2:13">
      <c r="B875" s="190" t="s">
        <v>397</v>
      </c>
      <c r="H875" s="104">
        <v>12000</v>
      </c>
      <c r="I875" s="104">
        <v>42000</v>
      </c>
      <c r="J875" s="104">
        <v>126000</v>
      </c>
      <c r="K875" s="104">
        <v>220500</v>
      </c>
      <c r="L875" s="104">
        <v>297675</v>
      </c>
      <c r="M875" s="190" t="s">
        <v>398</v>
      </c>
    </row>
    <row r="878" spans="2:13">
      <c r="H878" s="568"/>
      <c r="I878" s="568"/>
      <c r="J878" s="568"/>
      <c r="K878" s="568"/>
      <c r="L878" s="568"/>
    </row>
    <row r="879" spans="2:13">
      <c r="H879" s="568"/>
      <c r="I879" s="568"/>
      <c r="J879" s="568"/>
      <c r="K879" s="568"/>
      <c r="L879" s="568"/>
    </row>
    <row r="880" spans="2:13">
      <c r="H880" s="568"/>
      <c r="I880" s="568"/>
      <c r="J880" s="568"/>
      <c r="K880" s="568"/>
      <c r="L880" s="568"/>
    </row>
  </sheetData>
  <conditionalFormatting sqref="S397 S650 S748">
    <cfRule type="expression" dxfId="27" priority="33">
      <formula>ROUND(S396-S397,-2)&lt;&gt;0</formula>
    </cfRule>
  </conditionalFormatting>
  <conditionalFormatting sqref="S359">
    <cfRule type="expression" dxfId="26" priority="29">
      <formula>ROUND(S358-S359,-2)&lt;&gt;0</formula>
    </cfRule>
  </conditionalFormatting>
  <conditionalFormatting sqref="S358">
    <cfRule type="expression" dxfId="25" priority="28">
      <formula>ROUND(S357-S358,-2)&lt;&gt;0</formula>
    </cfRule>
  </conditionalFormatting>
  <conditionalFormatting sqref="S484">
    <cfRule type="expression" dxfId="24" priority="27">
      <formula>ROUND(S483-S484,-2)&lt;&gt;0</formula>
    </cfRule>
  </conditionalFormatting>
  <conditionalFormatting sqref="S324">
    <cfRule type="expression" dxfId="23" priority="26">
      <formula>ROUND(S323-S324,-2)&lt;&gt;0</formula>
    </cfRule>
  </conditionalFormatting>
  <conditionalFormatting sqref="S279">
    <cfRule type="expression" dxfId="22" priority="25">
      <formula>ROUND(S278-S279,-2)&lt;&gt;0</formula>
    </cfRule>
  </conditionalFormatting>
  <conditionalFormatting sqref="S211">
    <cfRule type="expression" dxfId="21" priority="24">
      <formula>ROUND(S210-S211,-2)&lt;&gt;0</formula>
    </cfRule>
  </conditionalFormatting>
  <conditionalFormatting sqref="S140">
    <cfRule type="expression" dxfId="20" priority="23">
      <formula>ROUND(S139-S140,-2)&lt;&gt;0</formula>
    </cfRule>
  </conditionalFormatting>
  <conditionalFormatting sqref="S121">
    <cfRule type="expression" dxfId="19" priority="22">
      <formula>ROUND(S120-S121,-2)&lt;&gt;0</formula>
    </cfRule>
  </conditionalFormatting>
  <conditionalFormatting sqref="S402">
    <cfRule type="expression" dxfId="18" priority="21">
      <formula>ROUND(S401-S402,-2)&lt;&gt;0</formula>
    </cfRule>
  </conditionalFormatting>
  <conditionalFormatting sqref="S407">
    <cfRule type="expression" dxfId="17" priority="20">
      <formula>ROUND(S406-S407,-2)&lt;&gt;0</formula>
    </cfRule>
  </conditionalFormatting>
  <conditionalFormatting sqref="S518">
    <cfRule type="expression" dxfId="16" priority="19">
      <formula>ROUND(S517-S518,-2)&lt;&gt;0</formula>
    </cfRule>
  </conditionalFormatting>
  <conditionalFormatting sqref="S789">
    <cfRule type="expression" dxfId="15" priority="17">
      <formula>ROUND(S788-S789,-2)&lt;&gt;0</formula>
    </cfRule>
  </conditionalFormatting>
  <conditionalFormatting sqref="S453">
    <cfRule type="expression" dxfId="14" priority="13">
      <formula>ROUND(S452-S453,-2)&lt;&gt;0</formula>
    </cfRule>
  </conditionalFormatting>
  <conditionalFormatting sqref="S435">
    <cfRule type="expression" dxfId="13" priority="15">
      <formula>ROUND(S434-S435,-2)&lt;&gt;0</formula>
    </cfRule>
  </conditionalFormatting>
  <conditionalFormatting sqref="S444">
    <cfRule type="expression" dxfId="12" priority="14">
      <formula>ROUND(S443-S444,-2)&lt;&gt;0</formula>
    </cfRule>
  </conditionalFormatting>
  <conditionalFormatting sqref="S572">
    <cfRule type="expression" dxfId="11" priority="7">
      <formula>ROUND(S571-S572,-2)&lt;&gt;0</formula>
    </cfRule>
  </conditionalFormatting>
  <conditionalFormatting sqref="S556">
    <cfRule type="expression" dxfId="10" priority="9">
      <formula>ROUND(S555-S556,-2)&lt;&gt;0</formula>
    </cfRule>
  </conditionalFormatting>
  <conditionalFormatting sqref="S757">
    <cfRule type="expression" dxfId="9" priority="5">
      <formula>ROUND(S758-S757,-2)&lt;&gt;0</formula>
    </cfRule>
  </conditionalFormatting>
  <conditionalFormatting sqref="S809">
    <cfRule type="expression" dxfId="8" priority="3">
      <formula>ROUND(S808-S809,-2)&lt;&gt;0</formula>
    </cfRule>
  </conditionalFormatting>
  <conditionalFormatting sqref="S653">
    <cfRule type="expression" dxfId="7" priority="88">
      <formula>ROUND(#REF!-S653,-2)&lt;&gt;0</formula>
    </cfRule>
  </conditionalFormatting>
  <conditionalFormatting sqref="S665">
    <cfRule type="expression" dxfId="6" priority="89">
      <formula>ROUND(S664-S665,-2)&lt;&gt;0</formula>
    </cfRule>
  </conditionalFormatting>
  <conditionalFormatting sqref="S637">
    <cfRule type="expression" dxfId="5" priority="91">
      <formula>ROUND(S636-S637,-2)&lt;&gt;0</formula>
    </cfRule>
  </conditionalFormatting>
  <conditionalFormatting sqref="S841">
    <cfRule type="expression" dxfId="4" priority="2">
      <formula>ROUND(S840-S841,-2)&lt;&gt;0</formula>
    </cfRule>
  </conditionalFormatting>
  <conditionalFormatting sqref="S857">
    <cfRule type="expression" dxfId="3" priority="1">
      <formula>ROUND(S856-S857,-2)&lt;&gt;0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O33"/>
  <sheetViews>
    <sheetView showGridLines="0" zoomScale="70" zoomScaleNormal="70" zoomScalePageLayoutView="70" workbookViewId="0">
      <selection activeCell="E28" sqref="E28:H28"/>
    </sheetView>
  </sheetViews>
  <sheetFormatPr defaultColWidth="8.81640625" defaultRowHeight="13"/>
  <cols>
    <col min="1" max="1" width="4.453125" style="27" customWidth="1"/>
    <col min="2" max="2" width="16.1796875" style="27" customWidth="1"/>
    <col min="3" max="3" width="11.81640625" style="27" customWidth="1"/>
    <col min="4" max="4" width="11.453125" style="27" customWidth="1"/>
    <col min="5" max="5" width="14.36328125" style="27" customWidth="1"/>
    <col min="6" max="13" width="13.453125" style="27" customWidth="1"/>
    <col min="14" max="14" width="13.6328125" style="27" customWidth="1"/>
    <col min="15" max="16384" width="8.81640625" style="27"/>
  </cols>
  <sheetData>
    <row r="1" spans="2:4" ht="12.5" customHeight="1"/>
    <row r="2" spans="2:4" ht="20.5" customHeight="1">
      <c r="B2" s="6" t="str">
        <f>Introduction!$B$2</f>
        <v>LightCounting Ethernet Transceivers Forecast</v>
      </c>
      <c r="C2" s="337"/>
      <c r="D2" s="337"/>
    </row>
    <row r="3" spans="2:4" ht="15.5">
      <c r="B3" s="40" t="str">
        <f>Introduction!$B$3</f>
        <v>September 2020 - sample -- for illustrative purposes only</v>
      </c>
      <c r="C3" s="210"/>
      <c r="D3" s="210"/>
    </row>
    <row r="4" spans="2:4" ht="18.5">
      <c r="B4" s="6" t="s">
        <v>29</v>
      </c>
      <c r="C4" s="337"/>
      <c r="D4" s="337"/>
    </row>
    <row r="25" spans="3:15">
      <c r="E25" s="28"/>
    </row>
    <row r="26" spans="3:15" ht="15.75" customHeight="1">
      <c r="E26" s="146"/>
    </row>
    <row r="28" spans="3:15" ht="21.75" customHeight="1">
      <c r="E28" s="583" t="s">
        <v>197</v>
      </c>
      <c r="F28" s="584"/>
      <c r="G28" s="584"/>
      <c r="H28" s="585"/>
      <c r="I28" s="485" t="s">
        <v>368</v>
      </c>
    </row>
    <row r="30" spans="3:15" ht="18.5">
      <c r="C30" s="32"/>
      <c r="D30" s="30"/>
      <c r="E30" s="30">
        <v>2016</v>
      </c>
      <c r="F30" s="30">
        <v>2017</v>
      </c>
      <c r="G30" s="30">
        <v>2018</v>
      </c>
      <c r="H30" s="30">
        <v>2019</v>
      </c>
      <c r="I30" s="30">
        <v>2020</v>
      </c>
      <c r="J30" s="30">
        <v>2021</v>
      </c>
      <c r="K30" s="30">
        <v>2022</v>
      </c>
      <c r="L30" s="30">
        <v>2023</v>
      </c>
      <c r="M30" s="30">
        <v>2024</v>
      </c>
      <c r="N30" s="30">
        <v>2025</v>
      </c>
    </row>
    <row r="31" spans="3:15" ht="18.5">
      <c r="C31" s="29"/>
      <c r="D31" s="31" t="s">
        <v>18</v>
      </c>
      <c r="E31" s="57">
        <f ca="1">INDEX((INDIRECT($O31)),MATCH($E$28,'Products x speed'!$O$9:$O$88,0),MATCH(E$30,$E$30:$N$30,0)+3)</f>
        <v>0</v>
      </c>
      <c r="F31" s="57">
        <f ca="1">INDEX((INDIRECT($O31)),MATCH($E$28,'Products x speed'!$O$9:$O$88,0),MATCH(F$30,$E$30:$N$30,0)+3)</f>
        <v>89</v>
      </c>
      <c r="G31" s="57">
        <f ca="1">INDEX((INDIRECT($O31)),MATCH($E$28,'Products x speed'!$O$9:$O$88,0),MATCH(G$30,$E$30:$N$30,0)+3)</f>
        <v>39000</v>
      </c>
      <c r="H31" s="57">
        <f ca="1">INDEX((INDIRECT($O31)),MATCH($E$28,'Products x speed'!$O$9:$O$88,0),MATCH(H$30,$E$30:$N$30,0)+3)</f>
        <v>0</v>
      </c>
      <c r="I31" s="57">
        <f ca="1">INDEX((INDIRECT($O31)),MATCH($E$28,'Products x speed'!$O$9:$O$88,0),MATCH(I$30,$E$30:$N$30,0)+3)</f>
        <v>0</v>
      </c>
      <c r="J31" s="57">
        <f ca="1">INDEX((INDIRECT($O31)),MATCH($E$28,'Products x speed'!$O$9:$O$88,0),MATCH(J$30,$E$30:$N$30,0)+3)</f>
        <v>0</v>
      </c>
      <c r="K31" s="57">
        <f ca="1">INDEX((INDIRECT($O31)),MATCH($E$28,'Products x speed'!$O$9:$O$88,0),MATCH(K$30,$E$30:$N$30,0)+3)</f>
        <v>0</v>
      </c>
      <c r="L31" s="57">
        <f ca="1">INDEX((INDIRECT($O31)),MATCH($E$28,'Products x speed'!$O$9:$O$88,0),MATCH(L$30,$E$30:$N$30,0)+3)</f>
        <v>0</v>
      </c>
      <c r="M31" s="57">
        <f ca="1">INDEX((INDIRECT($O31)),MATCH($E$28,'Products x speed'!$O$9:$O$88,0),MATCH(M$30,$E$30:$N$30,0)+3)</f>
        <v>0</v>
      </c>
      <c r="N31" s="57">
        <f ca="1">INDEX((INDIRECT($O31)),MATCH($E$28,'Products x speed'!$O$9:$O$88,0),MATCH(N$30,$E$30:$N$30,0)+3)</f>
        <v>0</v>
      </c>
      <c r="O31" s="27" t="s">
        <v>445</v>
      </c>
    </row>
    <row r="32" spans="3:15" ht="18.5">
      <c r="C32" s="29"/>
      <c r="D32" s="31" t="s">
        <v>31</v>
      </c>
      <c r="E32" s="63" t="str">
        <f t="shared" ref="E32:M32" ca="1" si="0">IF(E31=0,"",E33*10^6/E31)</f>
        <v/>
      </c>
      <c r="F32" s="63">
        <f t="shared" ca="1" si="0"/>
        <v>15149.438202247189</v>
      </c>
      <c r="G32" s="63">
        <f t="shared" ca="1" si="0"/>
        <v>1261.8461538461536</v>
      </c>
      <c r="H32" s="63" t="str">
        <f t="shared" ca="1" si="0"/>
        <v/>
      </c>
      <c r="I32" s="63" t="str">
        <f t="shared" ca="1" si="0"/>
        <v/>
      </c>
      <c r="J32" s="63" t="str">
        <f t="shared" ca="1" si="0"/>
        <v/>
      </c>
      <c r="K32" s="63" t="str">
        <f t="shared" ca="1" si="0"/>
        <v/>
      </c>
      <c r="L32" s="63" t="str">
        <f t="shared" ca="1" si="0"/>
        <v/>
      </c>
      <c r="M32" s="63" t="str">
        <f t="shared" ca="1" si="0"/>
        <v/>
      </c>
      <c r="N32" s="63" t="str">
        <f ca="1">IF(N31=0,"",N33*10^6/N31)</f>
        <v/>
      </c>
    </row>
    <row r="33" spans="3:15" ht="18.5">
      <c r="C33" s="29"/>
      <c r="D33" s="31" t="s">
        <v>30</v>
      </c>
      <c r="E33" s="63" t="str">
        <f ca="1">IF(E31=0,"",INDEX((INDIRECT($O33)),MATCH($E$28,'Products x speed'!$O$9:$O$88,0),MATCH(E$30,$E$30:$N$30,0)+3))</f>
        <v/>
      </c>
      <c r="F33" s="63">
        <f ca="1">IF(F31=0,"",INDEX((INDIRECT($O33)),MATCH($E$28,'Products x speed'!$O$9:$O$88,0),MATCH(F$30,$E$30:$N$30,0)+3))</f>
        <v>1.3482999999999998</v>
      </c>
      <c r="G33" s="63">
        <f ca="1">IF(G31=0,"",INDEX((INDIRECT($O33)),MATCH($E$28,'Products x speed'!$O$9:$O$88,0),MATCH(G$30,$E$30:$N$30,0)+3))</f>
        <v>49.211999999999996</v>
      </c>
      <c r="H33" s="63" t="str">
        <f ca="1">IF(H31=0,"",INDEX((INDIRECT($O33)),MATCH($E$28,'Products x speed'!$O$9:$O$88,0),MATCH(H$30,$E$30:$N$30,0)+3))</f>
        <v/>
      </c>
      <c r="I33" s="63" t="str">
        <f ca="1">IF(I31=0,"",INDEX((INDIRECT($O33)),MATCH($E$28,'Products x speed'!$O$9:$O$88,0),MATCH(I$30,$E$30:$N$30,0)+3))</f>
        <v/>
      </c>
      <c r="J33" s="63" t="str">
        <f ca="1">IF(J31=0,"",INDEX((INDIRECT($O33)),MATCH($E$28,'Products x speed'!$O$9:$O$88,0),MATCH(J$30,$E$30:$N$30,0)+3))</f>
        <v/>
      </c>
      <c r="K33" s="63" t="str">
        <f ca="1">IF(K31=0,"",INDEX((INDIRECT($O33)),MATCH($E$28,'Products x speed'!$O$9:$O$88,0),MATCH(K$30,$E$30:$N$30,0)+3))</f>
        <v/>
      </c>
      <c r="L33" s="63" t="str">
        <f ca="1">IF(L31=0,"",INDEX((INDIRECT($O33)),MATCH($E$28,'Products x speed'!$O$9:$O$88,0),MATCH(L$30,$E$30:$N$30,0)+3))</f>
        <v/>
      </c>
      <c r="M33" s="63" t="str">
        <f ca="1">IF(M31=0,"",INDEX((INDIRECT($O33)),MATCH($E$28,'Products x speed'!$O$9:$O$88,0),MATCH(M$30,$E$30:$N$30,0)+3))</f>
        <v/>
      </c>
      <c r="N33" s="63" t="str">
        <f ca="1">IF(N31=0,"",INDEX((INDIRECT($O33)),MATCH($E$28,'Products x speed'!$O$9:$O$88,0),MATCH(N$30,$E$30:$N$30,0)+3))</f>
        <v/>
      </c>
      <c r="O33" s="27" t="s">
        <v>446</v>
      </c>
    </row>
  </sheetData>
  <mergeCells count="1">
    <mergeCell ref="E28:H28"/>
  </mergeCell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'Products x speed'!$O$9:$O$78</xm:f>
          </x14:formula1>
          <xm:sqref>E28:H28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1:P232"/>
  <sheetViews>
    <sheetView showGridLines="0" zoomScale="70" zoomScaleNormal="70" zoomScalePageLayoutView="70" workbookViewId="0">
      <pane xSplit="4" ySplit="6" topLeftCell="E7" activePane="bottomRight" state="frozen"/>
      <selection activeCell="I2" sqref="I2"/>
      <selection pane="topRight" activeCell="I2" sqref="I2"/>
      <selection pane="bottomLeft" activeCell="I2" sqref="I2"/>
      <selection pane="bottomRight" activeCell="P192" sqref="P192"/>
    </sheetView>
  </sheetViews>
  <sheetFormatPr defaultColWidth="8.81640625" defaultRowHeight="13"/>
  <cols>
    <col min="1" max="1" width="4.453125" style="69" customWidth="1"/>
    <col min="2" max="2" width="17.81640625" style="69" customWidth="1"/>
    <col min="3" max="3" width="12.453125" style="69" customWidth="1"/>
    <col min="4" max="4" width="17.1796875" style="69" customWidth="1"/>
    <col min="5" max="6" width="13.453125" style="69" customWidth="1"/>
    <col min="7" max="7" width="13.6328125" style="69" customWidth="1"/>
    <col min="8" max="8" width="12.81640625" style="69" customWidth="1"/>
    <col min="9" max="9" width="14.1796875" style="69" customWidth="1"/>
    <col min="10" max="11" width="12" style="69" customWidth="1"/>
    <col min="12" max="14" width="12" style="209" customWidth="1"/>
    <col min="15" max="15" width="15.1796875" style="69" customWidth="1"/>
    <col min="16" max="18" width="8.81640625" style="69"/>
    <col min="19" max="26" width="10.453125" style="69" customWidth="1"/>
    <col min="27" max="16384" width="8.81640625" style="69"/>
  </cols>
  <sheetData>
    <row r="1" spans="2:16" ht="12.5" customHeight="1">
      <c r="D1" s="190"/>
      <c r="K1" s="171"/>
      <c r="L1" s="363"/>
      <c r="M1" s="363"/>
      <c r="N1" s="363"/>
    </row>
    <row r="2" spans="2:16" ht="20.5" customHeight="1">
      <c r="B2" s="6" t="str">
        <f>Introduction!$B$2</f>
        <v>LightCounting Ethernet Transceivers Forecast</v>
      </c>
      <c r="C2" s="337"/>
      <c r="D2" s="337"/>
      <c r="H2" s="443"/>
      <c r="I2" s="171"/>
      <c r="J2" s="171"/>
      <c r="K2" s="171"/>
      <c r="O2" s="69" t="s">
        <v>14</v>
      </c>
      <c r="P2" s="10"/>
    </row>
    <row r="3" spans="2:16" ht="15.5">
      <c r="B3" s="40" t="str">
        <f>Introduction!B3</f>
        <v>September 2020 - sample -- for illustrative purposes only</v>
      </c>
      <c r="C3" s="210"/>
      <c r="D3" s="210"/>
      <c r="F3"/>
      <c r="G3"/>
      <c r="H3"/>
      <c r="I3" s="171"/>
      <c r="J3" s="171"/>
      <c r="K3" s="171"/>
    </row>
    <row r="4" spans="2:16" ht="18.5">
      <c r="B4" s="6" t="s">
        <v>93</v>
      </c>
      <c r="C4" s="337"/>
      <c r="D4" s="337"/>
      <c r="E4" s="276"/>
      <c r="F4"/>
      <c r="G4"/>
      <c r="H4"/>
      <c r="I4" s="171"/>
      <c r="J4" s="171"/>
      <c r="K4" s="171"/>
      <c r="O4" s="60"/>
    </row>
    <row r="5" spans="2:16" ht="14.5">
      <c r="B5" s="70"/>
      <c r="D5" s="190"/>
      <c r="E5" s="170"/>
      <c r="F5" s="170"/>
      <c r="G5" s="170"/>
      <c r="H5" s="170"/>
      <c r="I5" s="170"/>
      <c r="J5" s="170"/>
      <c r="K5" s="170"/>
      <c r="L5" s="170"/>
      <c r="M5" s="170"/>
      <c r="N5" s="170"/>
      <c r="O5" s="104"/>
    </row>
    <row r="6" spans="2:16">
      <c r="B6" s="179" t="s">
        <v>34</v>
      </c>
      <c r="C6" s="180" t="s">
        <v>33</v>
      </c>
      <c r="D6" s="181" t="s">
        <v>35</v>
      </c>
      <c r="E6" s="128">
        <v>2016</v>
      </c>
      <c r="F6" s="128">
        <v>2017</v>
      </c>
      <c r="G6" s="128">
        <v>2018</v>
      </c>
      <c r="H6" s="128">
        <v>2019</v>
      </c>
      <c r="I6" s="128">
        <v>2020</v>
      </c>
      <c r="J6" s="128">
        <v>2021</v>
      </c>
      <c r="K6" s="128">
        <v>2022</v>
      </c>
      <c r="L6" s="364">
        <v>2023</v>
      </c>
      <c r="M6" s="364">
        <v>2024</v>
      </c>
      <c r="N6" s="364">
        <v>2025</v>
      </c>
    </row>
    <row r="7" spans="2:16" ht="21">
      <c r="B7" s="12"/>
      <c r="F7" s="11" t="s">
        <v>17</v>
      </c>
      <c r="H7" s="171">
        <f t="shared" ref="H7:N7" si="0">SUM(H36:H40)</f>
        <v>0</v>
      </c>
      <c r="I7" s="171">
        <f t="shared" si="0"/>
        <v>0</v>
      </c>
      <c r="J7" s="171">
        <f t="shared" si="0"/>
        <v>0</v>
      </c>
      <c r="K7" s="171">
        <f t="shared" si="0"/>
        <v>0</v>
      </c>
      <c r="L7" s="171">
        <f t="shared" si="0"/>
        <v>0</v>
      </c>
      <c r="M7" s="171">
        <f t="shared" si="0"/>
        <v>0</v>
      </c>
      <c r="N7" s="171">
        <f t="shared" si="0"/>
        <v>0</v>
      </c>
    </row>
    <row r="8" spans="2:16">
      <c r="B8" s="71" t="s">
        <v>34</v>
      </c>
      <c r="C8" s="71" t="s">
        <v>33</v>
      </c>
      <c r="D8" s="71" t="s">
        <v>35</v>
      </c>
      <c r="E8" s="72">
        <v>2016</v>
      </c>
      <c r="F8" s="72">
        <v>2017</v>
      </c>
      <c r="G8" s="72">
        <v>2018</v>
      </c>
      <c r="H8" s="72">
        <v>2019</v>
      </c>
      <c r="I8" s="72">
        <v>2020</v>
      </c>
      <c r="J8" s="72">
        <v>2021</v>
      </c>
      <c r="K8" s="72">
        <v>2022</v>
      </c>
      <c r="L8" s="72">
        <v>2023</v>
      </c>
      <c r="M8" s="72">
        <v>2024</v>
      </c>
      <c r="N8" s="72">
        <v>2025</v>
      </c>
      <c r="O8" s="91" t="s">
        <v>66</v>
      </c>
    </row>
    <row r="9" spans="2:16">
      <c r="B9" s="73" t="str">
        <f>Products!B36</f>
        <v>1G</v>
      </c>
      <c r="C9" s="74" t="str">
        <f>Products!C36</f>
        <v>500 m</v>
      </c>
      <c r="D9" s="75" t="str">
        <f>Products!D36</f>
        <v>SFP</v>
      </c>
      <c r="E9" s="84">
        <v>4496175.0999999996</v>
      </c>
      <c r="F9" s="84">
        <v>4278484</v>
      </c>
      <c r="G9" s="84">
        <v>4962296</v>
      </c>
      <c r="H9" s="84"/>
      <c r="I9" s="84"/>
      <c r="J9" s="84"/>
      <c r="K9" s="84"/>
      <c r="L9" s="153"/>
      <c r="M9" s="153"/>
      <c r="N9" s="153"/>
      <c r="O9" s="493" t="str">
        <f t="shared" ref="O9:O40" si="1">B9&amp;"_"&amp;C9&amp;"_"&amp;D9</f>
        <v>1G_500 m_SFP</v>
      </c>
    </row>
    <row r="10" spans="2:16">
      <c r="B10" s="81" t="str">
        <f>Products!B37</f>
        <v>1G</v>
      </c>
      <c r="C10" s="82" t="str">
        <f>Products!C37</f>
        <v>10 km</v>
      </c>
      <c r="D10" s="83" t="str">
        <f>Products!D37</f>
        <v>SFP</v>
      </c>
      <c r="E10" s="84">
        <v>8393495.8800000008</v>
      </c>
      <c r="F10" s="84">
        <v>6412151</v>
      </c>
      <c r="G10" s="84">
        <v>7845061</v>
      </c>
      <c r="H10" s="84"/>
      <c r="I10" s="84"/>
      <c r="J10" s="84"/>
      <c r="K10" s="84"/>
      <c r="L10" s="153"/>
      <c r="M10" s="153"/>
      <c r="N10" s="153"/>
      <c r="O10" s="164" t="str">
        <f t="shared" si="1"/>
        <v>1G_10 km_SFP</v>
      </c>
    </row>
    <row r="11" spans="2:16">
      <c r="B11" s="81" t="str">
        <f>Products!B38</f>
        <v>1G</v>
      </c>
      <c r="C11" s="82" t="str">
        <f>Products!C38</f>
        <v>40 km</v>
      </c>
      <c r="D11" s="83" t="str">
        <f>Products!D38</f>
        <v>SFP</v>
      </c>
      <c r="E11" s="84">
        <v>562563.625</v>
      </c>
      <c r="F11" s="84">
        <v>477500.4</v>
      </c>
      <c r="G11" s="84">
        <v>1016133</v>
      </c>
      <c r="H11" s="84"/>
      <c r="I11" s="84"/>
      <c r="J11" s="84"/>
      <c r="K11" s="84"/>
      <c r="L11" s="153"/>
      <c r="M11" s="153"/>
      <c r="N11" s="153"/>
      <c r="O11" s="164" t="str">
        <f t="shared" si="1"/>
        <v>1G_40 km_SFP</v>
      </c>
    </row>
    <row r="12" spans="2:16">
      <c r="B12" s="81" t="str">
        <f>Products!B39</f>
        <v>1G</v>
      </c>
      <c r="C12" s="82" t="str">
        <f>Products!C39</f>
        <v>80 km</v>
      </c>
      <c r="D12" s="83" t="str">
        <f>Products!D39</f>
        <v>SFP</v>
      </c>
      <c r="E12" s="84">
        <v>115175.5</v>
      </c>
      <c r="F12" s="84">
        <v>105559.64999999997</v>
      </c>
      <c r="G12" s="84">
        <v>515486</v>
      </c>
      <c r="H12" s="84"/>
      <c r="I12" s="84"/>
      <c r="J12" s="84"/>
      <c r="K12" s="84"/>
      <c r="L12" s="153"/>
      <c r="M12" s="153"/>
      <c r="N12" s="153"/>
      <c r="O12" s="164" t="str">
        <f t="shared" si="1"/>
        <v>1G_80 km_SFP</v>
      </c>
    </row>
    <row r="13" spans="2:16">
      <c r="B13" s="247" t="s">
        <v>265</v>
      </c>
      <c r="C13" s="245" t="s">
        <v>154</v>
      </c>
      <c r="D13" s="248" t="s">
        <v>155</v>
      </c>
      <c r="E13" s="80">
        <v>200000</v>
      </c>
      <c r="F13" s="80"/>
      <c r="G13" s="80"/>
      <c r="H13" s="80"/>
      <c r="I13" s="80"/>
      <c r="J13" s="80"/>
      <c r="K13" s="80"/>
      <c r="L13" s="207"/>
      <c r="M13" s="207"/>
      <c r="N13" s="207"/>
      <c r="O13" s="166" t="str">
        <f t="shared" si="1"/>
        <v>G &amp; Fast Ethernet_Various_Legacy/discontinued</v>
      </c>
    </row>
    <row r="14" spans="2:16">
      <c r="B14" s="81" t="str">
        <f>Products!B41</f>
        <v>10G</v>
      </c>
      <c r="C14" s="82" t="str">
        <f>Products!C41</f>
        <v>300 m</v>
      </c>
      <c r="D14" s="83" t="str">
        <f>Products!D41</f>
        <v>XFP</v>
      </c>
      <c r="E14" s="84">
        <v>117811</v>
      </c>
      <c r="F14" s="84">
        <v>83582</v>
      </c>
      <c r="G14" s="84">
        <v>55887</v>
      </c>
      <c r="H14" s="84"/>
      <c r="I14" s="84"/>
      <c r="J14" s="84"/>
      <c r="K14" s="84"/>
      <c r="L14" s="153"/>
      <c r="M14" s="153"/>
      <c r="N14" s="153"/>
      <c r="O14" s="164" t="str">
        <f t="shared" si="1"/>
        <v>10G_300 m_XFP</v>
      </c>
    </row>
    <row r="15" spans="2:16">
      <c r="B15" s="81" t="str">
        <f>Products!B42</f>
        <v>10G</v>
      </c>
      <c r="C15" s="82" t="str">
        <f>Products!C42</f>
        <v>300 m</v>
      </c>
      <c r="D15" s="83" t="str">
        <f>Products!D42</f>
        <v>SFP+</v>
      </c>
      <c r="E15" s="84">
        <v>11231936.93</v>
      </c>
      <c r="F15" s="84">
        <v>12500000</v>
      </c>
      <c r="G15" s="84">
        <v>13931207</v>
      </c>
      <c r="H15" s="84"/>
      <c r="I15" s="84"/>
      <c r="J15" s="84"/>
      <c r="K15" s="84"/>
      <c r="L15" s="153"/>
      <c r="M15" s="153"/>
      <c r="N15" s="153"/>
      <c r="O15" s="164" t="str">
        <f t="shared" si="1"/>
        <v>10G_300 m_SFP+</v>
      </c>
    </row>
    <row r="16" spans="2:16">
      <c r="B16" s="81" t="str">
        <f>Products!B43</f>
        <v>10G LRM</v>
      </c>
      <c r="C16" s="82" t="str">
        <f>Products!C43</f>
        <v>220 m</v>
      </c>
      <c r="D16" s="83" t="str">
        <f>Products!D43</f>
        <v>SFP+</v>
      </c>
      <c r="E16" s="84">
        <v>121638</v>
      </c>
      <c r="F16" s="84">
        <v>108162</v>
      </c>
      <c r="G16" s="84">
        <v>97170</v>
      </c>
      <c r="H16" s="84"/>
      <c r="I16" s="84"/>
      <c r="J16" s="84"/>
      <c r="K16" s="84"/>
      <c r="L16" s="153"/>
      <c r="M16" s="153"/>
      <c r="N16" s="153"/>
      <c r="O16" s="164" t="str">
        <f t="shared" si="1"/>
        <v>10G LRM_220 m_SFP+</v>
      </c>
    </row>
    <row r="17" spans="2:15">
      <c r="B17" s="81" t="str">
        <f>Products!B44</f>
        <v>10G</v>
      </c>
      <c r="C17" s="82" t="str">
        <f>Products!C44</f>
        <v>10 km</v>
      </c>
      <c r="D17" s="83" t="str">
        <f>Products!D44</f>
        <v>XFP</v>
      </c>
      <c r="E17" s="84">
        <v>122271</v>
      </c>
      <c r="F17" s="84">
        <v>65238</v>
      </c>
      <c r="G17" s="84">
        <v>198404</v>
      </c>
      <c r="H17" s="84"/>
      <c r="I17" s="84"/>
      <c r="J17" s="84"/>
      <c r="K17" s="84"/>
      <c r="L17" s="153"/>
      <c r="M17" s="153"/>
      <c r="N17" s="153"/>
      <c r="O17" s="164" t="str">
        <f t="shared" si="1"/>
        <v>10G_10 km_XFP</v>
      </c>
    </row>
    <row r="18" spans="2:15">
      <c r="B18" s="81" t="str">
        <f>Products!B45</f>
        <v>10G</v>
      </c>
      <c r="C18" s="82" t="str">
        <f>Products!C45</f>
        <v>10 km</v>
      </c>
      <c r="D18" s="83" t="str">
        <f>Products!D45</f>
        <v>SFP+</v>
      </c>
      <c r="E18" s="84">
        <v>6400000</v>
      </c>
      <c r="F18" s="84">
        <v>6750000</v>
      </c>
      <c r="G18" s="84">
        <v>6888855</v>
      </c>
      <c r="H18" s="84"/>
      <c r="I18" s="84"/>
      <c r="J18" s="84"/>
      <c r="K18" s="84"/>
      <c r="L18" s="153"/>
      <c r="M18" s="153"/>
      <c r="N18" s="153"/>
      <c r="O18" s="164" t="str">
        <f t="shared" si="1"/>
        <v>10G_10 km_SFP+</v>
      </c>
    </row>
    <row r="19" spans="2:15">
      <c r="B19" s="81" t="str">
        <f>Products!B46</f>
        <v>10G</v>
      </c>
      <c r="C19" s="82" t="str">
        <f>Products!C46</f>
        <v>40 km</v>
      </c>
      <c r="D19" s="83" t="str">
        <f>Products!D46</f>
        <v>XFP</v>
      </c>
      <c r="E19" s="84">
        <v>152629</v>
      </c>
      <c r="F19" s="84">
        <v>107234</v>
      </c>
      <c r="G19" s="84">
        <v>156269</v>
      </c>
      <c r="H19" s="84"/>
      <c r="I19" s="84"/>
      <c r="J19" s="84"/>
      <c r="K19" s="84"/>
      <c r="L19" s="153"/>
      <c r="M19" s="153"/>
      <c r="N19" s="153"/>
      <c r="O19" s="164" t="str">
        <f t="shared" si="1"/>
        <v>10G_40 km_XFP</v>
      </c>
    </row>
    <row r="20" spans="2:15">
      <c r="B20" s="81" t="str">
        <f>Products!B47</f>
        <v>10G</v>
      </c>
      <c r="C20" s="82" t="str">
        <f>Products!C47</f>
        <v>40 km</v>
      </c>
      <c r="D20" s="83" t="str">
        <f>Products!D47</f>
        <v>SFP+</v>
      </c>
      <c r="E20" s="84">
        <v>257909.25</v>
      </c>
      <c r="F20" s="84">
        <v>258318.59999999998</v>
      </c>
      <c r="G20" s="84">
        <v>541851.6</v>
      </c>
      <c r="H20" s="84"/>
      <c r="I20" s="84"/>
      <c r="J20" s="84"/>
      <c r="K20" s="84"/>
      <c r="L20" s="153"/>
      <c r="M20" s="153"/>
      <c r="N20" s="153"/>
      <c r="O20" s="164" t="str">
        <f t="shared" si="1"/>
        <v>10G_40 km_SFP+</v>
      </c>
    </row>
    <row r="21" spans="2:15">
      <c r="B21" s="81" t="str">
        <f>Products!B48</f>
        <v>10G</v>
      </c>
      <c r="C21" s="82" t="str">
        <f>Products!C48</f>
        <v>80 km</v>
      </c>
      <c r="D21" s="83" t="str">
        <f>Products!D48</f>
        <v>XFP</v>
      </c>
      <c r="E21" s="84">
        <v>68753</v>
      </c>
      <c r="F21" s="84">
        <v>9455</v>
      </c>
      <c r="G21" s="84">
        <v>9982</v>
      </c>
      <c r="H21" s="84"/>
      <c r="I21" s="84"/>
      <c r="J21" s="84"/>
      <c r="K21" s="84"/>
      <c r="L21" s="153"/>
      <c r="M21" s="153"/>
      <c r="N21" s="153"/>
      <c r="O21" s="164" t="str">
        <f t="shared" si="1"/>
        <v>10G_80 km_XFP</v>
      </c>
    </row>
    <row r="22" spans="2:15">
      <c r="B22" s="81" t="str">
        <f>Products!B49</f>
        <v>10G</v>
      </c>
      <c r="C22" s="82" t="str">
        <f>Products!C49</f>
        <v>80 km</v>
      </c>
      <c r="D22" s="83" t="str">
        <f>Products!D49</f>
        <v>SFP+</v>
      </c>
      <c r="E22" s="84">
        <v>43870.75</v>
      </c>
      <c r="F22" s="84">
        <v>63032.5</v>
      </c>
      <c r="G22" s="84">
        <v>137379.5</v>
      </c>
      <c r="H22" s="84"/>
      <c r="I22" s="84"/>
      <c r="J22" s="84"/>
      <c r="K22" s="84"/>
      <c r="L22" s="153"/>
      <c r="M22" s="153"/>
      <c r="N22" s="153"/>
      <c r="O22" s="164" t="str">
        <f t="shared" si="1"/>
        <v>10G_80 km_SFP+</v>
      </c>
    </row>
    <row r="23" spans="2:15">
      <c r="B23" s="249" t="s">
        <v>62</v>
      </c>
      <c r="C23" s="250" t="s">
        <v>154</v>
      </c>
      <c r="D23" s="248" t="s">
        <v>155</v>
      </c>
      <c r="E23" s="80">
        <v>65053</v>
      </c>
      <c r="F23" s="80">
        <v>24329</v>
      </c>
      <c r="G23" s="84">
        <v>3500</v>
      </c>
      <c r="H23" s="84"/>
      <c r="I23" s="84"/>
      <c r="J23" s="80"/>
      <c r="K23" s="80"/>
      <c r="L23" s="207"/>
      <c r="M23" s="207"/>
      <c r="N23" s="207"/>
      <c r="O23" s="166" t="str">
        <f t="shared" si="1"/>
        <v>10G_Various_Legacy/discontinued</v>
      </c>
    </row>
    <row r="24" spans="2:15">
      <c r="B24" s="73" t="str">
        <f>Products!B51</f>
        <v>25G SR, eSR</v>
      </c>
      <c r="C24" s="74" t="str">
        <f>Products!C51</f>
        <v>100 - 300 m</v>
      </c>
      <c r="D24" s="75" t="str">
        <f>Products!D51</f>
        <v>SFP28</v>
      </c>
      <c r="E24" s="76">
        <v>7146</v>
      </c>
      <c r="F24" s="76">
        <v>95865</v>
      </c>
      <c r="G24" s="76">
        <v>318978</v>
      </c>
      <c r="H24" s="76"/>
      <c r="I24" s="76"/>
      <c r="J24" s="76"/>
      <c r="K24" s="76"/>
      <c r="L24" s="208"/>
      <c r="M24" s="208"/>
      <c r="N24" s="208"/>
      <c r="O24" s="165" t="str">
        <f t="shared" si="1"/>
        <v>25G SR, eSR_100 - 300 m_SFP28</v>
      </c>
    </row>
    <row r="25" spans="2:15">
      <c r="B25" s="81" t="str">
        <f>Products!B52</f>
        <v>25G LR</v>
      </c>
      <c r="C25" s="82" t="str">
        <f>Products!C52</f>
        <v>10 km</v>
      </c>
      <c r="D25" s="83" t="str">
        <f>Products!D52</f>
        <v>SFP28</v>
      </c>
      <c r="E25" s="84">
        <v>4548</v>
      </c>
      <c r="F25" s="84">
        <v>17462</v>
      </c>
      <c r="G25" s="84">
        <v>56709</v>
      </c>
      <c r="H25" s="84"/>
      <c r="I25" s="84"/>
      <c r="J25" s="84"/>
      <c r="K25" s="84"/>
      <c r="L25" s="153"/>
      <c r="M25" s="153"/>
      <c r="N25" s="153"/>
      <c r="O25" s="164" t="str">
        <f t="shared" si="1"/>
        <v>25G LR_10 km_SFP28</v>
      </c>
    </row>
    <row r="26" spans="2:15">
      <c r="B26" s="77" t="str">
        <f>Products!B53</f>
        <v>25G ER</v>
      </c>
      <c r="C26" s="78" t="str">
        <f>Products!C53</f>
        <v>40 km</v>
      </c>
      <c r="D26" s="79" t="str">
        <f>Products!D53</f>
        <v>SFP28</v>
      </c>
      <c r="E26" s="84">
        <v>0</v>
      </c>
      <c r="F26" s="84">
        <v>0</v>
      </c>
      <c r="G26" s="84">
        <v>0</v>
      </c>
      <c r="H26" s="84"/>
      <c r="I26" s="84"/>
      <c r="J26" s="84"/>
      <c r="K26" s="84"/>
      <c r="L26" s="153"/>
      <c r="M26" s="153"/>
      <c r="N26" s="153"/>
      <c r="O26" s="164" t="str">
        <f t="shared" si="1"/>
        <v>25G ER_40 km_SFP28</v>
      </c>
    </row>
    <row r="27" spans="2:15">
      <c r="B27" s="81" t="str">
        <f>Products!B54</f>
        <v>40G SR4</v>
      </c>
      <c r="C27" s="82" t="str">
        <f>Products!C54</f>
        <v>100 m</v>
      </c>
      <c r="D27" s="83" t="str">
        <f>Products!D54</f>
        <v>QSFP+</v>
      </c>
      <c r="E27" s="76">
        <v>639935</v>
      </c>
      <c r="F27" s="76">
        <v>793812</v>
      </c>
      <c r="G27" s="76">
        <v>960639.5</v>
      </c>
      <c r="H27" s="76"/>
      <c r="I27" s="76"/>
      <c r="J27" s="76"/>
      <c r="K27" s="76"/>
      <c r="L27" s="208"/>
      <c r="M27" s="208"/>
      <c r="N27" s="208"/>
      <c r="O27" s="165" t="str">
        <f t="shared" si="1"/>
        <v>40G SR4_100 m_QSFP+</v>
      </c>
    </row>
    <row r="28" spans="2:15">
      <c r="B28" s="81" t="str">
        <f>Products!B55</f>
        <v>40G MM duplex</v>
      </c>
      <c r="C28" s="82" t="str">
        <f>Products!C55</f>
        <v>100 m</v>
      </c>
      <c r="D28" s="83" t="str">
        <f>Products!D55</f>
        <v>QSFP+</v>
      </c>
      <c r="E28" s="84">
        <v>614294</v>
      </c>
      <c r="F28" s="84">
        <v>750519</v>
      </c>
      <c r="G28" s="84">
        <v>594327</v>
      </c>
      <c r="H28" s="84"/>
      <c r="I28" s="84"/>
      <c r="J28" s="84"/>
      <c r="K28" s="84"/>
      <c r="L28" s="153"/>
      <c r="M28" s="153"/>
      <c r="N28" s="153"/>
      <c r="O28" s="164" t="str">
        <f t="shared" si="1"/>
        <v>40G MM duplex_100 m_QSFP+</v>
      </c>
    </row>
    <row r="29" spans="2:15">
      <c r="B29" s="81" t="str">
        <f>Products!B56</f>
        <v>40G eSR4</v>
      </c>
      <c r="C29" s="82" t="str">
        <f>Products!C56</f>
        <v>300 m</v>
      </c>
      <c r="D29" s="83" t="str">
        <f>Products!D56</f>
        <v>QSFP+</v>
      </c>
      <c r="E29" s="153">
        <v>275269</v>
      </c>
      <c r="F29" s="153">
        <v>466535</v>
      </c>
      <c r="G29" s="153">
        <v>491067</v>
      </c>
      <c r="H29" s="153"/>
      <c r="I29" s="153"/>
      <c r="J29" s="153"/>
      <c r="K29" s="153"/>
      <c r="L29" s="153"/>
      <c r="M29" s="153"/>
      <c r="N29" s="153"/>
      <c r="O29" s="164" t="str">
        <f t="shared" si="1"/>
        <v>40G eSR4_300 m_QSFP+</v>
      </c>
    </row>
    <row r="30" spans="2:15">
      <c r="B30" s="81" t="str">
        <f>Products!B57</f>
        <v xml:space="preserve">40G PSM4 </v>
      </c>
      <c r="C30" s="82" t="s">
        <v>46</v>
      </c>
      <c r="D30" s="83" t="s">
        <v>95</v>
      </c>
      <c r="E30" s="153">
        <v>813790</v>
      </c>
      <c r="F30" s="153">
        <v>613640</v>
      </c>
      <c r="G30" s="153">
        <v>502708</v>
      </c>
      <c r="H30" s="153"/>
      <c r="I30" s="153"/>
      <c r="J30" s="153"/>
      <c r="K30" s="153"/>
      <c r="L30" s="153"/>
      <c r="M30" s="153"/>
      <c r="N30" s="153"/>
      <c r="O30" s="164" t="str">
        <f t="shared" si="1"/>
        <v>40G PSM4 _500 m_QSFP+</v>
      </c>
    </row>
    <row r="31" spans="2:15">
      <c r="B31" s="81" t="str">
        <f>Products!B58</f>
        <v>40G (FR)</v>
      </c>
      <c r="C31" s="82" t="str">
        <f>Products!C58</f>
        <v>2 km</v>
      </c>
      <c r="D31" s="83" t="str">
        <f>Products!D58</f>
        <v>CFP</v>
      </c>
      <c r="E31" s="153">
        <v>791</v>
      </c>
      <c r="F31" s="153">
        <v>402</v>
      </c>
      <c r="G31" s="153">
        <v>0</v>
      </c>
      <c r="H31" s="153"/>
      <c r="I31" s="153"/>
      <c r="J31" s="153"/>
      <c r="K31" s="153"/>
      <c r="L31" s="153"/>
      <c r="M31" s="153"/>
      <c r="N31" s="153"/>
      <c r="O31" s="164" t="str">
        <f t="shared" si="1"/>
        <v>40G (FR)_2 km_CFP</v>
      </c>
    </row>
    <row r="32" spans="2:15">
      <c r="B32" s="81" t="str">
        <f>Products!B59</f>
        <v>40G (LR4 subspec)</v>
      </c>
      <c r="C32" s="82" t="str">
        <f>Products!C59</f>
        <v>2 km</v>
      </c>
      <c r="D32" s="83" t="str">
        <f>Products!D59</f>
        <v>QSFP+</v>
      </c>
      <c r="E32" s="153">
        <v>470209</v>
      </c>
      <c r="F32" s="153">
        <v>806616</v>
      </c>
      <c r="G32" s="153">
        <v>271821</v>
      </c>
      <c r="H32" s="153"/>
      <c r="I32" s="153"/>
      <c r="J32" s="153"/>
      <c r="K32" s="153"/>
      <c r="L32" s="153"/>
      <c r="M32" s="153"/>
      <c r="N32" s="153"/>
      <c r="O32" s="164" t="str">
        <f t="shared" si="1"/>
        <v>40G (LR4 subspec)_2 km_QSFP+</v>
      </c>
    </row>
    <row r="33" spans="2:15">
      <c r="B33" s="81" t="str">
        <f>Products!B60</f>
        <v>40G</v>
      </c>
      <c r="C33" s="82" t="str">
        <f>Products!C60</f>
        <v>10 km</v>
      </c>
      <c r="D33" s="83" t="str">
        <f>Products!D60</f>
        <v>CFP</v>
      </c>
      <c r="E33" s="153">
        <v>6655</v>
      </c>
      <c r="F33" s="153">
        <v>2846</v>
      </c>
      <c r="G33" s="153">
        <v>0</v>
      </c>
      <c r="H33" s="153"/>
      <c r="I33" s="153"/>
      <c r="J33" s="153"/>
      <c r="K33" s="153"/>
      <c r="L33" s="153"/>
      <c r="M33" s="153"/>
      <c r="N33" s="153"/>
      <c r="O33" s="164" t="str">
        <f t="shared" si="1"/>
        <v>40G_10 km_CFP</v>
      </c>
    </row>
    <row r="34" spans="2:15">
      <c r="B34" s="81" t="str">
        <f>Products!B61</f>
        <v>40G</v>
      </c>
      <c r="C34" s="82" t="str">
        <f>Products!C61</f>
        <v>10 km</v>
      </c>
      <c r="D34" s="83" t="str">
        <f>Products!D61</f>
        <v>QSFP+</v>
      </c>
      <c r="E34" s="153">
        <v>327231</v>
      </c>
      <c r="F34" s="153">
        <v>424358</v>
      </c>
      <c r="G34" s="153">
        <v>269337</v>
      </c>
      <c r="H34" s="153"/>
      <c r="I34" s="153"/>
      <c r="J34" s="153"/>
      <c r="K34" s="153"/>
      <c r="L34" s="153"/>
      <c r="M34" s="153"/>
      <c r="N34" s="153"/>
      <c r="O34" s="185" t="str">
        <f t="shared" si="1"/>
        <v>40G_10 km_QSFP+</v>
      </c>
    </row>
    <row r="35" spans="2:15">
      <c r="B35" s="77" t="str">
        <f>Products!B62</f>
        <v>40G</v>
      </c>
      <c r="C35" s="78" t="str">
        <f>Products!C62</f>
        <v>40 km</v>
      </c>
      <c r="D35" s="79" t="str">
        <f>Products!D62</f>
        <v>QSFP+</v>
      </c>
      <c r="E35" s="207">
        <v>4894</v>
      </c>
      <c r="F35" s="207">
        <v>5432</v>
      </c>
      <c r="G35" s="207">
        <v>8224</v>
      </c>
      <c r="H35" s="207"/>
      <c r="I35" s="207"/>
      <c r="J35" s="207"/>
      <c r="K35" s="207"/>
      <c r="L35" s="207"/>
      <c r="M35" s="207"/>
      <c r="N35" s="207"/>
      <c r="O35" s="186" t="str">
        <f t="shared" si="1"/>
        <v>40G_40 km_QSFP+</v>
      </c>
    </row>
    <row r="36" spans="2:15">
      <c r="B36" s="73" t="str">
        <f>Products!B63</f>
        <v xml:space="preserve">50G </v>
      </c>
      <c r="C36" s="74" t="str">
        <f>Products!C63</f>
        <v>100 m</v>
      </c>
      <c r="D36" s="75" t="str">
        <f>Products!D63</f>
        <v>all</v>
      </c>
      <c r="E36" s="208">
        <v>0</v>
      </c>
      <c r="F36" s="208">
        <v>0</v>
      </c>
      <c r="G36" s="208">
        <v>0</v>
      </c>
      <c r="H36" s="208"/>
      <c r="I36" s="208"/>
      <c r="J36" s="208"/>
      <c r="K36" s="208"/>
      <c r="L36" s="208"/>
      <c r="M36" s="208"/>
      <c r="N36" s="208"/>
      <c r="O36" s="237" t="str">
        <f t="shared" si="1"/>
        <v>50G _100 m_all</v>
      </c>
    </row>
    <row r="37" spans="2:15">
      <c r="B37" s="81" t="str">
        <f>Products!B64</f>
        <v xml:space="preserve">50G </v>
      </c>
      <c r="C37" s="82" t="str">
        <f>Products!C64</f>
        <v>2 km</v>
      </c>
      <c r="D37" s="83" t="str">
        <f>Products!D64</f>
        <v>all</v>
      </c>
      <c r="E37" s="153">
        <v>0</v>
      </c>
      <c r="F37" s="153">
        <v>0</v>
      </c>
      <c r="G37" s="153">
        <v>0</v>
      </c>
      <c r="H37" s="153"/>
      <c r="I37" s="153"/>
      <c r="J37" s="153"/>
      <c r="K37" s="153"/>
      <c r="L37" s="153"/>
      <c r="M37" s="153"/>
      <c r="N37" s="153"/>
      <c r="O37" s="185" t="str">
        <f t="shared" si="1"/>
        <v>50G _2 km_all</v>
      </c>
    </row>
    <row r="38" spans="2:15">
      <c r="B38" s="81" t="str">
        <f>Products!B65</f>
        <v xml:space="preserve">50G </v>
      </c>
      <c r="C38" s="82" t="str">
        <f>Products!C65</f>
        <v>10 km</v>
      </c>
      <c r="D38" s="83" t="str">
        <f>Products!D65</f>
        <v>all</v>
      </c>
      <c r="E38" s="153">
        <v>0</v>
      </c>
      <c r="F38" s="153">
        <v>0</v>
      </c>
      <c r="G38" s="153">
        <v>0</v>
      </c>
      <c r="H38" s="153"/>
      <c r="I38" s="153"/>
      <c r="J38" s="153"/>
      <c r="K38" s="153"/>
      <c r="L38" s="153"/>
      <c r="M38" s="153"/>
      <c r="N38" s="153"/>
      <c r="O38" s="439" t="str">
        <f t="shared" si="1"/>
        <v>50G _10 km_all</v>
      </c>
    </row>
    <row r="39" spans="2:15">
      <c r="B39" s="81" t="str">
        <f>Products!B66</f>
        <v xml:space="preserve">50G </v>
      </c>
      <c r="C39" s="82" t="str">
        <f>Products!C66</f>
        <v>40 km</v>
      </c>
      <c r="D39" s="83" t="str">
        <f>Products!D66</f>
        <v>all</v>
      </c>
      <c r="E39" s="153">
        <v>0</v>
      </c>
      <c r="F39" s="153">
        <v>0</v>
      </c>
      <c r="G39" s="153">
        <v>0</v>
      </c>
      <c r="H39" s="153"/>
      <c r="I39" s="153"/>
      <c r="J39" s="153"/>
      <c r="K39" s="153"/>
      <c r="L39" s="153"/>
      <c r="M39" s="153"/>
      <c r="N39" s="153"/>
      <c r="O39" s="439" t="str">
        <f t="shared" si="1"/>
        <v>50G _40 km_all</v>
      </c>
    </row>
    <row r="40" spans="2:15">
      <c r="B40" s="77" t="str">
        <f>Products!B67</f>
        <v xml:space="preserve">50G </v>
      </c>
      <c r="C40" s="78" t="str">
        <f>Products!C67</f>
        <v>80 km</v>
      </c>
      <c r="D40" s="79" t="str">
        <f>Products!D67</f>
        <v>all</v>
      </c>
      <c r="E40" s="153">
        <v>0</v>
      </c>
      <c r="F40" s="153">
        <v>0</v>
      </c>
      <c r="G40" s="153">
        <v>0</v>
      </c>
      <c r="H40" s="153"/>
      <c r="I40" s="153"/>
      <c r="J40" s="153"/>
      <c r="K40" s="153"/>
      <c r="L40" s="153"/>
      <c r="M40" s="153"/>
      <c r="N40" s="153"/>
      <c r="O40" s="440" t="str">
        <f t="shared" si="1"/>
        <v>50G _80 km_all</v>
      </c>
    </row>
    <row r="41" spans="2:15">
      <c r="B41" s="81" t="str">
        <f>Products!B68</f>
        <v>100G SR4</v>
      </c>
      <c r="C41" s="82" t="str">
        <f>Products!C68</f>
        <v>100 m</v>
      </c>
      <c r="D41" s="83" t="str">
        <f>Products!D68</f>
        <v>CFP</v>
      </c>
      <c r="E41" s="76">
        <v>14816</v>
      </c>
      <c r="F41" s="76">
        <v>6913</v>
      </c>
      <c r="G41" s="76">
        <v>5094</v>
      </c>
      <c r="H41" s="76"/>
      <c r="I41" s="76"/>
      <c r="J41" s="76"/>
      <c r="K41" s="76"/>
      <c r="L41" s="76"/>
      <c r="M41" s="76"/>
      <c r="N41" s="76"/>
      <c r="O41" s="185" t="str">
        <f t="shared" ref="O41:O68" si="2">B41&amp;"_"&amp;C41&amp;"_"&amp;D41</f>
        <v>100G SR4_100 m_CFP</v>
      </c>
    </row>
    <row r="42" spans="2:15">
      <c r="B42" s="81" t="str">
        <f>Products!B69</f>
        <v>100G SR4</v>
      </c>
      <c r="C42" s="82" t="str">
        <f>Products!C69</f>
        <v>100 m</v>
      </c>
      <c r="D42" s="83" t="str">
        <f>Products!D69</f>
        <v>CFP2/4</v>
      </c>
      <c r="E42" s="84">
        <v>4367</v>
      </c>
      <c r="F42" s="84">
        <v>2269</v>
      </c>
      <c r="G42" s="84">
        <v>2000</v>
      </c>
      <c r="H42" s="84"/>
      <c r="I42" s="84"/>
      <c r="J42" s="84"/>
      <c r="K42" s="84"/>
      <c r="L42" s="84"/>
      <c r="M42" s="84"/>
      <c r="N42" s="84"/>
      <c r="O42" s="185" t="str">
        <f t="shared" si="2"/>
        <v>100G SR4_100 m_CFP2/4</v>
      </c>
    </row>
    <row r="43" spans="2:15">
      <c r="B43" s="81" t="str">
        <f>Products!B70</f>
        <v>100G SR4</v>
      </c>
      <c r="C43" s="82" t="str">
        <f>Products!C70</f>
        <v>100 m</v>
      </c>
      <c r="D43" s="83" t="str">
        <f>Products!D70</f>
        <v>QSFP28</v>
      </c>
      <c r="E43" s="84">
        <v>280058</v>
      </c>
      <c r="F43" s="84">
        <v>622792</v>
      </c>
      <c r="G43" s="84">
        <v>1915817</v>
      </c>
      <c r="H43" s="84"/>
      <c r="I43" s="84"/>
      <c r="J43" s="84"/>
      <c r="K43" s="84"/>
      <c r="L43" s="84"/>
      <c r="M43" s="84"/>
      <c r="N43" s="84"/>
      <c r="O43" s="185" t="str">
        <f t="shared" si="2"/>
        <v>100G SR4_100 m_QSFP28</v>
      </c>
    </row>
    <row r="44" spans="2:15">
      <c r="B44" s="81" t="str">
        <f>Products!B71</f>
        <v>100G SR2</v>
      </c>
      <c r="C44" s="82" t="str">
        <f>Products!C71</f>
        <v>100 m</v>
      </c>
      <c r="D44" s="83" t="str">
        <f>Products!D71</f>
        <v>All</v>
      </c>
      <c r="E44" s="84">
        <v>0</v>
      </c>
      <c r="F44" s="84">
        <v>0</v>
      </c>
      <c r="G44" s="84">
        <v>0</v>
      </c>
      <c r="H44" s="84"/>
      <c r="I44" s="84"/>
      <c r="J44" s="84"/>
      <c r="K44" s="84"/>
      <c r="L44" s="84"/>
      <c r="M44" s="84"/>
      <c r="N44" s="84"/>
      <c r="O44" s="185" t="str">
        <f t="shared" si="2"/>
        <v>100G SR2_100 m_All</v>
      </c>
    </row>
    <row r="45" spans="2:15">
      <c r="B45" s="81" t="str">
        <f>Products!B72</f>
        <v>100G MM Duplex</v>
      </c>
      <c r="C45" s="82" t="str">
        <f>Products!C72</f>
        <v>100 - 300 m</v>
      </c>
      <c r="D45" s="83" t="str">
        <f>Products!D72</f>
        <v>QSFP28</v>
      </c>
      <c r="E45" s="84">
        <v>0</v>
      </c>
      <c r="F45" s="84">
        <v>0</v>
      </c>
      <c r="G45" s="84">
        <v>150000</v>
      </c>
      <c r="H45" s="84"/>
      <c r="I45" s="84"/>
      <c r="J45" s="84"/>
      <c r="K45" s="84"/>
      <c r="L45" s="84"/>
      <c r="M45" s="84"/>
      <c r="N45" s="84"/>
      <c r="O45" s="185" t="str">
        <f t="shared" si="2"/>
        <v>100G MM Duplex_100 - 300 m_QSFP28</v>
      </c>
    </row>
    <row r="46" spans="2:15">
      <c r="B46" s="81" t="str">
        <f>Products!B73</f>
        <v>100G eSR4</v>
      </c>
      <c r="C46" s="82" t="str">
        <f>Products!C73</f>
        <v>300 m</v>
      </c>
      <c r="D46" s="83" t="str">
        <f>Products!D73</f>
        <v>QSFP28</v>
      </c>
      <c r="E46" s="84">
        <v>0</v>
      </c>
      <c r="F46" s="84">
        <v>0</v>
      </c>
      <c r="G46" s="84">
        <v>10000</v>
      </c>
      <c r="H46" s="84"/>
      <c r="I46" s="84"/>
      <c r="J46" s="84"/>
      <c r="K46" s="84"/>
      <c r="L46" s="84"/>
      <c r="M46" s="84"/>
      <c r="N46" s="84"/>
      <c r="O46" s="185" t="str">
        <f t="shared" si="2"/>
        <v>100G eSR4_300 m_QSFP28</v>
      </c>
    </row>
    <row r="47" spans="2:15">
      <c r="B47" s="81" t="str">
        <f>Products!B74</f>
        <v>100G PSM4</v>
      </c>
      <c r="C47" s="82" t="str">
        <f>Products!C74</f>
        <v>500 m</v>
      </c>
      <c r="D47" s="83" t="str">
        <f>Products!D74</f>
        <v>QSFP28</v>
      </c>
      <c r="E47" s="84">
        <v>200861</v>
      </c>
      <c r="F47" s="84">
        <v>710038</v>
      </c>
      <c r="G47" s="84">
        <v>514311</v>
      </c>
      <c r="H47" s="84"/>
      <c r="I47" s="84"/>
      <c r="J47" s="84"/>
      <c r="K47" s="84"/>
      <c r="L47" s="84"/>
      <c r="M47" s="84"/>
      <c r="N47" s="84"/>
      <c r="O47" s="185" t="str">
        <f t="shared" si="2"/>
        <v>100G PSM4_500 m_QSFP28</v>
      </c>
    </row>
    <row r="48" spans="2:15">
      <c r="B48" s="81" t="str">
        <f>Products!B75</f>
        <v>100G DR</v>
      </c>
      <c r="C48" s="82" t="str">
        <f>Products!C75</f>
        <v>500 m</v>
      </c>
      <c r="D48" s="83" t="str">
        <f>Products!D75</f>
        <v>QSFP28</v>
      </c>
      <c r="E48" s="84">
        <v>0</v>
      </c>
      <c r="F48" s="84">
        <v>0</v>
      </c>
      <c r="G48" s="84">
        <v>3000</v>
      </c>
      <c r="H48" s="84"/>
      <c r="I48" s="84"/>
      <c r="J48" s="84"/>
      <c r="K48" s="84"/>
      <c r="L48" s="84"/>
      <c r="M48" s="84"/>
      <c r="N48" s="84"/>
      <c r="O48" s="185" t="str">
        <f t="shared" si="2"/>
        <v>100G DR_500 m_QSFP28</v>
      </c>
    </row>
    <row r="49" spans="2:15">
      <c r="B49" s="81" t="str">
        <f>Products!B76</f>
        <v>100G CWDM4-subspec</v>
      </c>
      <c r="C49" s="82" t="str">
        <f>Products!C76</f>
        <v>500 m</v>
      </c>
      <c r="D49" s="83" t="str">
        <f>Products!D76</f>
        <v>QSFP28</v>
      </c>
      <c r="E49" s="84">
        <v>88200.6</v>
      </c>
      <c r="F49" s="84">
        <v>683412.1</v>
      </c>
      <c r="G49" s="84">
        <v>1100000</v>
      </c>
      <c r="H49" s="84"/>
      <c r="I49" s="84"/>
      <c r="J49" s="84"/>
      <c r="K49" s="84"/>
      <c r="L49" s="84"/>
      <c r="M49" s="84"/>
      <c r="N49" s="84"/>
      <c r="O49" s="185" t="str">
        <f t="shared" si="2"/>
        <v>100G CWDM4-subspec_500 m_QSFP28</v>
      </c>
    </row>
    <row r="50" spans="2:15">
      <c r="B50" s="81" t="str">
        <f>Products!B77</f>
        <v>100G CWDM4</v>
      </c>
      <c r="C50" s="82" t="str">
        <f>Products!C77</f>
        <v>2 km</v>
      </c>
      <c r="D50" s="83" t="str">
        <f>Products!D77</f>
        <v>QSFP28</v>
      </c>
      <c r="E50" s="84">
        <v>30989.399999999994</v>
      </c>
      <c r="F50" s="84">
        <v>292890.90000000002</v>
      </c>
      <c r="G50" s="84">
        <v>1866292.6190476189</v>
      </c>
      <c r="H50" s="84"/>
      <c r="I50" s="84"/>
      <c r="J50" s="84"/>
      <c r="K50" s="84"/>
      <c r="L50" s="84"/>
      <c r="M50" s="84"/>
      <c r="N50" s="84"/>
      <c r="O50" s="185" t="str">
        <f t="shared" si="2"/>
        <v>100G CWDM4_2 km_QSFP28</v>
      </c>
    </row>
    <row r="51" spans="2:15">
      <c r="B51" s="81" t="str">
        <f>Products!B78</f>
        <v>100G FR1</v>
      </c>
      <c r="C51" s="82" t="str">
        <f>Products!C78</f>
        <v>2 km</v>
      </c>
      <c r="D51" s="83" t="str">
        <f>Products!D78</f>
        <v>QSFP28</v>
      </c>
      <c r="E51" s="84">
        <v>0</v>
      </c>
      <c r="F51" s="84">
        <v>0</v>
      </c>
      <c r="G51" s="84">
        <v>0</v>
      </c>
      <c r="H51" s="84"/>
      <c r="I51" s="84"/>
      <c r="J51" s="84"/>
      <c r="K51" s="84"/>
      <c r="L51" s="84"/>
      <c r="M51" s="84"/>
      <c r="N51" s="84"/>
      <c r="O51" s="185" t="str">
        <f t="shared" si="2"/>
        <v>100G FR1_2 km_QSFP28</v>
      </c>
    </row>
    <row r="52" spans="2:15">
      <c r="B52" s="81" t="str">
        <f>Products!B79</f>
        <v>100G LR4</v>
      </c>
      <c r="C52" s="82" t="str">
        <f>Products!C79</f>
        <v>10 km</v>
      </c>
      <c r="D52" s="83" t="str">
        <f>Products!D79</f>
        <v>CFP</v>
      </c>
      <c r="E52" s="84">
        <v>109936</v>
      </c>
      <c r="F52" s="84">
        <v>67349</v>
      </c>
      <c r="G52" s="84">
        <v>38716</v>
      </c>
      <c r="H52" s="84"/>
      <c r="I52" s="84"/>
      <c r="J52" s="84"/>
      <c r="K52" s="84"/>
      <c r="L52" s="84"/>
      <c r="M52" s="84"/>
      <c r="N52" s="84"/>
      <c r="O52" s="185" t="str">
        <f t="shared" si="2"/>
        <v>100G LR4_10 km_CFP</v>
      </c>
    </row>
    <row r="53" spans="2:15">
      <c r="B53" s="81" t="str">
        <f>Products!B80</f>
        <v>100G LR4</v>
      </c>
      <c r="C53" s="82" t="str">
        <f>Products!C80</f>
        <v>10 km</v>
      </c>
      <c r="D53" s="83" t="str">
        <f>Products!D80</f>
        <v>CFP2/4</v>
      </c>
      <c r="E53" s="84">
        <v>92243</v>
      </c>
      <c r="F53" s="84">
        <v>78202</v>
      </c>
      <c r="G53" s="84">
        <v>73797</v>
      </c>
      <c r="H53" s="84"/>
      <c r="I53" s="84"/>
      <c r="J53" s="84"/>
      <c r="K53" s="84"/>
      <c r="L53" s="84"/>
      <c r="M53" s="84"/>
      <c r="N53" s="84"/>
      <c r="O53" s="185" t="str">
        <f t="shared" si="2"/>
        <v>100G LR4_10 km_CFP2/4</v>
      </c>
    </row>
    <row r="54" spans="2:15">
      <c r="B54" s="81" t="str">
        <f>Products!B81</f>
        <v>100G LR4 and LR1</v>
      </c>
      <c r="C54" s="82" t="str">
        <f>Products!C81</f>
        <v>10 km</v>
      </c>
      <c r="D54" s="83" t="str">
        <f>Products!D81</f>
        <v>QSFP28</v>
      </c>
      <c r="E54" s="84">
        <v>90443</v>
      </c>
      <c r="F54" s="84">
        <v>362352</v>
      </c>
      <c r="G54" s="84">
        <v>397891.1176470588</v>
      </c>
      <c r="H54" s="84"/>
      <c r="I54" s="84"/>
      <c r="J54" s="84"/>
      <c r="K54" s="84"/>
      <c r="L54" s="84"/>
      <c r="M54" s="84"/>
      <c r="N54" s="84"/>
      <c r="O54" s="185" t="str">
        <f t="shared" si="2"/>
        <v>100G LR4 and LR1_10 km_QSFP28</v>
      </c>
    </row>
    <row r="55" spans="2:15">
      <c r="B55" s="81" t="str">
        <f>Products!B82</f>
        <v>100G 4WDM10</v>
      </c>
      <c r="C55" s="82" t="str">
        <f>Products!C82</f>
        <v>10 km</v>
      </c>
      <c r="D55" s="83" t="str">
        <f>Products!D82</f>
        <v>QSFP28</v>
      </c>
      <c r="E55" s="84">
        <v>0</v>
      </c>
      <c r="F55" s="84">
        <v>45000</v>
      </c>
      <c r="G55" s="84">
        <v>100000</v>
      </c>
      <c r="H55" s="84"/>
      <c r="I55" s="84"/>
      <c r="J55" s="84"/>
      <c r="K55" s="84"/>
      <c r="L55" s="84"/>
      <c r="M55" s="84"/>
      <c r="N55" s="84"/>
      <c r="O55" s="185" t="str">
        <f t="shared" si="2"/>
        <v>100G 4WDM10_10 km_QSFP28</v>
      </c>
    </row>
    <row r="56" spans="2:15">
      <c r="B56" s="81" t="str">
        <f>Products!B83</f>
        <v>100G 4WDM20</v>
      </c>
      <c r="C56" s="82" t="str">
        <f>Products!C83</f>
        <v>20 km</v>
      </c>
      <c r="D56" s="83" t="str">
        <f>Products!D83</f>
        <v>QSFP28</v>
      </c>
      <c r="E56" s="84">
        <v>0</v>
      </c>
      <c r="F56" s="84">
        <v>0</v>
      </c>
      <c r="G56" s="84">
        <v>0</v>
      </c>
      <c r="H56" s="84"/>
      <c r="I56" s="84"/>
      <c r="J56" s="84"/>
      <c r="K56" s="84"/>
      <c r="L56" s="84"/>
      <c r="M56" s="84"/>
      <c r="N56" s="84"/>
      <c r="O56" s="185" t="str">
        <f t="shared" si="2"/>
        <v>100G 4WDM20_20 km_QSFP28</v>
      </c>
    </row>
    <row r="57" spans="2:15">
      <c r="B57" s="81" t="str">
        <f>Products!B84</f>
        <v>100G ER4, ER4-Lite</v>
      </c>
      <c r="C57" s="82" t="str">
        <f>Products!C84</f>
        <v>40 km</v>
      </c>
      <c r="D57" s="83" t="str">
        <f>Products!D84</f>
        <v>QSFP28</v>
      </c>
      <c r="E57" s="80">
        <v>7456</v>
      </c>
      <c r="F57" s="80">
        <v>10272</v>
      </c>
      <c r="G57" s="80">
        <v>10106</v>
      </c>
      <c r="H57" s="80"/>
      <c r="I57" s="80"/>
      <c r="J57" s="80"/>
      <c r="K57" s="80"/>
      <c r="L57" s="80"/>
      <c r="M57" s="80"/>
      <c r="N57" s="80"/>
      <c r="O57" s="186" t="str">
        <f t="shared" si="2"/>
        <v>100G ER4, ER4-Lite_40 km_QSFP28</v>
      </c>
    </row>
    <row r="58" spans="2:15">
      <c r="B58" s="73" t="str">
        <f>Products!B85</f>
        <v>200G SR4</v>
      </c>
      <c r="C58" s="74" t="str">
        <f>Products!C85</f>
        <v>100 m</v>
      </c>
      <c r="D58" s="75" t="str">
        <f>Products!D85</f>
        <v>QSFP56</v>
      </c>
      <c r="E58" s="76">
        <v>0</v>
      </c>
      <c r="F58" s="76">
        <v>0</v>
      </c>
      <c r="G58" s="76">
        <v>500</v>
      </c>
      <c r="H58" s="76"/>
      <c r="I58" s="76"/>
      <c r="J58" s="76"/>
      <c r="K58" s="76"/>
      <c r="L58" s="208"/>
      <c r="M58" s="208"/>
      <c r="N58" s="208"/>
      <c r="O58" s="237" t="str">
        <f t="shared" si="2"/>
        <v>200G SR4_100 m_QSFP56</v>
      </c>
    </row>
    <row r="59" spans="2:15">
      <c r="B59" s="81" t="str">
        <f>Products!B86</f>
        <v>2x200 (400G-SR8)</v>
      </c>
      <c r="C59" s="82" t="str">
        <f>Products!C86</f>
        <v>100 m</v>
      </c>
      <c r="D59" s="83" t="str">
        <f>Products!D86</f>
        <v>OSFP, QSFP-DD</v>
      </c>
      <c r="E59" s="84">
        <v>0</v>
      </c>
      <c r="F59" s="84">
        <v>0</v>
      </c>
      <c r="G59" s="84">
        <v>23000</v>
      </c>
      <c r="H59" s="84"/>
      <c r="I59" s="84"/>
      <c r="J59" s="84"/>
      <c r="K59" s="84"/>
      <c r="L59" s="153"/>
      <c r="M59" s="153"/>
      <c r="N59" s="153"/>
      <c r="O59" s="185" t="str">
        <f t="shared" si="2"/>
        <v>2x200 (400G-SR8)_100 m_OSFP, QSFP-DD</v>
      </c>
    </row>
    <row r="60" spans="2:15">
      <c r="B60" s="81" t="str">
        <f>Products!B87</f>
        <v>200G FR4</v>
      </c>
      <c r="C60" s="82" t="str">
        <f>Products!C87</f>
        <v>2 km</v>
      </c>
      <c r="D60" s="83" t="str">
        <f>Products!D87</f>
        <v>QSFP56</v>
      </c>
      <c r="E60" s="84">
        <v>0</v>
      </c>
      <c r="F60" s="84">
        <v>0</v>
      </c>
      <c r="G60" s="84">
        <v>500</v>
      </c>
      <c r="H60" s="84"/>
      <c r="I60" s="84"/>
      <c r="J60" s="84"/>
      <c r="K60" s="84"/>
      <c r="L60" s="153"/>
      <c r="M60" s="153"/>
      <c r="N60" s="153"/>
      <c r="O60" s="185" t="str">
        <f t="shared" si="2"/>
        <v>200G FR4_2 km_QSFP56</v>
      </c>
    </row>
    <row r="61" spans="2:15">
      <c r="B61" s="77" t="str">
        <f>Products!B88</f>
        <v>2x(200G FR4)</v>
      </c>
      <c r="C61" s="78" t="str">
        <f>Products!C88</f>
        <v>2 km</v>
      </c>
      <c r="D61" s="79" t="str">
        <f>Products!D88</f>
        <v>OSFP</v>
      </c>
      <c r="E61" s="80">
        <v>0</v>
      </c>
      <c r="F61" s="80">
        <v>0</v>
      </c>
      <c r="G61" s="80">
        <v>12000</v>
      </c>
      <c r="H61" s="80"/>
      <c r="I61" s="80"/>
      <c r="J61" s="80"/>
      <c r="K61" s="80"/>
      <c r="L61" s="207"/>
      <c r="M61" s="207"/>
      <c r="N61" s="207"/>
      <c r="O61" s="186" t="str">
        <f t="shared" si="2"/>
        <v>2x(200G FR4)_2 km_OSFP</v>
      </c>
    </row>
    <row r="62" spans="2:15">
      <c r="B62" s="73" t="str">
        <f>Products!B89</f>
        <v>400G SR4.2, SR4</v>
      </c>
      <c r="C62" s="74" t="str">
        <f>Products!C89</f>
        <v>100 m</v>
      </c>
      <c r="D62" s="75" t="str">
        <f>Products!D89</f>
        <v>OSFP, QSFP-DD, QSFP112</v>
      </c>
      <c r="E62" s="76">
        <v>0</v>
      </c>
      <c r="F62" s="76">
        <v>0</v>
      </c>
      <c r="G62" s="76">
        <v>0</v>
      </c>
      <c r="H62" s="76"/>
      <c r="I62" s="76"/>
      <c r="J62" s="76"/>
      <c r="K62" s="76"/>
      <c r="L62" s="208"/>
      <c r="M62" s="208"/>
      <c r="N62" s="208"/>
      <c r="O62" s="185" t="str">
        <f t="shared" si="2"/>
        <v>400G SR4.2, SR4_100 m_OSFP, QSFP-DD, QSFP112</v>
      </c>
    </row>
    <row r="63" spans="2:15">
      <c r="B63" s="81" t="str">
        <f>Products!B90</f>
        <v>400G DR4</v>
      </c>
      <c r="C63" s="82" t="str">
        <f>Products!C90</f>
        <v>500 m</v>
      </c>
      <c r="D63" s="83" t="str">
        <f>Products!D90</f>
        <v>OSFP, QSFP-DD, QSFP112</v>
      </c>
      <c r="E63" s="84">
        <v>0</v>
      </c>
      <c r="F63" s="84">
        <v>0</v>
      </c>
      <c r="G63" s="84">
        <v>2000</v>
      </c>
      <c r="H63" s="84"/>
      <c r="I63" s="84"/>
      <c r="J63" s="84"/>
      <c r="K63" s="84"/>
      <c r="L63" s="153"/>
      <c r="M63" s="153"/>
      <c r="N63" s="153"/>
      <c r="O63" s="185" t="str">
        <f t="shared" si="2"/>
        <v>400G DR4_500 m_OSFP, QSFP-DD, QSFP112</v>
      </c>
    </row>
    <row r="64" spans="2:15">
      <c r="B64" s="81" t="str">
        <f>Products!B91</f>
        <v>400G FR4</v>
      </c>
      <c r="C64" s="82" t="str">
        <f>Products!C91</f>
        <v>2 km</v>
      </c>
      <c r="D64" s="83" t="str">
        <f>Products!D91</f>
        <v>OSFP, QSFP-DD, QSFP112</v>
      </c>
      <c r="E64" s="84">
        <v>0</v>
      </c>
      <c r="F64" s="84">
        <v>7</v>
      </c>
      <c r="G64" s="84">
        <v>1000</v>
      </c>
      <c r="H64" s="84"/>
      <c r="I64" s="84"/>
      <c r="J64" s="84"/>
      <c r="K64" s="84"/>
      <c r="L64" s="153"/>
      <c r="M64" s="153"/>
      <c r="N64" s="153"/>
      <c r="O64" s="185" t="str">
        <f t="shared" si="2"/>
        <v>400G FR4_2 km_OSFP, QSFP-DD, QSFP112</v>
      </c>
    </row>
    <row r="65" spans="2:15">
      <c r="B65" s="77" t="str">
        <f>Products!B92</f>
        <v>400G LR4, LR8</v>
      </c>
      <c r="C65" s="78" t="str">
        <f>Products!C92</f>
        <v>10 km</v>
      </c>
      <c r="D65" s="79" t="str">
        <f>Products!D92</f>
        <v>OSFP, QSFP-DD, QSFP112</v>
      </c>
      <c r="E65" s="80">
        <v>0</v>
      </c>
      <c r="F65" s="80">
        <v>82</v>
      </c>
      <c r="G65" s="80">
        <v>1000</v>
      </c>
      <c r="H65" s="80"/>
      <c r="I65" s="80"/>
      <c r="J65" s="80"/>
      <c r="K65" s="80"/>
      <c r="L65" s="207"/>
      <c r="M65" s="207"/>
      <c r="N65" s="207"/>
      <c r="O65" s="186" t="str">
        <f t="shared" si="2"/>
        <v>400G LR4, LR8_10 km_OSFP, QSFP-DD, QSFP112</v>
      </c>
    </row>
    <row r="66" spans="2:15" s="86" customFormat="1">
      <c r="B66" s="73" t="str">
        <f>Products!B93</f>
        <v>800G SR8</v>
      </c>
      <c r="C66" s="74" t="str">
        <f>Products!C93</f>
        <v>50 m</v>
      </c>
      <c r="D66" s="75" t="str">
        <f>Products!D93</f>
        <v>OSFP, QSFP-DD800</v>
      </c>
      <c r="E66" s="76"/>
      <c r="F66" s="76"/>
      <c r="G66" s="76"/>
      <c r="H66" s="76"/>
      <c r="I66" s="76"/>
      <c r="J66" s="76"/>
      <c r="K66" s="76"/>
      <c r="L66" s="208"/>
      <c r="M66" s="208"/>
      <c r="N66" s="208"/>
      <c r="O66" s="185" t="str">
        <f t="shared" si="2"/>
        <v>800G SR8_50 m_OSFP, QSFP-DD800</v>
      </c>
    </row>
    <row r="67" spans="2:15" s="86" customFormat="1">
      <c r="B67" s="81" t="str">
        <f>Products!B94</f>
        <v>800G PSM8</v>
      </c>
      <c r="C67" s="82" t="str">
        <f>Products!C94</f>
        <v>500 m</v>
      </c>
      <c r="D67" s="83" t="str">
        <f>Products!D94</f>
        <v>OSFP, QSFP-DD800</v>
      </c>
      <c r="E67" s="84"/>
      <c r="F67" s="84"/>
      <c r="G67" s="84"/>
      <c r="H67" s="84"/>
      <c r="I67" s="84"/>
      <c r="J67" s="84"/>
      <c r="K67" s="84"/>
      <c r="L67" s="153"/>
      <c r="M67" s="153"/>
      <c r="N67" s="153"/>
      <c r="O67" s="185" t="str">
        <f t="shared" si="2"/>
        <v>800G PSM8_500 m_OSFP, QSFP-DD800</v>
      </c>
    </row>
    <row r="68" spans="2:15" s="86" customFormat="1">
      <c r="B68" s="81" t="str">
        <f>Products!B95</f>
        <v>2x(400G FR4)</v>
      </c>
      <c r="C68" s="82" t="str">
        <f>Products!C95</f>
        <v>2 km</v>
      </c>
      <c r="D68" s="83" t="str">
        <f>Products!D95</f>
        <v>OSFP, QSFP-DD800</v>
      </c>
      <c r="E68" s="84"/>
      <c r="F68" s="84"/>
      <c r="G68" s="84"/>
      <c r="H68" s="84"/>
      <c r="I68" s="84"/>
      <c r="J68" s="84"/>
      <c r="K68" s="84"/>
      <c r="L68" s="153"/>
      <c r="M68" s="153"/>
      <c r="N68" s="153"/>
      <c r="O68" s="185" t="str">
        <f t="shared" si="2"/>
        <v>2x(400G FR4)_2 km_OSFP, QSFP-DD800</v>
      </c>
    </row>
    <row r="69" spans="2:15" s="86" customFormat="1">
      <c r="B69" s="77">
        <f>Products!B96</f>
        <v>0</v>
      </c>
      <c r="C69" s="78"/>
      <c r="D69" s="79"/>
      <c r="E69" s="80"/>
      <c r="F69" s="80"/>
      <c r="G69" s="80"/>
      <c r="H69" s="80"/>
      <c r="I69" s="80"/>
      <c r="J69" s="80"/>
      <c r="K69" s="80"/>
      <c r="L69" s="207"/>
      <c r="M69" s="207"/>
      <c r="N69" s="207"/>
      <c r="O69" s="185"/>
    </row>
    <row r="70" spans="2:15">
      <c r="B70" s="45" t="s">
        <v>20</v>
      </c>
      <c r="C70" s="46"/>
      <c r="D70" s="47"/>
      <c r="E70" s="90">
        <f>SUM(E9:E69)</f>
        <v>36433414.034999996</v>
      </c>
      <c r="F70" s="90">
        <f t="shared" ref="F70:N70" si="3">SUM(F9:F69)</f>
        <v>38102112.150000006</v>
      </c>
      <c r="G70" s="90">
        <f t="shared" si="3"/>
        <v>46060316.33669468</v>
      </c>
      <c r="H70" s="90">
        <f t="shared" si="3"/>
        <v>0</v>
      </c>
      <c r="I70" s="90">
        <f t="shared" si="3"/>
        <v>0</v>
      </c>
      <c r="J70" s="90">
        <f t="shared" si="3"/>
        <v>0</v>
      </c>
      <c r="K70" s="90">
        <f t="shared" si="3"/>
        <v>0</v>
      </c>
      <c r="L70" s="90">
        <f t="shared" si="3"/>
        <v>0</v>
      </c>
      <c r="M70" s="90">
        <f t="shared" si="3"/>
        <v>0</v>
      </c>
      <c r="N70" s="90">
        <f t="shared" si="3"/>
        <v>0</v>
      </c>
      <c r="O70" s="161" t="str">
        <f>B70&amp;"_"&amp;C70&amp;"_"&amp;D70</f>
        <v>Total Devices __</v>
      </c>
    </row>
    <row r="71" spans="2:15">
      <c r="B71" s="167" t="s">
        <v>338</v>
      </c>
      <c r="C71" s="458" t="s">
        <v>51</v>
      </c>
      <c r="D71" s="492" t="s">
        <v>51</v>
      </c>
      <c r="E71" s="194">
        <f t="shared" ref="E71:M71" si="4">SUM(E14:E23)</f>
        <v>18581871.93</v>
      </c>
      <c r="F71" s="454">
        <f t="shared" si="4"/>
        <v>19969351.100000001</v>
      </c>
      <c r="G71" s="454">
        <f t="shared" si="4"/>
        <v>22020505.100000001</v>
      </c>
      <c r="H71" s="454">
        <f t="shared" si="4"/>
        <v>0</v>
      </c>
      <c r="I71" s="454">
        <f t="shared" si="4"/>
        <v>0</v>
      </c>
      <c r="J71" s="454">
        <f t="shared" si="4"/>
        <v>0</v>
      </c>
      <c r="K71" s="454">
        <f t="shared" si="4"/>
        <v>0</v>
      </c>
      <c r="L71" s="454">
        <f t="shared" si="4"/>
        <v>0</v>
      </c>
      <c r="M71" s="454">
        <f t="shared" si="4"/>
        <v>0</v>
      </c>
      <c r="N71" s="454">
        <f>SUM(N14:N23)</f>
        <v>0</v>
      </c>
      <c r="O71" s="278" t="str">
        <f t="shared" ref="O71:O78" si="5">B71&amp;"_"&amp;C71&amp;"_"&amp;D71</f>
        <v>10G total_All_All</v>
      </c>
    </row>
    <row r="72" spans="2:15">
      <c r="B72" s="48" t="s">
        <v>195</v>
      </c>
      <c r="C72" s="188" t="s">
        <v>51</v>
      </c>
      <c r="D72" s="457" t="s">
        <v>51</v>
      </c>
      <c r="E72" s="193">
        <f t="shared" ref="E72:M72" si="6">SUM(E24:E26)</f>
        <v>11694</v>
      </c>
      <c r="F72" s="193">
        <f t="shared" si="6"/>
        <v>113327</v>
      </c>
      <c r="G72" s="193">
        <f t="shared" si="6"/>
        <v>375687</v>
      </c>
      <c r="H72" s="197">
        <f t="shared" si="6"/>
        <v>0</v>
      </c>
      <c r="I72" s="197">
        <f t="shared" si="6"/>
        <v>0</v>
      </c>
      <c r="J72" s="197">
        <f t="shared" si="6"/>
        <v>0</v>
      </c>
      <c r="K72" s="197">
        <f t="shared" si="6"/>
        <v>0</v>
      </c>
      <c r="L72" s="18">
        <f t="shared" si="6"/>
        <v>0</v>
      </c>
      <c r="M72" s="18">
        <f t="shared" si="6"/>
        <v>0</v>
      </c>
      <c r="N72" s="18">
        <f>SUM(N24:N26)</f>
        <v>0</v>
      </c>
      <c r="O72" s="278" t="str">
        <f t="shared" si="5"/>
        <v>25G total_All_All</v>
      </c>
    </row>
    <row r="73" spans="2:15">
      <c r="B73" s="48" t="s">
        <v>194</v>
      </c>
      <c r="C73" s="188" t="s">
        <v>51</v>
      </c>
      <c r="D73" s="457" t="s">
        <v>51</v>
      </c>
      <c r="E73" s="18">
        <f t="shared" ref="E73:M73" si="7">SUM(E27:E35)</f>
        <v>3153068</v>
      </c>
      <c r="F73" s="18">
        <f t="shared" si="7"/>
        <v>3864160</v>
      </c>
      <c r="G73" s="18">
        <f t="shared" si="7"/>
        <v>3098123.5</v>
      </c>
      <c r="H73" s="18">
        <f t="shared" si="7"/>
        <v>0</v>
      </c>
      <c r="I73" s="18">
        <f t="shared" si="7"/>
        <v>0</v>
      </c>
      <c r="J73" s="18">
        <f t="shared" si="7"/>
        <v>0</v>
      </c>
      <c r="K73" s="18">
        <f t="shared" si="7"/>
        <v>0</v>
      </c>
      <c r="L73" s="18">
        <f t="shared" si="7"/>
        <v>0</v>
      </c>
      <c r="M73" s="18">
        <f t="shared" si="7"/>
        <v>0</v>
      </c>
      <c r="N73" s="18">
        <f>SUM(N27:N35)</f>
        <v>0</v>
      </c>
      <c r="O73" s="278" t="str">
        <f t="shared" si="5"/>
        <v>40G total_All_All</v>
      </c>
    </row>
    <row r="74" spans="2:15">
      <c r="B74" s="48" t="s">
        <v>196</v>
      </c>
      <c r="C74" s="188" t="s">
        <v>51</v>
      </c>
      <c r="D74" s="457" t="s">
        <v>51</v>
      </c>
      <c r="E74" s="18">
        <f t="shared" ref="E74:M74" si="8">SUM(E36:E40)</f>
        <v>0</v>
      </c>
      <c r="F74" s="18">
        <f t="shared" si="8"/>
        <v>0</v>
      </c>
      <c r="G74" s="18">
        <f t="shared" si="8"/>
        <v>0</v>
      </c>
      <c r="H74" s="18">
        <f t="shared" si="8"/>
        <v>0</v>
      </c>
      <c r="I74" s="18">
        <f t="shared" si="8"/>
        <v>0</v>
      </c>
      <c r="J74" s="18">
        <f t="shared" si="8"/>
        <v>0</v>
      </c>
      <c r="K74" s="18">
        <f t="shared" si="8"/>
        <v>0</v>
      </c>
      <c r="L74" s="18">
        <f t="shared" si="8"/>
        <v>0</v>
      </c>
      <c r="M74" s="18">
        <f t="shared" si="8"/>
        <v>0</v>
      </c>
      <c r="N74" s="18">
        <f>SUM(N36:N40)</f>
        <v>0</v>
      </c>
      <c r="O74" s="278" t="str">
        <f t="shared" si="5"/>
        <v>50G total_All_All</v>
      </c>
    </row>
    <row r="75" spans="2:15">
      <c r="B75" s="48" t="s">
        <v>191</v>
      </c>
      <c r="C75" s="188" t="s">
        <v>51</v>
      </c>
      <c r="D75" s="457" t="s">
        <v>51</v>
      </c>
      <c r="E75" s="18">
        <f t="shared" ref="E75:M75" si="9">SUM(E41:E57)</f>
        <v>919370</v>
      </c>
      <c r="F75" s="18">
        <f t="shared" si="9"/>
        <v>2881490</v>
      </c>
      <c r="G75" s="18">
        <f t="shared" si="9"/>
        <v>6187024.7366946787</v>
      </c>
      <c r="H75" s="18">
        <f t="shared" si="9"/>
        <v>0</v>
      </c>
      <c r="I75" s="18">
        <f t="shared" si="9"/>
        <v>0</v>
      </c>
      <c r="J75" s="18">
        <f t="shared" si="9"/>
        <v>0</v>
      </c>
      <c r="K75" s="18">
        <f t="shared" si="9"/>
        <v>0</v>
      </c>
      <c r="L75" s="18">
        <f t="shared" si="9"/>
        <v>0</v>
      </c>
      <c r="M75" s="18">
        <f t="shared" si="9"/>
        <v>0</v>
      </c>
      <c r="N75" s="18">
        <f>SUM(N41:N57)</f>
        <v>0</v>
      </c>
      <c r="O75" s="278" t="str">
        <f t="shared" si="5"/>
        <v>100G total_All_All</v>
      </c>
    </row>
    <row r="76" spans="2:15">
      <c r="B76" s="48" t="s">
        <v>193</v>
      </c>
      <c r="C76" s="188" t="s">
        <v>51</v>
      </c>
      <c r="D76" s="457" t="s">
        <v>51</v>
      </c>
      <c r="E76" s="361">
        <f>E58+E60</f>
        <v>0</v>
      </c>
      <c r="F76" s="361">
        <f t="shared" ref="F76:N76" si="10">F58+F60</f>
        <v>0</v>
      </c>
      <c r="G76" s="361">
        <f t="shared" si="10"/>
        <v>1000</v>
      </c>
      <c r="H76" s="361">
        <f t="shared" si="10"/>
        <v>0</v>
      </c>
      <c r="I76" s="361">
        <f t="shared" si="10"/>
        <v>0</v>
      </c>
      <c r="J76" s="361">
        <f t="shared" si="10"/>
        <v>0</v>
      </c>
      <c r="K76" s="18">
        <f t="shared" si="10"/>
        <v>0</v>
      </c>
      <c r="L76" s="18">
        <f t="shared" si="10"/>
        <v>0</v>
      </c>
      <c r="M76" s="18">
        <f t="shared" si="10"/>
        <v>0</v>
      </c>
      <c r="N76" s="18">
        <f t="shared" si="10"/>
        <v>0</v>
      </c>
      <c r="O76" s="278" t="str">
        <f t="shared" si="5"/>
        <v>200G total_All_All</v>
      </c>
    </row>
    <row r="77" spans="2:15">
      <c r="B77" s="48" t="s">
        <v>192</v>
      </c>
      <c r="C77" s="188" t="s">
        <v>51</v>
      </c>
      <c r="D77" s="457" t="s">
        <v>51</v>
      </c>
      <c r="E77" s="18">
        <f>SUM(E61:E65)+E59</f>
        <v>0</v>
      </c>
      <c r="F77" s="18">
        <f t="shared" ref="F77:N77" si="11">SUM(F61:F65)+F59</f>
        <v>89</v>
      </c>
      <c r="G77" s="18">
        <f t="shared" si="11"/>
        <v>39000</v>
      </c>
      <c r="H77" s="18">
        <f t="shared" si="11"/>
        <v>0</v>
      </c>
      <c r="I77" s="18">
        <f t="shared" si="11"/>
        <v>0</v>
      </c>
      <c r="J77" s="18">
        <f t="shared" si="11"/>
        <v>0</v>
      </c>
      <c r="K77" s="18">
        <f t="shared" si="11"/>
        <v>0</v>
      </c>
      <c r="L77" s="18">
        <f t="shared" si="11"/>
        <v>0</v>
      </c>
      <c r="M77" s="18">
        <f t="shared" si="11"/>
        <v>0</v>
      </c>
      <c r="N77" s="18">
        <f t="shared" si="11"/>
        <v>0</v>
      </c>
      <c r="O77" s="278" t="str">
        <f t="shared" si="5"/>
        <v>400G total_All_All</v>
      </c>
    </row>
    <row r="78" spans="2:15">
      <c r="B78" s="87" t="s">
        <v>374</v>
      </c>
      <c r="C78" s="88" t="s">
        <v>51</v>
      </c>
      <c r="D78" s="89" t="s">
        <v>51</v>
      </c>
      <c r="E78" s="55">
        <f>SUM(E66:E69)</f>
        <v>0</v>
      </c>
      <c r="F78" s="55">
        <f t="shared" ref="F78:M78" si="12">SUM(F66:F69)</f>
        <v>0</v>
      </c>
      <c r="G78" s="55">
        <f t="shared" si="12"/>
        <v>0</v>
      </c>
      <c r="H78" s="55">
        <f t="shared" si="12"/>
        <v>0</v>
      </c>
      <c r="I78" s="55">
        <f t="shared" si="12"/>
        <v>0</v>
      </c>
      <c r="J78" s="55">
        <f>SUM(J66:J69)</f>
        <v>0</v>
      </c>
      <c r="K78" s="55">
        <f t="shared" si="12"/>
        <v>0</v>
      </c>
      <c r="L78" s="55">
        <f t="shared" si="12"/>
        <v>0</v>
      </c>
      <c r="M78" s="55">
        <f t="shared" si="12"/>
        <v>0</v>
      </c>
      <c r="N78" s="55">
        <f>SUM(N66:N69)</f>
        <v>0</v>
      </c>
      <c r="O78" s="86" t="str">
        <f t="shared" si="5"/>
        <v>800G total_All_All</v>
      </c>
    </row>
    <row r="79" spans="2:15">
      <c r="L79" s="69"/>
      <c r="M79" s="69"/>
      <c r="N79" s="69"/>
    </row>
    <row r="82" spans="2:15" ht="21">
      <c r="B82" s="12" t="s">
        <v>19</v>
      </c>
      <c r="C82" s="12"/>
      <c r="D82" s="12"/>
      <c r="E82" s="171"/>
      <c r="F82" s="171"/>
      <c r="G82" s="171"/>
      <c r="H82" s="171"/>
      <c r="I82" s="171"/>
      <c r="J82" s="171"/>
      <c r="K82" s="171"/>
      <c r="L82" s="363"/>
      <c r="M82" s="363"/>
      <c r="N82" s="363"/>
    </row>
    <row r="83" spans="2:15">
      <c r="B83" s="71" t="str">
        <f>B6</f>
        <v>Data Rate</v>
      </c>
      <c r="C83" s="71" t="str">
        <f>C6</f>
        <v>Reach</v>
      </c>
      <c r="D83" s="71" t="str">
        <f>D6</f>
        <v>Form Factor</v>
      </c>
      <c r="E83" s="72">
        <v>2016</v>
      </c>
      <c r="F83" s="72">
        <v>2017</v>
      </c>
      <c r="G83" s="72">
        <v>2018</v>
      </c>
      <c r="H83" s="72">
        <v>2019</v>
      </c>
      <c r="I83" s="72">
        <v>2020</v>
      </c>
      <c r="J83" s="72">
        <v>2021</v>
      </c>
      <c r="K83" s="72">
        <v>2022</v>
      </c>
      <c r="L83" s="72">
        <v>2023</v>
      </c>
      <c r="M83" s="72">
        <v>2024</v>
      </c>
      <c r="N83" s="72">
        <v>2025</v>
      </c>
    </row>
    <row r="84" spans="2:15">
      <c r="B84" s="73" t="str">
        <f t="shared" ref="B84:D103" si="13">B9</f>
        <v>1G</v>
      </c>
      <c r="C84" s="74" t="str">
        <f t="shared" si="13"/>
        <v>500 m</v>
      </c>
      <c r="D84" s="75" t="str">
        <f t="shared" si="13"/>
        <v>SFP</v>
      </c>
      <c r="E84" s="95">
        <f t="shared" ref="E84:N84" si="14">IF(E9=0,"",E159*10^6/E9)</f>
        <v>10.178233731377588</v>
      </c>
      <c r="F84" s="95">
        <f t="shared" si="14"/>
        <v>8.9746992158904888</v>
      </c>
      <c r="G84" s="95">
        <f t="shared" si="14"/>
        <v>8.1963947817703744</v>
      </c>
      <c r="H84" s="95" t="str">
        <f t="shared" si="14"/>
        <v/>
      </c>
      <c r="I84" s="95" t="str">
        <f t="shared" si="14"/>
        <v/>
      </c>
      <c r="J84" s="95" t="str">
        <f t="shared" si="14"/>
        <v/>
      </c>
      <c r="K84" s="95" t="str">
        <f t="shared" si="14"/>
        <v/>
      </c>
      <c r="L84" s="96" t="str">
        <f t="shared" si="14"/>
        <v/>
      </c>
      <c r="M84" s="96" t="str">
        <f t="shared" si="14"/>
        <v/>
      </c>
      <c r="N84" s="96" t="str">
        <f t="shared" si="14"/>
        <v/>
      </c>
      <c r="O84" s="426"/>
    </row>
    <row r="85" spans="2:15">
      <c r="B85" s="81" t="str">
        <f t="shared" si="13"/>
        <v>1G</v>
      </c>
      <c r="C85" s="82" t="str">
        <f t="shared" si="13"/>
        <v>10 km</v>
      </c>
      <c r="D85" s="83" t="str">
        <f t="shared" si="13"/>
        <v>SFP</v>
      </c>
      <c r="E85" s="95">
        <f t="shared" ref="E85:N85" si="15">IF(E10=0,"",E160*10^6/E10)</f>
        <v>11.313150064475876</v>
      </c>
      <c r="F85" s="95">
        <f t="shared" si="15"/>
        <v>9.7279618337487541</v>
      </c>
      <c r="G85" s="95">
        <f t="shared" ref="G85:G100" si="16">IF(G10=0,"",G160*10^6/G10)</f>
        <v>7.9991133376783168</v>
      </c>
      <c r="H85" s="95" t="str">
        <f t="shared" si="15"/>
        <v/>
      </c>
      <c r="I85" s="95" t="str">
        <f t="shared" si="15"/>
        <v/>
      </c>
      <c r="J85" s="95" t="str">
        <f t="shared" si="15"/>
        <v/>
      </c>
      <c r="K85" s="95" t="str">
        <f t="shared" si="15"/>
        <v/>
      </c>
      <c r="L85" s="96" t="str">
        <f t="shared" si="15"/>
        <v/>
      </c>
      <c r="M85" s="96" t="str">
        <f t="shared" si="15"/>
        <v/>
      </c>
      <c r="N85" s="96" t="str">
        <f t="shared" si="15"/>
        <v/>
      </c>
      <c r="O85" s="426"/>
    </row>
    <row r="86" spans="2:15">
      <c r="B86" s="81" t="str">
        <f t="shared" si="13"/>
        <v>1G</v>
      </c>
      <c r="C86" s="82" t="str">
        <f t="shared" si="13"/>
        <v>40 km</v>
      </c>
      <c r="D86" s="83" t="str">
        <f t="shared" si="13"/>
        <v>SFP</v>
      </c>
      <c r="E86" s="95">
        <f t="shared" ref="E86:N86" si="17">IF(E11=0,"",E161*10^6/E11)</f>
        <v>14.223250006112197</v>
      </c>
      <c r="F86" s="95">
        <f t="shared" si="17"/>
        <v>11.270556706605298</v>
      </c>
      <c r="G86" s="95">
        <f t="shared" si="16"/>
        <v>11.355942578382948</v>
      </c>
      <c r="H86" s="95" t="str">
        <f t="shared" si="17"/>
        <v/>
      </c>
      <c r="I86" s="95" t="str">
        <f t="shared" si="17"/>
        <v/>
      </c>
      <c r="J86" s="95" t="str">
        <f t="shared" si="17"/>
        <v/>
      </c>
      <c r="K86" s="95" t="str">
        <f t="shared" si="17"/>
        <v/>
      </c>
      <c r="L86" s="96" t="str">
        <f t="shared" si="17"/>
        <v/>
      </c>
      <c r="M86" s="96" t="str">
        <f t="shared" si="17"/>
        <v/>
      </c>
      <c r="N86" s="96" t="str">
        <f t="shared" si="17"/>
        <v/>
      </c>
      <c r="O86" s="426"/>
    </row>
    <row r="87" spans="2:15">
      <c r="B87" s="81" t="str">
        <f t="shared" si="13"/>
        <v>1G</v>
      </c>
      <c r="C87" s="82" t="str">
        <f t="shared" si="13"/>
        <v>80 km</v>
      </c>
      <c r="D87" s="83" t="str">
        <f t="shared" si="13"/>
        <v>SFP</v>
      </c>
      <c r="E87" s="95">
        <f t="shared" ref="E87:N87" si="18">IF(E12=0,"",E162*10^6/E12)</f>
        <v>47.263945249069465</v>
      </c>
      <c r="F87" s="95">
        <f t="shared" si="18"/>
        <v>42.349942382451964</v>
      </c>
      <c r="G87" s="95">
        <f t="shared" si="16"/>
        <v>32.87799862653884</v>
      </c>
      <c r="H87" s="95" t="str">
        <f t="shared" si="18"/>
        <v/>
      </c>
      <c r="I87" s="95" t="str">
        <f t="shared" si="18"/>
        <v/>
      </c>
      <c r="J87" s="95" t="str">
        <f t="shared" si="18"/>
        <v/>
      </c>
      <c r="K87" s="95" t="str">
        <f t="shared" si="18"/>
        <v/>
      </c>
      <c r="L87" s="96" t="str">
        <f t="shared" si="18"/>
        <v/>
      </c>
      <c r="M87" s="96" t="str">
        <f t="shared" si="18"/>
        <v/>
      </c>
      <c r="N87" s="96" t="str">
        <f t="shared" si="18"/>
        <v/>
      </c>
      <c r="O87" s="426"/>
    </row>
    <row r="88" spans="2:15">
      <c r="B88" s="77" t="str">
        <f t="shared" si="13"/>
        <v>G &amp; Fast Ethernet</v>
      </c>
      <c r="C88" s="78" t="str">
        <f t="shared" si="13"/>
        <v>Various</v>
      </c>
      <c r="D88" s="79" t="str">
        <f t="shared" si="13"/>
        <v>Legacy/discontinued</v>
      </c>
      <c r="E88" s="94">
        <f>IF(E13=0,"",E163*10^6/E13)</f>
        <v>18</v>
      </c>
      <c r="F88" s="94" t="str">
        <f>IF(F13=0,"",F163*10^6/F13)</f>
        <v/>
      </c>
      <c r="G88" s="94" t="str">
        <f t="shared" si="16"/>
        <v/>
      </c>
      <c r="H88" s="94"/>
      <c r="I88" s="94"/>
      <c r="J88" s="94"/>
      <c r="K88" s="94"/>
      <c r="L88" s="365"/>
      <c r="M88" s="365"/>
      <c r="N88" s="365"/>
      <c r="O88" s="426"/>
    </row>
    <row r="89" spans="2:15">
      <c r="B89" s="81" t="str">
        <f t="shared" si="13"/>
        <v>10G</v>
      </c>
      <c r="C89" s="82" t="str">
        <f t="shared" si="13"/>
        <v>300 m</v>
      </c>
      <c r="D89" s="83" t="str">
        <f t="shared" si="13"/>
        <v>XFP</v>
      </c>
      <c r="E89" s="95">
        <f t="shared" ref="E89:E97" si="19">IF(E14=0,"",E164*10^6/E14)</f>
        <v>65.084287545305614</v>
      </c>
      <c r="F89" s="95">
        <f t="shared" ref="F89:N89" si="20">IF(F14=0,"",F164*10^6/F14)</f>
        <v>58.749084731162213</v>
      </c>
      <c r="G89" s="95">
        <f t="shared" si="16"/>
        <v>53.859817130996483</v>
      </c>
      <c r="H89" s="95" t="str">
        <f t="shared" si="20"/>
        <v/>
      </c>
      <c r="I89" s="95" t="str">
        <f t="shared" si="20"/>
        <v/>
      </c>
      <c r="J89" s="95" t="str">
        <f t="shared" si="20"/>
        <v/>
      </c>
      <c r="K89" s="95" t="str">
        <f t="shared" si="20"/>
        <v/>
      </c>
      <c r="L89" s="96" t="str">
        <f t="shared" si="20"/>
        <v/>
      </c>
      <c r="M89" s="96" t="str">
        <f t="shared" si="20"/>
        <v/>
      </c>
      <c r="N89" s="96" t="str">
        <f t="shared" si="20"/>
        <v/>
      </c>
      <c r="O89" s="426"/>
    </row>
    <row r="90" spans="2:15">
      <c r="B90" s="81" t="str">
        <f t="shared" si="13"/>
        <v>10G</v>
      </c>
      <c r="C90" s="82" t="str">
        <f t="shared" si="13"/>
        <v>300 m</v>
      </c>
      <c r="D90" s="83" t="str">
        <f t="shared" si="13"/>
        <v>SFP+</v>
      </c>
      <c r="E90" s="95">
        <f t="shared" si="19"/>
        <v>18.016278339273537</v>
      </c>
      <c r="F90" s="95">
        <f t="shared" ref="F90:N90" si="21">IF(F15=0,"",F165*10^6/F15)</f>
        <v>15.097691372748406</v>
      </c>
      <c r="G90" s="95">
        <f t="shared" si="16"/>
        <v>12.873119482168063</v>
      </c>
      <c r="H90" s="95" t="str">
        <f t="shared" si="21"/>
        <v/>
      </c>
      <c r="I90" s="95" t="str">
        <f t="shared" si="21"/>
        <v/>
      </c>
      <c r="J90" s="95" t="str">
        <f t="shared" si="21"/>
        <v/>
      </c>
      <c r="K90" s="95" t="str">
        <f t="shared" si="21"/>
        <v/>
      </c>
      <c r="L90" s="96" t="str">
        <f t="shared" si="21"/>
        <v/>
      </c>
      <c r="M90" s="96" t="str">
        <f t="shared" si="21"/>
        <v/>
      </c>
      <c r="N90" s="96" t="str">
        <f t="shared" si="21"/>
        <v/>
      </c>
      <c r="O90" s="426"/>
    </row>
    <row r="91" spans="2:15">
      <c r="B91" s="81" t="str">
        <f t="shared" si="13"/>
        <v>10G LRM</v>
      </c>
      <c r="C91" s="82" t="str">
        <f t="shared" si="13"/>
        <v>220 m</v>
      </c>
      <c r="D91" s="83" t="str">
        <f t="shared" si="13"/>
        <v>SFP+</v>
      </c>
      <c r="E91" s="95">
        <f t="shared" si="19"/>
        <v>78.390761412913719</v>
      </c>
      <c r="F91" s="95">
        <f t="shared" ref="F91:N91" si="22">IF(F16=0,"",F166*10^6/F16)</f>
        <v>66.716018564745482</v>
      </c>
      <c r="G91" s="95">
        <f t="shared" si="16"/>
        <v>62.552567664917163</v>
      </c>
      <c r="H91" s="95" t="str">
        <f t="shared" si="22"/>
        <v/>
      </c>
      <c r="I91" s="95" t="str">
        <f t="shared" si="22"/>
        <v/>
      </c>
      <c r="J91" s="95" t="str">
        <f t="shared" si="22"/>
        <v/>
      </c>
      <c r="K91" s="95" t="str">
        <f t="shared" si="22"/>
        <v/>
      </c>
      <c r="L91" s="96" t="str">
        <f t="shared" si="22"/>
        <v/>
      </c>
      <c r="M91" s="96" t="str">
        <f t="shared" si="22"/>
        <v/>
      </c>
      <c r="N91" s="96" t="str">
        <f t="shared" si="22"/>
        <v/>
      </c>
      <c r="O91" s="426"/>
    </row>
    <row r="92" spans="2:15">
      <c r="B92" s="81" t="str">
        <f t="shared" si="13"/>
        <v>10G</v>
      </c>
      <c r="C92" s="82" t="str">
        <f t="shared" si="13"/>
        <v>10 km</v>
      </c>
      <c r="D92" s="83" t="str">
        <f t="shared" si="13"/>
        <v>XFP</v>
      </c>
      <c r="E92" s="95">
        <f t="shared" si="19"/>
        <v>67.576972221049004</v>
      </c>
      <c r="F92" s="95">
        <f t="shared" ref="F92:N92" si="23">IF(F17=0,"",F167*10^6/F17)</f>
        <v>51.799368807617711</v>
      </c>
      <c r="G92" s="95">
        <f t="shared" si="16"/>
        <v>44.013044587017021</v>
      </c>
      <c r="H92" s="95" t="str">
        <f t="shared" si="23"/>
        <v/>
      </c>
      <c r="I92" s="95" t="str">
        <f t="shared" si="23"/>
        <v/>
      </c>
      <c r="J92" s="95" t="str">
        <f t="shared" si="23"/>
        <v/>
      </c>
      <c r="K92" s="95" t="str">
        <f t="shared" si="23"/>
        <v/>
      </c>
      <c r="L92" s="96" t="str">
        <f t="shared" si="23"/>
        <v/>
      </c>
      <c r="M92" s="96" t="str">
        <f t="shared" si="23"/>
        <v/>
      </c>
      <c r="N92" s="96" t="str">
        <f t="shared" si="23"/>
        <v/>
      </c>
      <c r="O92" s="426"/>
    </row>
    <row r="93" spans="2:15">
      <c r="B93" s="81" t="str">
        <f t="shared" si="13"/>
        <v>10G</v>
      </c>
      <c r="C93" s="82" t="str">
        <f t="shared" si="13"/>
        <v>10 km</v>
      </c>
      <c r="D93" s="83" t="str">
        <f t="shared" si="13"/>
        <v>SFP+</v>
      </c>
      <c r="E93" s="95">
        <f t="shared" si="19"/>
        <v>38.465958311427336</v>
      </c>
      <c r="F93" s="95">
        <f t="shared" ref="F93:N93" si="24">IF(F18=0,"",F168*10^6/F18)</f>
        <v>30.5</v>
      </c>
      <c r="G93" s="95">
        <f t="shared" si="16"/>
        <v>24.174517052756187</v>
      </c>
      <c r="H93" s="95" t="str">
        <f t="shared" si="24"/>
        <v/>
      </c>
      <c r="I93" s="95" t="str">
        <f t="shared" si="24"/>
        <v/>
      </c>
      <c r="J93" s="95" t="str">
        <f t="shared" si="24"/>
        <v/>
      </c>
      <c r="K93" s="95" t="str">
        <f t="shared" si="24"/>
        <v/>
      </c>
      <c r="L93" s="96" t="str">
        <f t="shared" si="24"/>
        <v/>
      </c>
      <c r="M93" s="96" t="str">
        <f t="shared" si="24"/>
        <v/>
      </c>
      <c r="N93" s="96" t="str">
        <f t="shared" si="24"/>
        <v/>
      </c>
      <c r="O93" s="426"/>
    </row>
    <row r="94" spans="2:15">
      <c r="B94" s="81" t="str">
        <f t="shared" si="13"/>
        <v>10G</v>
      </c>
      <c r="C94" s="82" t="str">
        <f t="shared" si="13"/>
        <v>40 km</v>
      </c>
      <c r="D94" s="83" t="str">
        <f t="shared" si="13"/>
        <v>XFP</v>
      </c>
      <c r="E94" s="95">
        <f t="shared" si="19"/>
        <v>202.96860771881492</v>
      </c>
      <c r="F94" s="95">
        <f t="shared" ref="F94:N94" si="25">IF(F19=0,"",F169*10^6/F19)</f>
        <v>139.47449702400385</v>
      </c>
      <c r="G94" s="95">
        <f t="shared" si="16"/>
        <v>119.6669017796072</v>
      </c>
      <c r="H94" s="95" t="str">
        <f t="shared" si="25"/>
        <v/>
      </c>
      <c r="I94" s="95" t="str">
        <f t="shared" si="25"/>
        <v/>
      </c>
      <c r="J94" s="95" t="str">
        <f t="shared" si="25"/>
        <v/>
      </c>
      <c r="K94" s="95" t="str">
        <f t="shared" si="25"/>
        <v/>
      </c>
      <c r="L94" s="96" t="str">
        <f t="shared" si="25"/>
        <v/>
      </c>
      <c r="M94" s="96" t="str">
        <f t="shared" si="25"/>
        <v/>
      </c>
      <c r="N94" s="96" t="str">
        <f t="shared" si="25"/>
        <v/>
      </c>
      <c r="O94" s="426"/>
    </row>
    <row r="95" spans="2:15">
      <c r="B95" s="81" t="str">
        <f t="shared" si="13"/>
        <v>10G</v>
      </c>
      <c r="C95" s="82" t="str">
        <f t="shared" si="13"/>
        <v>40 km</v>
      </c>
      <c r="D95" s="83" t="str">
        <f t="shared" si="13"/>
        <v>SFP+</v>
      </c>
      <c r="E95" s="95">
        <f t="shared" si="19"/>
        <v>191.20778168956542</v>
      </c>
      <c r="F95" s="95">
        <f t="shared" ref="F95:N95" si="26">IF(F20=0,"",F170*10^6/F20)</f>
        <v>155.78241680453388</v>
      </c>
      <c r="G95" s="95">
        <f t="shared" si="16"/>
        <v>99.963714368632438</v>
      </c>
      <c r="H95" s="95" t="str">
        <f t="shared" si="26"/>
        <v/>
      </c>
      <c r="I95" s="95" t="str">
        <f t="shared" si="26"/>
        <v/>
      </c>
      <c r="J95" s="95" t="str">
        <f t="shared" si="26"/>
        <v/>
      </c>
      <c r="K95" s="95" t="str">
        <f t="shared" si="26"/>
        <v/>
      </c>
      <c r="L95" s="96" t="str">
        <f t="shared" si="26"/>
        <v/>
      </c>
      <c r="M95" s="96" t="str">
        <f t="shared" si="26"/>
        <v/>
      </c>
      <c r="N95" s="96" t="str">
        <f t="shared" si="26"/>
        <v/>
      </c>
      <c r="O95" s="426"/>
    </row>
    <row r="96" spans="2:15">
      <c r="B96" s="81" t="str">
        <f t="shared" si="13"/>
        <v>10G</v>
      </c>
      <c r="C96" s="82" t="str">
        <f t="shared" si="13"/>
        <v>80 km</v>
      </c>
      <c r="D96" s="83" t="str">
        <f t="shared" si="13"/>
        <v>XFP</v>
      </c>
      <c r="E96" s="95">
        <f t="shared" si="19"/>
        <v>272.0748723385496</v>
      </c>
      <c r="F96" s="95">
        <f t="shared" ref="F96:N96" si="27">IF(F21=0,"",F171*10^6/F21)</f>
        <v>279.05568350167476</v>
      </c>
      <c r="G96" s="95">
        <f t="shared" si="16"/>
        <v>298.53432873031477</v>
      </c>
      <c r="H96" s="95" t="str">
        <f t="shared" si="27"/>
        <v/>
      </c>
      <c r="I96" s="95" t="str">
        <f t="shared" si="27"/>
        <v/>
      </c>
      <c r="J96" s="95" t="str">
        <f t="shared" si="27"/>
        <v/>
      </c>
      <c r="K96" s="95" t="str">
        <f t="shared" si="27"/>
        <v/>
      </c>
      <c r="L96" s="95" t="str">
        <f t="shared" si="27"/>
        <v/>
      </c>
      <c r="M96" s="95" t="str">
        <f t="shared" si="27"/>
        <v/>
      </c>
      <c r="N96" s="95" t="str">
        <f t="shared" si="27"/>
        <v/>
      </c>
      <c r="O96" s="426"/>
    </row>
    <row r="97" spans="2:15">
      <c r="B97" s="81" t="str">
        <f t="shared" si="13"/>
        <v>10G</v>
      </c>
      <c r="C97" s="82" t="str">
        <f t="shared" si="13"/>
        <v>80 km</v>
      </c>
      <c r="D97" s="83" t="str">
        <f t="shared" si="13"/>
        <v>SFP+</v>
      </c>
      <c r="E97" s="95">
        <f t="shared" si="19"/>
        <v>362.31733736347383</v>
      </c>
      <c r="F97" s="95">
        <f t="shared" ref="F97:N97" si="28">IF(F22=0,"",F172*10^6/F22)</f>
        <v>296.14130230693672</v>
      </c>
      <c r="G97" s="95">
        <f t="shared" si="16"/>
        <v>232.06261204152722</v>
      </c>
      <c r="H97" s="95" t="str">
        <f t="shared" si="28"/>
        <v/>
      </c>
      <c r="I97" s="95" t="str">
        <f t="shared" si="28"/>
        <v/>
      </c>
      <c r="J97" s="95" t="str">
        <f t="shared" si="28"/>
        <v/>
      </c>
      <c r="K97" s="95" t="str">
        <f t="shared" si="28"/>
        <v/>
      </c>
      <c r="L97" s="96" t="str">
        <f t="shared" si="28"/>
        <v/>
      </c>
      <c r="M97" s="96" t="str">
        <f t="shared" si="28"/>
        <v/>
      </c>
      <c r="N97" s="96" t="str">
        <f t="shared" si="28"/>
        <v/>
      </c>
      <c r="O97" s="426"/>
    </row>
    <row r="98" spans="2:15">
      <c r="B98" s="81" t="str">
        <f t="shared" si="13"/>
        <v>10G</v>
      </c>
      <c r="C98" s="82" t="str">
        <f t="shared" si="13"/>
        <v>Various</v>
      </c>
      <c r="D98" s="83" t="str">
        <f t="shared" si="13"/>
        <v>Legacy/discontinued</v>
      </c>
      <c r="E98" s="94">
        <f t="shared" ref="E98:E107" si="29">IF(E23=0,"",E173*10^6/E23)</f>
        <v>99.093186017554928</v>
      </c>
      <c r="F98" s="94">
        <f t="shared" ref="F98:N98" si="30">IF(F23=0,"",F173*10^6/F23)</f>
        <v>94.281145957499305</v>
      </c>
      <c r="G98" s="94">
        <f t="shared" si="16"/>
        <v>114.28571428571429</v>
      </c>
      <c r="H98" s="94" t="str">
        <f t="shared" si="30"/>
        <v/>
      </c>
      <c r="I98" s="94" t="str">
        <f t="shared" si="30"/>
        <v/>
      </c>
      <c r="J98" s="94" t="str">
        <f t="shared" si="30"/>
        <v/>
      </c>
      <c r="K98" s="94" t="str">
        <f t="shared" si="30"/>
        <v/>
      </c>
      <c r="L98" s="365" t="str">
        <f t="shared" si="30"/>
        <v/>
      </c>
      <c r="M98" s="365" t="str">
        <f t="shared" si="30"/>
        <v/>
      </c>
      <c r="N98" s="365" t="str">
        <f t="shared" si="30"/>
        <v/>
      </c>
      <c r="O98" s="426"/>
    </row>
    <row r="99" spans="2:15">
      <c r="B99" s="73" t="str">
        <f t="shared" si="13"/>
        <v>25G SR, eSR</v>
      </c>
      <c r="C99" s="74" t="str">
        <f t="shared" si="13"/>
        <v>100 - 300 m</v>
      </c>
      <c r="D99" s="75" t="str">
        <f t="shared" si="13"/>
        <v>SFP28</v>
      </c>
      <c r="E99" s="93">
        <f t="shared" si="29"/>
        <v>187.14315701091519</v>
      </c>
      <c r="F99" s="93">
        <f t="shared" ref="F99:N99" si="31">IF(F24=0,"",F174*10^6/F24)</f>
        <v>141.11071819746516</v>
      </c>
      <c r="G99" s="93">
        <f t="shared" si="16"/>
        <v>87.296721341283785</v>
      </c>
      <c r="H99" s="93" t="str">
        <f t="shared" si="31"/>
        <v/>
      </c>
      <c r="I99" s="93" t="str">
        <f t="shared" si="31"/>
        <v/>
      </c>
      <c r="J99" s="93" t="str">
        <f t="shared" si="31"/>
        <v/>
      </c>
      <c r="K99" s="93" t="str">
        <f t="shared" si="31"/>
        <v/>
      </c>
      <c r="L99" s="279" t="str">
        <f t="shared" si="31"/>
        <v/>
      </c>
      <c r="M99" s="279" t="str">
        <f t="shared" si="31"/>
        <v/>
      </c>
      <c r="N99" s="279" t="str">
        <f t="shared" si="31"/>
        <v/>
      </c>
      <c r="O99" s="426"/>
    </row>
    <row r="100" spans="2:15">
      <c r="B100" s="81" t="str">
        <f t="shared" si="13"/>
        <v>25G LR</v>
      </c>
      <c r="C100" s="82" t="str">
        <f t="shared" si="13"/>
        <v>10 km</v>
      </c>
      <c r="D100" s="83" t="str">
        <f t="shared" si="13"/>
        <v>SFP28</v>
      </c>
      <c r="E100" s="95">
        <f t="shared" si="29"/>
        <v>456.24032541776609</v>
      </c>
      <c r="F100" s="95">
        <f>IF(F25=0,"",F175*10^6/F25)</f>
        <v>324.10355668962507</v>
      </c>
      <c r="G100" s="95">
        <f t="shared" si="16"/>
        <v>194.62477807755377</v>
      </c>
      <c r="H100" s="95" t="str">
        <f t="shared" ref="H100:N100" si="32">IF(H25=0,"",H175*10^6/H25)</f>
        <v/>
      </c>
      <c r="I100" s="95" t="str">
        <f t="shared" si="32"/>
        <v/>
      </c>
      <c r="J100" s="95" t="str">
        <f t="shared" si="32"/>
        <v/>
      </c>
      <c r="K100" s="95" t="str">
        <f t="shared" si="32"/>
        <v/>
      </c>
      <c r="L100" s="96" t="str">
        <f t="shared" si="32"/>
        <v/>
      </c>
      <c r="M100" s="96" t="str">
        <f t="shared" si="32"/>
        <v/>
      </c>
      <c r="N100" s="96" t="str">
        <f t="shared" si="32"/>
        <v/>
      </c>
      <c r="O100" s="426"/>
    </row>
    <row r="101" spans="2:15">
      <c r="B101" s="77" t="str">
        <f t="shared" si="13"/>
        <v>25G ER</v>
      </c>
      <c r="C101" s="78" t="str">
        <f t="shared" si="13"/>
        <v>40 km</v>
      </c>
      <c r="D101" s="79" t="str">
        <f t="shared" si="13"/>
        <v>SFP28</v>
      </c>
      <c r="E101" s="95" t="str">
        <f t="shared" si="29"/>
        <v/>
      </c>
      <c r="F101" s="95" t="str">
        <f t="shared" ref="F101:N101" si="33">IF(F26=0,"",F176*10^6/F26)</f>
        <v/>
      </c>
      <c r="G101" s="95" t="str">
        <f t="shared" si="33"/>
        <v/>
      </c>
      <c r="H101" s="95" t="str">
        <f t="shared" si="33"/>
        <v/>
      </c>
      <c r="I101" s="95" t="str">
        <f t="shared" si="33"/>
        <v/>
      </c>
      <c r="J101" s="95" t="str">
        <f t="shared" si="33"/>
        <v/>
      </c>
      <c r="K101" s="95" t="str">
        <f t="shared" si="33"/>
        <v/>
      </c>
      <c r="L101" s="96" t="str">
        <f t="shared" si="33"/>
        <v/>
      </c>
      <c r="M101" s="96" t="str">
        <f t="shared" si="33"/>
        <v/>
      </c>
      <c r="N101" s="96" t="str">
        <f t="shared" si="33"/>
        <v/>
      </c>
      <c r="O101" s="426"/>
    </row>
    <row r="102" spans="2:15">
      <c r="B102" s="81" t="str">
        <f t="shared" si="13"/>
        <v>40G SR4</v>
      </c>
      <c r="C102" s="82" t="str">
        <f t="shared" si="13"/>
        <v>100 m</v>
      </c>
      <c r="D102" s="83" t="str">
        <f t="shared" si="13"/>
        <v>QSFP+</v>
      </c>
      <c r="E102" s="93">
        <f t="shared" si="29"/>
        <v>96.595063887564976</v>
      </c>
      <c r="F102" s="93">
        <f t="shared" ref="F102:N102" si="34">IF(F27=0,"",F177*10^6/F27)</f>
        <v>80.379797575925679</v>
      </c>
      <c r="G102" s="93">
        <f t="shared" ref="G102:G131" si="35">IF(G27=0,"",G177*10^6/G27)</f>
        <v>58.660264540622045</v>
      </c>
      <c r="H102" s="93" t="str">
        <f t="shared" si="34"/>
        <v/>
      </c>
      <c r="I102" s="93" t="str">
        <f t="shared" si="34"/>
        <v/>
      </c>
      <c r="J102" s="93" t="str">
        <f t="shared" si="34"/>
        <v/>
      </c>
      <c r="K102" s="93" t="str">
        <f t="shared" si="34"/>
        <v/>
      </c>
      <c r="L102" s="279" t="str">
        <f t="shared" si="34"/>
        <v/>
      </c>
      <c r="M102" s="279" t="str">
        <f t="shared" si="34"/>
        <v/>
      </c>
      <c r="N102" s="279" t="str">
        <f t="shared" si="34"/>
        <v/>
      </c>
      <c r="O102" s="426"/>
    </row>
    <row r="103" spans="2:15">
      <c r="B103" s="81" t="str">
        <f t="shared" si="13"/>
        <v>40G MM duplex</v>
      </c>
      <c r="C103" s="82" t="str">
        <f t="shared" si="13"/>
        <v>100 m</v>
      </c>
      <c r="D103" s="83" t="str">
        <f t="shared" si="13"/>
        <v>QSFP+</v>
      </c>
      <c r="E103" s="95">
        <f t="shared" si="29"/>
        <v>250</v>
      </c>
      <c r="F103" s="95">
        <f t="shared" ref="F103:N103" si="36">IF(F28=0,"",F178*10^6/F28)</f>
        <v>240</v>
      </c>
      <c r="G103" s="95">
        <f t="shared" si="35"/>
        <v>227</v>
      </c>
      <c r="H103" s="95" t="str">
        <f t="shared" si="36"/>
        <v/>
      </c>
      <c r="I103" s="95" t="str">
        <f t="shared" si="36"/>
        <v/>
      </c>
      <c r="J103" s="95" t="str">
        <f t="shared" si="36"/>
        <v/>
      </c>
      <c r="K103" s="95" t="str">
        <f t="shared" si="36"/>
        <v/>
      </c>
      <c r="L103" s="96" t="str">
        <f t="shared" si="36"/>
        <v/>
      </c>
      <c r="M103" s="96" t="str">
        <f t="shared" si="36"/>
        <v/>
      </c>
      <c r="N103" s="96" t="str">
        <f t="shared" si="36"/>
        <v/>
      </c>
      <c r="O103" s="426"/>
    </row>
    <row r="104" spans="2:15">
      <c r="B104" s="81" t="str">
        <f t="shared" ref="B104:D123" si="37">B29</f>
        <v>40G eSR4</v>
      </c>
      <c r="C104" s="82" t="str">
        <f t="shared" si="37"/>
        <v>300 m</v>
      </c>
      <c r="D104" s="83" t="str">
        <f t="shared" si="37"/>
        <v>QSFP+</v>
      </c>
      <c r="E104" s="95">
        <f t="shared" si="29"/>
        <v>106.66614587912188</v>
      </c>
      <c r="F104" s="95">
        <f t="shared" ref="F104:N104" si="38">IF(F29=0,"",F179*10^6/F29)</f>
        <v>80.99928194026171</v>
      </c>
      <c r="G104" s="95">
        <f t="shared" si="35"/>
        <v>63.850920529241115</v>
      </c>
      <c r="H104" s="95" t="str">
        <f t="shared" si="38"/>
        <v/>
      </c>
      <c r="I104" s="95" t="str">
        <f t="shared" si="38"/>
        <v/>
      </c>
      <c r="J104" s="95" t="str">
        <f t="shared" si="38"/>
        <v/>
      </c>
      <c r="K104" s="95" t="str">
        <f t="shared" si="38"/>
        <v/>
      </c>
      <c r="L104" s="96" t="str">
        <f t="shared" si="38"/>
        <v/>
      </c>
      <c r="M104" s="96" t="str">
        <f t="shared" si="38"/>
        <v/>
      </c>
      <c r="N104" s="96" t="str">
        <f t="shared" si="38"/>
        <v/>
      </c>
      <c r="O104" s="426"/>
    </row>
    <row r="105" spans="2:15">
      <c r="B105" s="81" t="str">
        <f t="shared" si="37"/>
        <v xml:space="preserve">40G PSM4 </v>
      </c>
      <c r="C105" s="82" t="str">
        <f t="shared" si="37"/>
        <v>500 m</v>
      </c>
      <c r="D105" s="83" t="str">
        <f t="shared" si="37"/>
        <v>QSFP+</v>
      </c>
      <c r="E105" s="96">
        <f t="shared" si="29"/>
        <v>253.19068527507093</v>
      </c>
      <c r="F105" s="96">
        <f t="shared" ref="F105:N105" si="39">IF(F30=0,"",F180*10^6/F30)</f>
        <v>262.79055146339874</v>
      </c>
      <c r="G105" s="96">
        <f t="shared" si="35"/>
        <v>251.75081757202989</v>
      </c>
      <c r="H105" s="96" t="str">
        <f t="shared" si="39"/>
        <v/>
      </c>
      <c r="I105" s="96" t="str">
        <f t="shared" si="39"/>
        <v/>
      </c>
      <c r="J105" s="96" t="str">
        <f t="shared" si="39"/>
        <v/>
      </c>
      <c r="K105" s="96" t="str">
        <f t="shared" si="39"/>
        <v/>
      </c>
      <c r="L105" s="96" t="str">
        <f t="shared" si="39"/>
        <v/>
      </c>
      <c r="M105" s="96" t="str">
        <f t="shared" si="39"/>
        <v/>
      </c>
      <c r="N105" s="96" t="str">
        <f t="shared" si="39"/>
        <v/>
      </c>
      <c r="O105" s="426"/>
    </row>
    <row r="106" spans="2:15">
      <c r="B106" s="81" t="str">
        <f t="shared" si="37"/>
        <v>40G (FR)</v>
      </c>
      <c r="C106" s="82" t="str">
        <f t="shared" si="37"/>
        <v>2 km</v>
      </c>
      <c r="D106" s="83" t="str">
        <f t="shared" si="37"/>
        <v>CFP</v>
      </c>
      <c r="E106" s="95">
        <f t="shared" si="29"/>
        <v>4569.894941368153</v>
      </c>
      <c r="F106" s="95">
        <f t="shared" ref="F106:N106" si="40">IF(F31=0,"",F181*10^6/F31)</f>
        <v>5251.681208639473</v>
      </c>
      <c r="G106" s="95" t="str">
        <f t="shared" si="35"/>
        <v/>
      </c>
      <c r="H106" s="95" t="str">
        <f t="shared" si="40"/>
        <v/>
      </c>
      <c r="I106" s="95" t="str">
        <f t="shared" si="40"/>
        <v/>
      </c>
      <c r="J106" s="95" t="str">
        <f t="shared" si="40"/>
        <v/>
      </c>
      <c r="K106" s="95" t="str">
        <f t="shared" si="40"/>
        <v/>
      </c>
      <c r="L106" s="96" t="str">
        <f t="shared" si="40"/>
        <v/>
      </c>
      <c r="M106" s="96" t="str">
        <f t="shared" si="40"/>
        <v/>
      </c>
      <c r="N106" s="96" t="str">
        <f t="shared" si="40"/>
        <v/>
      </c>
      <c r="O106" s="426"/>
    </row>
    <row r="107" spans="2:15">
      <c r="B107" s="81" t="str">
        <f t="shared" si="37"/>
        <v>40G (LR4 subspec)</v>
      </c>
      <c r="C107" s="82" t="str">
        <f t="shared" si="37"/>
        <v>2 km</v>
      </c>
      <c r="D107" s="83" t="str">
        <f t="shared" si="37"/>
        <v>QSFP+</v>
      </c>
      <c r="E107" s="95">
        <f t="shared" si="29"/>
        <v>377.60055209491952</v>
      </c>
      <c r="F107" s="95">
        <f t="shared" ref="F107:N107" si="41">IF(F32=0,"",F182*10^6/F32)</f>
        <v>343.5254726908467</v>
      </c>
      <c r="G107" s="95">
        <f t="shared" si="35"/>
        <v>303.68617678545809</v>
      </c>
      <c r="H107" s="95" t="str">
        <f t="shared" si="41"/>
        <v/>
      </c>
      <c r="I107" s="95" t="str">
        <f t="shared" si="41"/>
        <v/>
      </c>
      <c r="J107" s="95" t="str">
        <f t="shared" si="41"/>
        <v/>
      </c>
      <c r="K107" s="95" t="str">
        <f t="shared" si="41"/>
        <v/>
      </c>
      <c r="L107" s="96" t="str">
        <f t="shared" si="41"/>
        <v/>
      </c>
      <c r="M107" s="96" t="str">
        <f t="shared" si="41"/>
        <v/>
      </c>
      <c r="N107" s="96" t="str">
        <f t="shared" si="41"/>
        <v/>
      </c>
      <c r="O107" s="426"/>
    </row>
    <row r="108" spans="2:15">
      <c r="B108" s="81" t="str">
        <f t="shared" si="37"/>
        <v>40G</v>
      </c>
      <c r="C108" s="82" t="str">
        <f t="shared" si="37"/>
        <v>10 km</v>
      </c>
      <c r="D108" s="83" t="str">
        <f t="shared" si="37"/>
        <v>CFP</v>
      </c>
      <c r="E108" s="95">
        <f t="shared" ref="E108:E113" si="42">IF(E33=0,"",E183*10^6/E33)</f>
        <v>1174.9655306999969</v>
      </c>
      <c r="F108" s="95">
        <f t="shared" ref="F108:N108" si="43">IF(F33=0,"",F183*10^6/F33)</f>
        <v>1350.8997571323105</v>
      </c>
      <c r="G108" s="95" t="str">
        <f t="shared" si="35"/>
        <v/>
      </c>
      <c r="H108" s="95" t="str">
        <f t="shared" si="43"/>
        <v/>
      </c>
      <c r="I108" s="95" t="str">
        <f t="shared" si="43"/>
        <v/>
      </c>
      <c r="J108" s="95" t="str">
        <f t="shared" si="43"/>
        <v/>
      </c>
      <c r="K108" s="95" t="str">
        <f t="shared" si="43"/>
        <v/>
      </c>
      <c r="L108" s="96" t="str">
        <f t="shared" si="43"/>
        <v/>
      </c>
      <c r="M108" s="96" t="str">
        <f t="shared" si="43"/>
        <v/>
      </c>
      <c r="N108" s="96" t="str">
        <f t="shared" si="43"/>
        <v/>
      </c>
      <c r="O108" s="426"/>
    </row>
    <row r="109" spans="2:15">
      <c r="B109" s="81" t="str">
        <f t="shared" si="37"/>
        <v>40G</v>
      </c>
      <c r="C109" s="82" t="str">
        <f t="shared" si="37"/>
        <v>10 km</v>
      </c>
      <c r="D109" s="83" t="str">
        <f t="shared" si="37"/>
        <v>QSFP+</v>
      </c>
      <c r="E109" s="95">
        <f t="shared" si="42"/>
        <v>427.72742888770347</v>
      </c>
      <c r="F109" s="95">
        <f t="shared" ref="F109:N109" si="44">IF(F34=0,"",F184*10^6/F34)</f>
        <v>401.36672508917627</v>
      </c>
      <c r="G109" s="95">
        <f t="shared" si="35"/>
        <v>361.77095787062291</v>
      </c>
      <c r="H109" s="95" t="str">
        <f t="shared" si="44"/>
        <v/>
      </c>
      <c r="I109" s="95" t="str">
        <f t="shared" si="44"/>
        <v/>
      </c>
      <c r="J109" s="95" t="str">
        <f t="shared" si="44"/>
        <v/>
      </c>
      <c r="K109" s="95" t="str">
        <f t="shared" si="44"/>
        <v/>
      </c>
      <c r="L109" s="96" t="str">
        <f t="shared" si="44"/>
        <v/>
      </c>
      <c r="M109" s="96" t="str">
        <f t="shared" si="44"/>
        <v/>
      </c>
      <c r="N109" s="96" t="str">
        <f t="shared" si="44"/>
        <v/>
      </c>
      <c r="O109" s="426"/>
    </row>
    <row r="110" spans="2:15">
      <c r="B110" s="77" t="str">
        <f t="shared" si="37"/>
        <v>40G</v>
      </c>
      <c r="C110" s="78" t="str">
        <f t="shared" si="37"/>
        <v>40 km</v>
      </c>
      <c r="D110" s="79" t="str">
        <f t="shared" si="37"/>
        <v>QSFP+</v>
      </c>
      <c r="E110" s="94">
        <f t="shared" si="42"/>
        <v>1673.0572324239708</v>
      </c>
      <c r="F110" s="94">
        <f t="shared" ref="F110:N110" si="45">IF(F35=0,"",F185*10^6/F35)</f>
        <v>1459.2330281290015</v>
      </c>
      <c r="G110" s="94">
        <f t="shared" si="35"/>
        <v>1255.0508268482483</v>
      </c>
      <c r="H110" s="94" t="str">
        <f t="shared" si="45"/>
        <v/>
      </c>
      <c r="I110" s="94" t="str">
        <f t="shared" si="45"/>
        <v/>
      </c>
      <c r="J110" s="94" t="str">
        <f t="shared" si="45"/>
        <v/>
      </c>
      <c r="K110" s="94" t="str">
        <f t="shared" si="45"/>
        <v/>
      </c>
      <c r="L110" s="365" t="str">
        <f t="shared" si="45"/>
        <v/>
      </c>
      <c r="M110" s="365" t="str">
        <f t="shared" si="45"/>
        <v/>
      </c>
      <c r="N110" s="365" t="str">
        <f t="shared" si="45"/>
        <v/>
      </c>
      <c r="O110" s="426"/>
    </row>
    <row r="111" spans="2:15">
      <c r="B111" s="73" t="str">
        <f t="shared" si="37"/>
        <v xml:space="preserve">50G </v>
      </c>
      <c r="C111" s="74" t="str">
        <f t="shared" si="37"/>
        <v>100 m</v>
      </c>
      <c r="D111" s="75" t="str">
        <f t="shared" si="37"/>
        <v>all</v>
      </c>
      <c r="E111" s="93" t="str">
        <f t="shared" si="42"/>
        <v/>
      </c>
      <c r="F111" s="93" t="str">
        <f t="shared" ref="F111:N111" si="46">IF(F36=0,"",F186*10^6/F36)</f>
        <v/>
      </c>
      <c r="G111" s="93" t="str">
        <f t="shared" si="35"/>
        <v/>
      </c>
      <c r="H111" s="93" t="str">
        <f t="shared" si="46"/>
        <v/>
      </c>
      <c r="I111" s="93" t="str">
        <f t="shared" si="46"/>
        <v/>
      </c>
      <c r="J111" s="93" t="str">
        <f t="shared" si="46"/>
        <v/>
      </c>
      <c r="K111" s="93" t="str">
        <f t="shared" si="46"/>
        <v/>
      </c>
      <c r="L111" s="279" t="str">
        <f t="shared" si="46"/>
        <v/>
      </c>
      <c r="M111" s="279" t="str">
        <f t="shared" si="46"/>
        <v/>
      </c>
      <c r="N111" s="279" t="str">
        <f t="shared" si="46"/>
        <v/>
      </c>
      <c r="O111" s="426"/>
    </row>
    <row r="112" spans="2:15">
      <c r="B112" s="81" t="str">
        <f t="shared" si="37"/>
        <v xml:space="preserve">50G </v>
      </c>
      <c r="C112" s="82" t="str">
        <f t="shared" si="37"/>
        <v>2 km</v>
      </c>
      <c r="D112" s="83" t="str">
        <f t="shared" si="37"/>
        <v>all</v>
      </c>
      <c r="E112" s="95" t="str">
        <f t="shared" si="42"/>
        <v/>
      </c>
      <c r="F112" s="95" t="str">
        <f t="shared" ref="F112:N112" si="47">IF(F37=0,"",F187*10^6/F37)</f>
        <v/>
      </c>
      <c r="G112" s="95" t="str">
        <f t="shared" si="35"/>
        <v/>
      </c>
      <c r="H112" s="95" t="str">
        <f t="shared" si="47"/>
        <v/>
      </c>
      <c r="I112" s="95" t="str">
        <f t="shared" si="47"/>
        <v/>
      </c>
      <c r="J112" s="95" t="str">
        <f t="shared" si="47"/>
        <v/>
      </c>
      <c r="K112" s="95" t="str">
        <f t="shared" si="47"/>
        <v/>
      </c>
      <c r="L112" s="96" t="str">
        <f t="shared" si="47"/>
        <v/>
      </c>
      <c r="M112" s="96" t="str">
        <f t="shared" si="47"/>
        <v/>
      </c>
      <c r="N112" s="96" t="str">
        <f t="shared" si="47"/>
        <v/>
      </c>
      <c r="O112" s="426"/>
    </row>
    <row r="113" spans="2:15">
      <c r="B113" s="81" t="str">
        <f t="shared" si="37"/>
        <v xml:space="preserve">50G </v>
      </c>
      <c r="C113" s="82" t="str">
        <f t="shared" si="37"/>
        <v>10 km</v>
      </c>
      <c r="D113" s="83" t="str">
        <f t="shared" si="37"/>
        <v>all</v>
      </c>
      <c r="E113" s="95" t="str">
        <f t="shared" si="42"/>
        <v/>
      </c>
      <c r="F113" s="95" t="str">
        <f t="shared" ref="F113:N113" si="48">IF(F38=0,"",F188*10^6/F38)</f>
        <v/>
      </c>
      <c r="G113" s="95" t="str">
        <f t="shared" si="35"/>
        <v/>
      </c>
      <c r="H113" s="95" t="str">
        <f t="shared" si="48"/>
        <v/>
      </c>
      <c r="I113" s="95" t="str">
        <f t="shared" si="48"/>
        <v/>
      </c>
      <c r="J113" s="95" t="str">
        <f t="shared" si="48"/>
        <v/>
      </c>
      <c r="K113" s="95" t="str">
        <f t="shared" si="48"/>
        <v/>
      </c>
      <c r="L113" s="96" t="str">
        <f t="shared" si="48"/>
        <v/>
      </c>
      <c r="M113" s="96" t="str">
        <f t="shared" si="48"/>
        <v/>
      </c>
      <c r="N113" s="96" t="str">
        <f t="shared" si="48"/>
        <v/>
      </c>
      <c r="O113" s="426"/>
    </row>
    <row r="114" spans="2:15">
      <c r="B114" s="81" t="str">
        <f t="shared" si="37"/>
        <v xml:space="preserve">50G </v>
      </c>
      <c r="C114" s="82" t="str">
        <f t="shared" si="37"/>
        <v>40 km</v>
      </c>
      <c r="D114" s="83" t="str">
        <f t="shared" si="37"/>
        <v>all</v>
      </c>
      <c r="E114" s="95"/>
      <c r="F114" s="95"/>
      <c r="G114" s="95" t="str">
        <f t="shared" si="35"/>
        <v/>
      </c>
      <c r="H114" s="95" t="str">
        <f t="shared" ref="F114:N123" si="49">IF(H39=0,"",H189*10^6/H39)</f>
        <v/>
      </c>
      <c r="I114" s="95" t="str">
        <f t="shared" si="49"/>
        <v/>
      </c>
      <c r="J114" s="95" t="str">
        <f t="shared" si="49"/>
        <v/>
      </c>
      <c r="K114" s="95" t="str">
        <f t="shared" si="49"/>
        <v/>
      </c>
      <c r="L114" s="96" t="str">
        <f t="shared" si="49"/>
        <v/>
      </c>
      <c r="M114" s="96" t="str">
        <f t="shared" si="49"/>
        <v/>
      </c>
      <c r="N114" s="96" t="str">
        <f t="shared" si="49"/>
        <v/>
      </c>
      <c r="O114" s="426"/>
    </row>
    <row r="115" spans="2:15">
      <c r="B115" s="81" t="str">
        <f t="shared" si="37"/>
        <v xml:space="preserve">50G </v>
      </c>
      <c r="C115" s="82" t="str">
        <f t="shared" si="37"/>
        <v>80 km</v>
      </c>
      <c r="D115" s="83" t="str">
        <f t="shared" si="37"/>
        <v>all</v>
      </c>
      <c r="E115" s="95"/>
      <c r="F115" s="95"/>
      <c r="G115" s="95" t="str">
        <f t="shared" si="35"/>
        <v/>
      </c>
      <c r="H115" s="95" t="str">
        <f t="shared" si="49"/>
        <v/>
      </c>
      <c r="I115" s="95" t="str">
        <f t="shared" si="49"/>
        <v/>
      </c>
      <c r="J115" s="95" t="str">
        <f t="shared" si="49"/>
        <v/>
      </c>
      <c r="K115" s="95" t="str">
        <f t="shared" si="49"/>
        <v/>
      </c>
      <c r="L115" s="96" t="str">
        <f t="shared" si="49"/>
        <v/>
      </c>
      <c r="M115" s="96" t="str">
        <f t="shared" si="49"/>
        <v/>
      </c>
      <c r="N115" s="96" t="str">
        <f t="shared" si="49"/>
        <v/>
      </c>
      <c r="O115" s="426"/>
    </row>
    <row r="116" spans="2:15">
      <c r="B116" s="73" t="str">
        <f t="shared" si="37"/>
        <v>100G SR4</v>
      </c>
      <c r="C116" s="74" t="str">
        <f t="shared" si="37"/>
        <v>100 m</v>
      </c>
      <c r="D116" s="75" t="str">
        <f t="shared" si="37"/>
        <v>CFP</v>
      </c>
      <c r="E116" s="93">
        <f t="shared" ref="E116:F118" si="50">IF(E41=0,"",E191*10^6/E41)</f>
        <v>1422.7039686825053</v>
      </c>
      <c r="F116" s="93">
        <f t="shared" si="50"/>
        <v>1273.3986691740201</v>
      </c>
      <c r="G116" s="93">
        <f t="shared" si="35"/>
        <v>1018.9069493521796</v>
      </c>
      <c r="H116" s="93" t="str">
        <f t="shared" si="49"/>
        <v/>
      </c>
      <c r="I116" s="93" t="str">
        <f t="shared" si="49"/>
        <v/>
      </c>
      <c r="J116" s="93" t="str">
        <f t="shared" si="49"/>
        <v/>
      </c>
      <c r="K116" s="93" t="str">
        <f t="shared" si="49"/>
        <v/>
      </c>
      <c r="L116" s="279" t="str">
        <f t="shared" si="49"/>
        <v/>
      </c>
      <c r="M116" s="279" t="str">
        <f t="shared" si="49"/>
        <v/>
      </c>
      <c r="N116" s="279" t="str">
        <f t="shared" si="49"/>
        <v/>
      </c>
      <c r="O116" s="426"/>
    </row>
    <row r="117" spans="2:15">
      <c r="B117" s="81" t="str">
        <f t="shared" si="37"/>
        <v>100G SR4</v>
      </c>
      <c r="C117" s="82" t="str">
        <f t="shared" si="37"/>
        <v>100 m</v>
      </c>
      <c r="D117" s="83" t="str">
        <f t="shared" si="37"/>
        <v>CFP2/4</v>
      </c>
      <c r="E117" s="95">
        <f t="shared" si="50"/>
        <v>1204.7629951912068</v>
      </c>
      <c r="F117" s="95">
        <f t="shared" si="50"/>
        <v>1092.608197443808</v>
      </c>
      <c r="G117" s="95">
        <f t="shared" si="35"/>
        <v>1004.0468400000002</v>
      </c>
      <c r="H117" s="95" t="str">
        <f t="shared" si="49"/>
        <v/>
      </c>
      <c r="I117" s="95" t="str">
        <f t="shared" si="49"/>
        <v/>
      </c>
      <c r="J117" s="95" t="str">
        <f t="shared" si="49"/>
        <v/>
      </c>
      <c r="K117" s="95" t="str">
        <f t="shared" si="49"/>
        <v/>
      </c>
      <c r="L117" s="96" t="str">
        <f t="shared" si="49"/>
        <v/>
      </c>
      <c r="M117" s="96" t="str">
        <f t="shared" si="49"/>
        <v/>
      </c>
      <c r="N117" s="96" t="str">
        <f t="shared" si="49"/>
        <v/>
      </c>
      <c r="O117" s="426"/>
    </row>
    <row r="118" spans="2:15">
      <c r="B118" s="81" t="str">
        <f t="shared" si="37"/>
        <v>100G SR4</v>
      </c>
      <c r="C118" s="82" t="str">
        <f t="shared" si="37"/>
        <v>100 m</v>
      </c>
      <c r="D118" s="83" t="str">
        <f t="shared" si="37"/>
        <v>QSFP28</v>
      </c>
      <c r="E118" s="95">
        <f t="shared" si="50"/>
        <v>258.09426618771823</v>
      </c>
      <c r="F118" s="95">
        <f t="shared" si="50"/>
        <v>182.02277386466108</v>
      </c>
      <c r="G118" s="95">
        <f t="shared" si="35"/>
        <v>113.54682982085136</v>
      </c>
      <c r="H118" s="95" t="str">
        <f t="shared" si="49"/>
        <v/>
      </c>
      <c r="I118" s="95" t="str">
        <f t="shared" si="49"/>
        <v/>
      </c>
      <c r="J118" s="95" t="str">
        <f t="shared" si="49"/>
        <v/>
      </c>
      <c r="K118" s="95" t="str">
        <f t="shared" si="49"/>
        <v/>
      </c>
      <c r="L118" s="96" t="str">
        <f t="shared" si="49"/>
        <v/>
      </c>
      <c r="M118" s="96" t="str">
        <f t="shared" si="49"/>
        <v/>
      </c>
      <c r="N118" s="96" t="str">
        <f t="shared" si="49"/>
        <v/>
      </c>
      <c r="O118" s="426"/>
    </row>
    <row r="119" spans="2:15">
      <c r="B119" s="81" t="str">
        <f t="shared" si="37"/>
        <v>100G SR2</v>
      </c>
      <c r="C119" s="82" t="str">
        <f t="shared" si="37"/>
        <v>100 m</v>
      </c>
      <c r="D119" s="83" t="str">
        <f t="shared" si="37"/>
        <v>All</v>
      </c>
      <c r="E119" s="95" t="str">
        <f t="shared" ref="E119:F123" si="51">IF(E44=0,"",E194*10^6/E44)</f>
        <v/>
      </c>
      <c r="F119" s="95" t="str">
        <f t="shared" si="51"/>
        <v/>
      </c>
      <c r="G119" s="95" t="str">
        <f t="shared" si="35"/>
        <v/>
      </c>
      <c r="H119" s="95" t="str">
        <f t="shared" si="49"/>
        <v/>
      </c>
      <c r="I119" s="95" t="str">
        <f t="shared" si="49"/>
        <v/>
      </c>
      <c r="J119" s="95" t="str">
        <f t="shared" si="49"/>
        <v/>
      </c>
      <c r="K119" s="95" t="str">
        <f t="shared" si="49"/>
        <v/>
      </c>
      <c r="L119" s="96" t="str">
        <f t="shared" si="49"/>
        <v/>
      </c>
      <c r="M119" s="96" t="str">
        <f t="shared" si="49"/>
        <v/>
      </c>
      <c r="N119" s="96" t="str">
        <f t="shared" si="49"/>
        <v/>
      </c>
      <c r="O119" s="426"/>
    </row>
    <row r="120" spans="2:15">
      <c r="B120" s="81" t="str">
        <f t="shared" si="37"/>
        <v>100G MM Duplex</v>
      </c>
      <c r="C120" s="82" t="str">
        <f t="shared" si="37"/>
        <v>100 - 300 m</v>
      </c>
      <c r="D120" s="83" t="str">
        <f t="shared" si="37"/>
        <v>QSFP28</v>
      </c>
      <c r="E120" s="95" t="str">
        <f t="shared" si="51"/>
        <v/>
      </c>
      <c r="F120" s="95"/>
      <c r="G120" s="95">
        <f t="shared" si="49"/>
        <v>170</v>
      </c>
      <c r="H120" s="95" t="str">
        <f t="shared" si="49"/>
        <v/>
      </c>
      <c r="I120" s="95" t="str">
        <f t="shared" si="49"/>
        <v/>
      </c>
      <c r="J120" s="95" t="str">
        <f t="shared" si="49"/>
        <v/>
      </c>
      <c r="K120" s="95" t="str">
        <f t="shared" si="49"/>
        <v/>
      </c>
      <c r="L120" s="95" t="str">
        <f t="shared" si="49"/>
        <v/>
      </c>
      <c r="M120" s="95" t="str">
        <f t="shared" si="49"/>
        <v/>
      </c>
      <c r="N120" s="95" t="str">
        <f t="shared" si="49"/>
        <v/>
      </c>
      <c r="O120" s="426"/>
    </row>
    <row r="121" spans="2:15">
      <c r="B121" s="81" t="str">
        <f t="shared" si="37"/>
        <v>100G eSR4</v>
      </c>
      <c r="C121" s="82" t="str">
        <f t="shared" si="37"/>
        <v>300 m</v>
      </c>
      <c r="D121" s="83" t="str">
        <f t="shared" si="37"/>
        <v>QSFP28</v>
      </c>
      <c r="E121" s="95" t="str">
        <f t="shared" si="51"/>
        <v/>
      </c>
      <c r="F121" s="95" t="str">
        <f t="shared" si="51"/>
        <v/>
      </c>
      <c r="G121" s="95">
        <f t="shared" si="35"/>
        <v>170</v>
      </c>
      <c r="H121" s="95" t="str">
        <f t="shared" si="49"/>
        <v/>
      </c>
      <c r="I121" s="95" t="str">
        <f t="shared" si="49"/>
        <v/>
      </c>
      <c r="J121" s="95" t="str">
        <f t="shared" si="49"/>
        <v/>
      </c>
      <c r="K121" s="95" t="str">
        <f t="shared" si="49"/>
        <v/>
      </c>
      <c r="L121" s="96" t="str">
        <f t="shared" si="49"/>
        <v/>
      </c>
      <c r="M121" s="96" t="str">
        <f t="shared" si="49"/>
        <v/>
      </c>
      <c r="N121" s="96" t="str">
        <f t="shared" si="49"/>
        <v/>
      </c>
      <c r="O121" s="426"/>
    </row>
    <row r="122" spans="2:15">
      <c r="B122" s="81" t="str">
        <f t="shared" si="37"/>
        <v>100G PSM4</v>
      </c>
      <c r="C122" s="82" t="str">
        <f t="shared" si="37"/>
        <v>500 m</v>
      </c>
      <c r="D122" s="83" t="str">
        <f t="shared" si="37"/>
        <v>QSFP28</v>
      </c>
      <c r="E122" s="95">
        <f t="shared" si="51"/>
        <v>337.41687156790022</v>
      </c>
      <c r="F122" s="95">
        <f t="shared" si="51"/>
        <v>222.65569307558187</v>
      </c>
      <c r="G122" s="95">
        <f t="shared" si="35"/>
        <v>188.02033788894266</v>
      </c>
      <c r="H122" s="95" t="str">
        <f t="shared" si="49"/>
        <v/>
      </c>
      <c r="I122" s="95" t="str">
        <f t="shared" si="49"/>
        <v/>
      </c>
      <c r="J122" s="95" t="str">
        <f t="shared" si="49"/>
        <v/>
      </c>
      <c r="K122" s="95" t="str">
        <f t="shared" si="49"/>
        <v/>
      </c>
      <c r="L122" s="96" t="str">
        <f t="shared" si="49"/>
        <v/>
      </c>
      <c r="M122" s="96" t="str">
        <f t="shared" si="49"/>
        <v/>
      </c>
      <c r="N122" s="96" t="str">
        <f t="shared" si="49"/>
        <v/>
      </c>
      <c r="O122" s="426"/>
    </row>
    <row r="123" spans="2:15">
      <c r="B123" s="81" t="str">
        <f t="shared" si="37"/>
        <v>100G DR</v>
      </c>
      <c r="C123" s="82" t="str">
        <f t="shared" si="37"/>
        <v>500 m</v>
      </c>
      <c r="D123" s="83" t="str">
        <f t="shared" si="37"/>
        <v>QSFP28</v>
      </c>
      <c r="E123" s="95" t="str">
        <f t="shared" si="51"/>
        <v/>
      </c>
      <c r="F123" s="95" t="str">
        <f t="shared" si="51"/>
        <v/>
      </c>
      <c r="G123" s="95">
        <f t="shared" si="35"/>
        <v>400</v>
      </c>
      <c r="H123" s="95" t="str">
        <f t="shared" si="49"/>
        <v/>
      </c>
      <c r="I123" s="95" t="str">
        <f t="shared" si="49"/>
        <v/>
      </c>
      <c r="J123" s="95" t="str">
        <f t="shared" si="49"/>
        <v/>
      </c>
      <c r="K123" s="95" t="str">
        <f t="shared" si="49"/>
        <v/>
      </c>
      <c r="L123" s="96" t="str">
        <f t="shared" si="49"/>
        <v/>
      </c>
      <c r="M123" s="96" t="str">
        <f t="shared" si="49"/>
        <v/>
      </c>
      <c r="N123" s="96" t="str">
        <f t="shared" si="49"/>
        <v/>
      </c>
      <c r="O123" s="426"/>
    </row>
    <row r="124" spans="2:15">
      <c r="B124" s="81" t="str">
        <f t="shared" ref="B124:D141" si="52">B49</f>
        <v>100G CWDM4-subspec</v>
      </c>
      <c r="C124" s="82" t="str">
        <f t="shared" si="52"/>
        <v>500 m</v>
      </c>
      <c r="D124" s="83" t="str">
        <f t="shared" si="52"/>
        <v>QSFP28</v>
      </c>
      <c r="E124" s="95">
        <f t="shared" ref="E124:G139" si="53">IF(E49=0,"",E199*10^6/E49)</f>
        <v>625</v>
      </c>
      <c r="F124" s="95">
        <f t="shared" si="53"/>
        <v>450</v>
      </c>
      <c r="G124" s="95">
        <f t="shared" si="35"/>
        <v>280</v>
      </c>
      <c r="H124" s="95" t="str">
        <f t="shared" ref="H124:N132" si="54">IF(H49=0,"",H199*10^6/H49)</f>
        <v/>
      </c>
      <c r="I124" s="95" t="str">
        <f t="shared" si="54"/>
        <v/>
      </c>
      <c r="J124" s="95" t="str">
        <f t="shared" si="54"/>
        <v/>
      </c>
      <c r="K124" s="95" t="str">
        <f t="shared" si="54"/>
        <v/>
      </c>
      <c r="L124" s="95" t="str">
        <f t="shared" si="54"/>
        <v/>
      </c>
      <c r="M124" s="95" t="str">
        <f t="shared" si="54"/>
        <v/>
      </c>
      <c r="N124" s="95" t="str">
        <f t="shared" si="54"/>
        <v/>
      </c>
      <c r="O124" s="426"/>
    </row>
    <row r="125" spans="2:15">
      <c r="B125" s="81" t="str">
        <f t="shared" si="52"/>
        <v>100G CWDM4</v>
      </c>
      <c r="C125" s="82" t="str">
        <f t="shared" si="52"/>
        <v>2 km</v>
      </c>
      <c r="D125" s="83" t="str">
        <f t="shared" si="52"/>
        <v>QSFP28</v>
      </c>
      <c r="E125" s="95">
        <f t="shared" si="53"/>
        <v>825</v>
      </c>
      <c r="F125" s="95">
        <f t="shared" si="53"/>
        <v>650</v>
      </c>
      <c r="G125" s="95">
        <f t="shared" si="35"/>
        <v>490</v>
      </c>
      <c r="H125" s="95" t="str">
        <f t="shared" si="54"/>
        <v/>
      </c>
      <c r="I125" s="95" t="str">
        <f t="shared" si="54"/>
        <v/>
      </c>
      <c r="J125" s="95" t="str">
        <f t="shared" si="54"/>
        <v/>
      </c>
      <c r="K125" s="95" t="str">
        <f t="shared" si="54"/>
        <v/>
      </c>
      <c r="L125" s="96" t="str">
        <f t="shared" si="54"/>
        <v/>
      </c>
      <c r="M125" s="96" t="str">
        <f t="shared" si="54"/>
        <v/>
      </c>
      <c r="N125" s="96" t="str">
        <f t="shared" si="54"/>
        <v/>
      </c>
      <c r="O125" s="426"/>
    </row>
    <row r="126" spans="2:15">
      <c r="B126" s="81" t="str">
        <f t="shared" si="52"/>
        <v>100G FR1</v>
      </c>
      <c r="C126" s="82" t="str">
        <f t="shared" si="52"/>
        <v>2 km</v>
      </c>
      <c r="D126" s="83" t="str">
        <f t="shared" si="52"/>
        <v>QSFP28</v>
      </c>
      <c r="E126" s="95" t="str">
        <f t="shared" si="53"/>
        <v/>
      </c>
      <c r="F126" s="95" t="str">
        <f t="shared" si="53"/>
        <v/>
      </c>
      <c r="G126" s="95" t="str">
        <f t="shared" si="35"/>
        <v/>
      </c>
      <c r="H126" s="95" t="str">
        <f t="shared" si="54"/>
        <v/>
      </c>
      <c r="I126" s="95" t="str">
        <f t="shared" si="54"/>
        <v/>
      </c>
      <c r="J126" s="95" t="str">
        <f t="shared" si="54"/>
        <v/>
      </c>
      <c r="K126" s="95" t="str">
        <f t="shared" si="54"/>
        <v/>
      </c>
      <c r="L126" s="96" t="str">
        <f t="shared" si="54"/>
        <v/>
      </c>
      <c r="M126" s="96" t="str">
        <f t="shared" si="54"/>
        <v/>
      </c>
      <c r="N126" s="96" t="str">
        <f t="shared" si="54"/>
        <v/>
      </c>
      <c r="O126" s="426"/>
    </row>
    <row r="127" spans="2:15">
      <c r="B127" s="81" t="str">
        <f t="shared" si="52"/>
        <v>100G LR4</v>
      </c>
      <c r="C127" s="82" t="str">
        <f t="shared" si="52"/>
        <v>10 km</v>
      </c>
      <c r="D127" s="83" t="str">
        <f t="shared" si="52"/>
        <v>CFP</v>
      </c>
      <c r="E127" s="95">
        <f t="shared" si="53"/>
        <v>3527.8709620331333</v>
      </c>
      <c r="F127" s="95">
        <f t="shared" si="53"/>
        <v>2768.0701132780364</v>
      </c>
      <c r="G127" s="95">
        <f t="shared" si="35"/>
        <v>2103.9330552211131</v>
      </c>
      <c r="H127" s="95" t="str">
        <f t="shared" si="54"/>
        <v/>
      </c>
      <c r="I127" s="95" t="str">
        <f t="shared" si="54"/>
        <v/>
      </c>
      <c r="J127" s="95" t="str">
        <f t="shared" si="54"/>
        <v/>
      </c>
      <c r="K127" s="95" t="str">
        <f t="shared" si="54"/>
        <v/>
      </c>
      <c r="L127" s="96" t="str">
        <f t="shared" si="54"/>
        <v/>
      </c>
      <c r="M127" s="96" t="str">
        <f t="shared" si="54"/>
        <v/>
      </c>
      <c r="N127" s="96" t="str">
        <f t="shared" si="54"/>
        <v/>
      </c>
      <c r="O127" s="426"/>
    </row>
    <row r="128" spans="2:15" ht="14.5" customHeight="1">
      <c r="B128" s="81" t="str">
        <f t="shared" si="52"/>
        <v>100G LR4</v>
      </c>
      <c r="C128" s="82" t="str">
        <f t="shared" si="52"/>
        <v>10 km</v>
      </c>
      <c r="D128" s="83" t="str">
        <f t="shared" si="52"/>
        <v>CFP2/4</v>
      </c>
      <c r="E128" s="95">
        <f t="shared" si="53"/>
        <v>2882.5268681316725</v>
      </c>
      <c r="F128" s="95">
        <f t="shared" si="53"/>
        <v>2140.3307221126156</v>
      </c>
      <c r="G128" s="95">
        <f t="shared" si="35"/>
        <v>1371.5324877705048</v>
      </c>
      <c r="H128" s="95" t="str">
        <f t="shared" si="54"/>
        <v/>
      </c>
      <c r="I128" s="95" t="str">
        <f t="shared" si="54"/>
        <v/>
      </c>
      <c r="J128" s="95" t="str">
        <f t="shared" si="54"/>
        <v/>
      </c>
      <c r="K128" s="95" t="str">
        <f t="shared" si="54"/>
        <v/>
      </c>
      <c r="L128" s="96" t="str">
        <f t="shared" si="54"/>
        <v/>
      </c>
      <c r="M128" s="96" t="str">
        <f t="shared" si="54"/>
        <v/>
      </c>
      <c r="N128" s="96" t="str">
        <f t="shared" si="54"/>
        <v/>
      </c>
      <c r="O128" s="426"/>
    </row>
    <row r="129" spans="2:15">
      <c r="B129" s="81" t="str">
        <f t="shared" si="52"/>
        <v>100G LR4 and LR1</v>
      </c>
      <c r="C129" s="82" t="str">
        <f t="shared" si="52"/>
        <v>10 km</v>
      </c>
      <c r="D129" s="83" t="str">
        <f t="shared" si="52"/>
        <v>QSFP28</v>
      </c>
      <c r="E129" s="95">
        <f t="shared" si="53"/>
        <v>1938.1501024552811</v>
      </c>
      <c r="F129" s="95">
        <f t="shared" si="53"/>
        <v>1200</v>
      </c>
      <c r="G129" s="95">
        <f t="shared" si="35"/>
        <v>833.83281288172873</v>
      </c>
      <c r="H129" s="95" t="str">
        <f t="shared" si="54"/>
        <v/>
      </c>
      <c r="I129" s="95" t="str">
        <f t="shared" si="54"/>
        <v/>
      </c>
      <c r="J129" s="95" t="str">
        <f t="shared" si="54"/>
        <v/>
      </c>
      <c r="K129" s="95" t="str">
        <f t="shared" si="54"/>
        <v/>
      </c>
      <c r="L129" s="96" t="str">
        <f t="shared" si="54"/>
        <v/>
      </c>
      <c r="M129" s="96" t="str">
        <f t="shared" si="54"/>
        <v/>
      </c>
      <c r="N129" s="96" t="str">
        <f t="shared" si="54"/>
        <v/>
      </c>
      <c r="O129" s="426"/>
    </row>
    <row r="130" spans="2:15">
      <c r="B130" s="81" t="str">
        <f t="shared" si="52"/>
        <v>100G 4WDM10</v>
      </c>
      <c r="C130" s="82" t="str">
        <f t="shared" si="52"/>
        <v>10 km</v>
      </c>
      <c r="D130" s="83" t="str">
        <f t="shared" si="52"/>
        <v>QSFP28</v>
      </c>
      <c r="E130" s="95" t="str">
        <f t="shared" si="53"/>
        <v/>
      </c>
      <c r="F130" s="95">
        <f t="shared" si="53"/>
        <v>500</v>
      </c>
      <c r="G130" s="95">
        <f t="shared" si="35"/>
        <v>300</v>
      </c>
      <c r="H130" s="95" t="str">
        <f t="shared" si="54"/>
        <v/>
      </c>
      <c r="I130" s="95" t="str">
        <f t="shared" si="54"/>
        <v/>
      </c>
      <c r="J130" s="95" t="str">
        <f t="shared" si="54"/>
        <v/>
      </c>
      <c r="K130" s="95" t="str">
        <f t="shared" si="54"/>
        <v/>
      </c>
      <c r="L130" s="96" t="str">
        <f t="shared" si="54"/>
        <v/>
      </c>
      <c r="M130" s="96" t="str">
        <f t="shared" si="54"/>
        <v/>
      </c>
      <c r="N130" s="96" t="str">
        <f t="shared" si="54"/>
        <v/>
      </c>
      <c r="O130" s="426"/>
    </row>
    <row r="131" spans="2:15">
      <c r="B131" s="81" t="str">
        <f t="shared" si="52"/>
        <v>100G 4WDM20</v>
      </c>
      <c r="C131" s="82" t="str">
        <f t="shared" si="52"/>
        <v>20 km</v>
      </c>
      <c r="D131" s="83" t="str">
        <f t="shared" si="52"/>
        <v>QSFP28</v>
      </c>
      <c r="E131" s="95" t="str">
        <f t="shared" si="53"/>
        <v/>
      </c>
      <c r="F131" s="95" t="str">
        <f t="shared" si="53"/>
        <v/>
      </c>
      <c r="G131" s="95" t="str">
        <f t="shared" si="35"/>
        <v/>
      </c>
      <c r="H131" s="95" t="str">
        <f t="shared" si="54"/>
        <v/>
      </c>
      <c r="I131" s="95" t="str">
        <f t="shared" si="54"/>
        <v/>
      </c>
      <c r="J131" s="95" t="str">
        <f t="shared" si="54"/>
        <v/>
      </c>
      <c r="K131" s="95" t="str">
        <f t="shared" si="54"/>
        <v/>
      </c>
      <c r="L131" s="96" t="str">
        <f t="shared" si="54"/>
        <v/>
      </c>
      <c r="M131" s="96" t="str">
        <f t="shared" si="54"/>
        <v/>
      </c>
      <c r="N131" s="96" t="str">
        <f t="shared" si="54"/>
        <v/>
      </c>
      <c r="O131" s="426"/>
    </row>
    <row r="132" spans="2:15">
      <c r="B132" s="77" t="str">
        <f t="shared" si="52"/>
        <v>100G ER4, ER4-Lite</v>
      </c>
      <c r="C132" s="78" t="str">
        <f t="shared" si="52"/>
        <v>40 km</v>
      </c>
      <c r="D132" s="79" t="str">
        <f t="shared" si="52"/>
        <v>QSFP28</v>
      </c>
      <c r="E132" s="94">
        <f t="shared" si="53"/>
        <v>8992.3605424008583</v>
      </c>
      <c r="F132" s="94">
        <f t="shared" si="53"/>
        <v>6042.927196558162</v>
      </c>
      <c r="G132" s="94">
        <f t="shared" si="53"/>
        <v>3963.8865151935943</v>
      </c>
      <c r="H132" s="94" t="str">
        <f t="shared" si="54"/>
        <v/>
      </c>
      <c r="I132" s="94" t="str">
        <f t="shared" si="54"/>
        <v/>
      </c>
      <c r="J132" s="94" t="str">
        <f t="shared" si="54"/>
        <v/>
      </c>
      <c r="K132" s="94" t="str">
        <f t="shared" si="54"/>
        <v/>
      </c>
      <c r="L132" s="365" t="str">
        <f t="shared" si="54"/>
        <v/>
      </c>
      <c r="M132" s="365" t="str">
        <f t="shared" si="54"/>
        <v/>
      </c>
      <c r="N132" s="365" t="str">
        <f t="shared" si="54"/>
        <v/>
      </c>
      <c r="O132" s="426"/>
    </row>
    <row r="133" spans="2:15">
      <c r="B133" s="167" t="str">
        <f t="shared" si="52"/>
        <v>200G SR4</v>
      </c>
      <c r="C133" s="163" t="str">
        <f t="shared" si="52"/>
        <v>100 m</v>
      </c>
      <c r="D133" s="162" t="str">
        <f t="shared" si="52"/>
        <v>QSFP56</v>
      </c>
      <c r="E133" s="93"/>
      <c r="F133" s="93"/>
      <c r="G133" s="93">
        <f t="shared" si="53"/>
        <v>700</v>
      </c>
      <c r="H133" s="93" t="str">
        <f t="shared" ref="H133:N140" si="55">IF(H58=0,"",H208*10^6/H58)</f>
        <v/>
      </c>
      <c r="I133" s="93" t="str">
        <f t="shared" si="55"/>
        <v/>
      </c>
      <c r="J133" s="93" t="str">
        <f t="shared" si="55"/>
        <v/>
      </c>
      <c r="K133" s="93" t="str">
        <f t="shared" si="55"/>
        <v/>
      </c>
      <c r="L133" s="93" t="str">
        <f t="shared" si="55"/>
        <v/>
      </c>
      <c r="M133" s="93" t="str">
        <f t="shared" si="55"/>
        <v/>
      </c>
      <c r="N133" s="93" t="str">
        <f t="shared" si="55"/>
        <v/>
      </c>
      <c r="O133" s="426"/>
    </row>
    <row r="134" spans="2:15">
      <c r="B134" s="48" t="str">
        <f t="shared" si="52"/>
        <v>2x200 (400G-SR8)</v>
      </c>
      <c r="C134" s="49" t="str">
        <f t="shared" si="52"/>
        <v>100 m</v>
      </c>
      <c r="D134" s="50" t="str">
        <f t="shared" si="52"/>
        <v>OSFP, QSFP-DD</v>
      </c>
      <c r="E134" s="95"/>
      <c r="F134" s="95"/>
      <c r="G134" s="95">
        <f t="shared" si="53"/>
        <v>644</v>
      </c>
      <c r="H134" s="95" t="str">
        <f t="shared" si="55"/>
        <v/>
      </c>
      <c r="I134" s="95" t="str">
        <f t="shared" si="55"/>
        <v/>
      </c>
      <c r="J134" s="95" t="str">
        <f t="shared" si="55"/>
        <v/>
      </c>
      <c r="K134" s="95" t="str">
        <f t="shared" si="55"/>
        <v/>
      </c>
      <c r="L134" s="95" t="str">
        <f t="shared" si="55"/>
        <v/>
      </c>
      <c r="M134" s="95" t="str">
        <f t="shared" si="55"/>
        <v/>
      </c>
      <c r="N134" s="95" t="str">
        <f t="shared" si="55"/>
        <v/>
      </c>
      <c r="O134" s="426"/>
    </row>
    <row r="135" spans="2:15">
      <c r="B135" s="48" t="str">
        <f t="shared" si="52"/>
        <v>200G FR4</v>
      </c>
      <c r="C135" s="49" t="str">
        <f t="shared" si="52"/>
        <v>2 km</v>
      </c>
      <c r="D135" s="50" t="str">
        <f t="shared" si="52"/>
        <v>QSFP56</v>
      </c>
      <c r="E135" s="95"/>
      <c r="F135" s="95"/>
      <c r="G135" s="95">
        <f t="shared" si="53"/>
        <v>1500</v>
      </c>
      <c r="H135" s="95" t="str">
        <f t="shared" si="55"/>
        <v/>
      </c>
      <c r="I135" s="95" t="str">
        <f t="shared" si="55"/>
        <v/>
      </c>
      <c r="J135" s="95" t="str">
        <f t="shared" si="55"/>
        <v/>
      </c>
      <c r="K135" s="95" t="str">
        <f t="shared" si="55"/>
        <v/>
      </c>
      <c r="L135" s="95" t="str">
        <f t="shared" si="55"/>
        <v/>
      </c>
      <c r="M135" s="95" t="str">
        <f t="shared" si="55"/>
        <v/>
      </c>
      <c r="N135" s="95" t="str">
        <f t="shared" si="55"/>
        <v/>
      </c>
      <c r="O135" s="426"/>
    </row>
    <row r="136" spans="2:15">
      <c r="B136" s="51" t="str">
        <f t="shared" si="52"/>
        <v>2x(200G FR4)</v>
      </c>
      <c r="C136" s="52" t="str">
        <f t="shared" si="52"/>
        <v>2 km</v>
      </c>
      <c r="D136" s="53" t="str">
        <f t="shared" si="52"/>
        <v>OSFP</v>
      </c>
      <c r="E136" s="94"/>
      <c r="F136" s="94"/>
      <c r="G136" s="94">
        <f t="shared" si="53"/>
        <v>1850</v>
      </c>
      <c r="H136" s="94" t="str">
        <f t="shared" si="55"/>
        <v/>
      </c>
      <c r="I136" s="94" t="str">
        <f t="shared" si="55"/>
        <v/>
      </c>
      <c r="J136" s="94" t="str">
        <f t="shared" si="55"/>
        <v/>
      </c>
      <c r="K136" s="94" t="str">
        <f t="shared" si="55"/>
        <v/>
      </c>
      <c r="L136" s="94" t="str">
        <f t="shared" si="55"/>
        <v/>
      </c>
      <c r="M136" s="94" t="str">
        <f t="shared" si="55"/>
        <v/>
      </c>
      <c r="N136" s="94" t="str">
        <f t="shared" si="55"/>
        <v/>
      </c>
      <c r="O136" s="426"/>
    </row>
    <row r="137" spans="2:15">
      <c r="B137" s="167" t="str">
        <f t="shared" si="52"/>
        <v>400G SR4.2, SR4</v>
      </c>
      <c r="C137" s="163" t="str">
        <f t="shared" si="52"/>
        <v>100 m</v>
      </c>
      <c r="D137" s="162" t="str">
        <f t="shared" si="52"/>
        <v>OSFP, QSFP-DD, QSFP112</v>
      </c>
      <c r="E137" s="93"/>
      <c r="F137" s="93"/>
      <c r="G137" s="93" t="str">
        <f t="shared" si="53"/>
        <v/>
      </c>
      <c r="H137" s="93" t="str">
        <f>IF(H62=0,"",H212*10^6/H62)</f>
        <v/>
      </c>
      <c r="I137" s="93" t="str">
        <f t="shared" si="55"/>
        <v/>
      </c>
      <c r="J137" s="93" t="str">
        <f t="shared" si="55"/>
        <v/>
      </c>
      <c r="K137" s="93" t="str">
        <f t="shared" si="55"/>
        <v/>
      </c>
      <c r="L137" s="93" t="str">
        <f t="shared" si="55"/>
        <v/>
      </c>
      <c r="M137" s="93" t="str">
        <f t="shared" si="55"/>
        <v/>
      </c>
      <c r="N137" s="93" t="str">
        <f t="shared" si="55"/>
        <v/>
      </c>
      <c r="O137" s="426"/>
    </row>
    <row r="138" spans="2:15">
      <c r="B138" s="48" t="str">
        <f t="shared" si="52"/>
        <v>400G DR4</v>
      </c>
      <c r="C138" s="49" t="str">
        <f t="shared" si="52"/>
        <v>500 m</v>
      </c>
      <c r="D138" s="50" t="str">
        <f t="shared" si="52"/>
        <v>OSFP, QSFP-DD, QSFP112</v>
      </c>
      <c r="E138" s="95"/>
      <c r="F138" s="95"/>
      <c r="G138" s="95">
        <f t="shared" si="53"/>
        <v>1100</v>
      </c>
      <c r="H138" s="95" t="str">
        <f t="shared" si="55"/>
        <v/>
      </c>
      <c r="I138" s="95" t="str">
        <f t="shared" si="55"/>
        <v/>
      </c>
      <c r="J138" s="95" t="str">
        <f t="shared" si="55"/>
        <v/>
      </c>
      <c r="K138" s="95" t="str">
        <f t="shared" si="55"/>
        <v/>
      </c>
      <c r="L138" s="95" t="str">
        <f t="shared" si="55"/>
        <v/>
      </c>
      <c r="M138" s="95" t="str">
        <f t="shared" si="55"/>
        <v/>
      </c>
      <c r="N138" s="95" t="str">
        <f t="shared" si="55"/>
        <v/>
      </c>
      <c r="O138" s="426"/>
    </row>
    <row r="139" spans="2:15">
      <c r="B139" s="48" t="str">
        <f t="shared" si="52"/>
        <v>400G FR4</v>
      </c>
      <c r="C139" s="49" t="str">
        <f t="shared" si="52"/>
        <v>2 km</v>
      </c>
      <c r="D139" s="50" t="str">
        <f t="shared" si="52"/>
        <v>OSFP, QSFP-DD, QSFP112</v>
      </c>
      <c r="E139" s="95"/>
      <c r="F139" s="95">
        <f>IF(F64=0,"",F214*10^6/F64)</f>
        <v>11614.285714285714</v>
      </c>
      <c r="G139" s="95">
        <f t="shared" si="53"/>
        <v>2000</v>
      </c>
      <c r="H139" s="95" t="str">
        <f t="shared" si="55"/>
        <v/>
      </c>
      <c r="I139" s="95" t="str">
        <f t="shared" si="55"/>
        <v/>
      </c>
      <c r="J139" s="95" t="str">
        <f t="shared" si="55"/>
        <v/>
      </c>
      <c r="K139" s="95" t="str">
        <f t="shared" si="55"/>
        <v/>
      </c>
      <c r="L139" s="95" t="str">
        <f t="shared" si="55"/>
        <v/>
      </c>
      <c r="M139" s="95" t="str">
        <f t="shared" si="55"/>
        <v/>
      </c>
      <c r="N139" s="95" t="str">
        <f t="shared" si="55"/>
        <v/>
      </c>
      <c r="O139" s="426"/>
    </row>
    <row r="140" spans="2:15">
      <c r="B140" s="51" t="str">
        <f t="shared" si="52"/>
        <v>400G LR4, LR8</v>
      </c>
      <c r="C140" s="52" t="str">
        <f t="shared" si="52"/>
        <v>10 km</v>
      </c>
      <c r="D140" s="53" t="str">
        <f t="shared" si="52"/>
        <v>OSFP, QSFP-DD, QSFP112</v>
      </c>
      <c r="E140" s="94"/>
      <c r="F140" s="94">
        <f>IF(F65=0,"",F215*10^6/F65)</f>
        <v>15451.219512195123</v>
      </c>
      <c r="G140" s="94">
        <f>IF(G65=0,"",G215*10^6/G65)</f>
        <v>8000</v>
      </c>
      <c r="H140" s="94" t="str">
        <f t="shared" si="55"/>
        <v/>
      </c>
      <c r="I140" s="94" t="str">
        <f t="shared" si="55"/>
        <v/>
      </c>
      <c r="J140" s="94" t="str">
        <f t="shared" si="55"/>
        <v/>
      </c>
      <c r="K140" s="94" t="str">
        <f t="shared" si="55"/>
        <v/>
      </c>
      <c r="L140" s="94" t="str">
        <f t="shared" si="55"/>
        <v/>
      </c>
      <c r="M140" s="94" t="str">
        <f t="shared" si="55"/>
        <v/>
      </c>
      <c r="N140" s="94" t="str">
        <f t="shared" si="55"/>
        <v/>
      </c>
      <c r="O140" s="426"/>
    </row>
    <row r="141" spans="2:15">
      <c r="B141" s="167" t="str">
        <f t="shared" si="52"/>
        <v>800G SR8</v>
      </c>
      <c r="C141" s="163" t="str">
        <f t="shared" si="52"/>
        <v>50 m</v>
      </c>
      <c r="D141" s="162" t="str">
        <f t="shared" si="52"/>
        <v>OSFP, QSFP-DD800</v>
      </c>
      <c r="E141" s="93"/>
      <c r="F141" s="93"/>
      <c r="G141" s="93" t="str">
        <f>IF(G66=0,"",G216*10^6/G66)</f>
        <v/>
      </c>
      <c r="H141" s="93" t="str">
        <f t="shared" ref="H141:N141" si="56">IF(H66=0,"",H216*10^6/H66)</f>
        <v/>
      </c>
      <c r="I141" s="93" t="str">
        <f t="shared" si="56"/>
        <v/>
      </c>
      <c r="J141" s="93" t="str">
        <f t="shared" si="56"/>
        <v/>
      </c>
      <c r="K141" s="93" t="str">
        <f t="shared" si="56"/>
        <v/>
      </c>
      <c r="L141" s="93" t="str">
        <f t="shared" si="56"/>
        <v/>
      </c>
      <c r="M141" s="93" t="str">
        <f t="shared" si="56"/>
        <v/>
      </c>
      <c r="N141" s="93" t="str">
        <f t="shared" si="56"/>
        <v/>
      </c>
      <c r="O141" s="426"/>
    </row>
    <row r="142" spans="2:15">
      <c r="B142" s="48" t="str">
        <f t="shared" ref="B142:D143" si="57">B67</f>
        <v>800G PSM8</v>
      </c>
      <c r="C142" s="49" t="str">
        <f t="shared" si="57"/>
        <v>500 m</v>
      </c>
      <c r="D142" s="50" t="str">
        <f t="shared" si="57"/>
        <v>OSFP, QSFP-DD800</v>
      </c>
      <c r="E142" s="95"/>
      <c r="F142" s="95"/>
      <c r="G142" s="95" t="str">
        <f>IF(G67=0,"",G217*10^6/G67)</f>
        <v/>
      </c>
      <c r="H142" s="95" t="str">
        <f t="shared" ref="H142:N142" si="58">IF(H67=0,"",H217*10^6/H67)</f>
        <v/>
      </c>
      <c r="I142" s="95" t="str">
        <f t="shared" si="58"/>
        <v/>
      </c>
      <c r="J142" s="95" t="str">
        <f t="shared" si="58"/>
        <v/>
      </c>
      <c r="K142" s="95" t="str">
        <f t="shared" si="58"/>
        <v/>
      </c>
      <c r="L142" s="95" t="str">
        <f t="shared" si="58"/>
        <v/>
      </c>
      <c r="M142" s="95" t="str">
        <f>IF(M67=0,"",M217*10^6/M67)</f>
        <v/>
      </c>
      <c r="N142" s="95" t="str">
        <f t="shared" si="58"/>
        <v/>
      </c>
      <c r="O142" s="426"/>
    </row>
    <row r="143" spans="2:15">
      <c r="B143" s="48" t="str">
        <f t="shared" si="57"/>
        <v>2x(400G FR4)</v>
      </c>
      <c r="C143" s="49" t="str">
        <f t="shared" si="57"/>
        <v>2 km</v>
      </c>
      <c r="D143" s="50" t="str">
        <f t="shared" si="57"/>
        <v>OSFP, QSFP-DD800</v>
      </c>
      <c r="E143" s="95"/>
      <c r="F143" s="95"/>
      <c r="G143" s="95" t="str">
        <f>IF(G68=0,"",G218*10^6/G68)</f>
        <v/>
      </c>
      <c r="H143" s="95" t="str">
        <f t="shared" ref="H143:N143" si="59">IF(H68=0,"",H218*10^6/H68)</f>
        <v/>
      </c>
      <c r="I143" s="95" t="str">
        <f t="shared" si="59"/>
        <v/>
      </c>
      <c r="J143" s="95" t="str">
        <f t="shared" si="59"/>
        <v/>
      </c>
      <c r="K143" s="95" t="str">
        <f t="shared" si="59"/>
        <v/>
      </c>
      <c r="L143" s="95" t="str">
        <f t="shared" si="59"/>
        <v/>
      </c>
      <c r="M143" s="95" t="str">
        <f t="shared" si="59"/>
        <v/>
      </c>
      <c r="N143" s="95" t="str">
        <f t="shared" si="59"/>
        <v/>
      </c>
      <c r="O143" s="426"/>
    </row>
    <row r="144" spans="2:15">
      <c r="B144" s="51"/>
      <c r="C144" s="52"/>
      <c r="D144" s="53"/>
      <c r="E144" s="94"/>
      <c r="F144" s="94"/>
      <c r="G144" s="95" t="str">
        <f>IF(G69=0,"",G219*10^6/G69)</f>
        <v/>
      </c>
      <c r="H144" s="94"/>
      <c r="I144" s="94"/>
      <c r="J144" s="94"/>
      <c r="K144" s="94"/>
      <c r="L144" s="94"/>
      <c r="M144" s="94"/>
      <c r="N144" s="94"/>
      <c r="O144" s="426"/>
    </row>
    <row r="145" spans="2:15">
      <c r="B145" s="41" t="s">
        <v>20</v>
      </c>
      <c r="C145" s="42"/>
      <c r="D145" s="43"/>
      <c r="E145" s="98">
        <f t="shared" ref="E145:N145" si="60">IF(E70=0,"",E220*10^6/E70)</f>
        <v>73.767871595379773</v>
      </c>
      <c r="F145" s="98">
        <f t="shared" si="60"/>
        <v>83.412492366205967</v>
      </c>
      <c r="G145" s="98">
        <f t="shared" si="60"/>
        <v>73.582527352841566</v>
      </c>
      <c r="H145" s="98" t="str">
        <f t="shared" si="60"/>
        <v/>
      </c>
      <c r="I145" s="98" t="str">
        <f t="shared" si="60"/>
        <v/>
      </c>
      <c r="J145" s="98" t="str">
        <f t="shared" si="60"/>
        <v/>
      </c>
      <c r="K145" s="98" t="str">
        <f t="shared" si="60"/>
        <v/>
      </c>
      <c r="L145" s="98" t="str">
        <f t="shared" si="60"/>
        <v/>
      </c>
      <c r="M145" s="98" t="str">
        <f t="shared" si="60"/>
        <v/>
      </c>
      <c r="N145" s="98" t="str">
        <f t="shared" si="60"/>
        <v/>
      </c>
      <c r="O145" s="426"/>
    </row>
    <row r="146" spans="2:15">
      <c r="B146" s="48" t="str">
        <f t="shared" ref="B146:D151" si="61">B71</f>
        <v>10G total</v>
      </c>
      <c r="C146" s="49" t="str">
        <f t="shared" si="61"/>
        <v>All</v>
      </c>
      <c r="D146" s="50" t="str">
        <f t="shared" si="61"/>
        <v>All</v>
      </c>
      <c r="E146" s="198">
        <f t="shared" ref="E146:N147" si="62">IF(E71=0,"",E221*10^6/E71)</f>
        <v>32.039077608346737</v>
      </c>
      <c r="F146" s="198">
        <f t="shared" si="62"/>
        <v>24.482448081862429</v>
      </c>
      <c r="G146" s="198">
        <f t="shared" si="62"/>
        <v>21.426385743470171</v>
      </c>
      <c r="H146" s="198" t="str">
        <f t="shared" si="62"/>
        <v/>
      </c>
      <c r="I146" s="198" t="str">
        <f t="shared" si="62"/>
        <v/>
      </c>
      <c r="J146" s="198" t="str">
        <f t="shared" si="62"/>
        <v/>
      </c>
      <c r="K146" s="198" t="str">
        <f t="shared" si="62"/>
        <v/>
      </c>
      <c r="L146" s="96" t="str">
        <f t="shared" si="62"/>
        <v/>
      </c>
      <c r="M146" s="96" t="str">
        <f t="shared" si="62"/>
        <v/>
      </c>
      <c r="N146" s="96" t="str">
        <f t="shared" si="62"/>
        <v/>
      </c>
      <c r="O146" s="426"/>
    </row>
    <row r="147" spans="2:15">
      <c r="B147" s="48" t="str">
        <f t="shared" si="61"/>
        <v>25G total</v>
      </c>
      <c r="C147" s="49" t="str">
        <f t="shared" si="61"/>
        <v>All</v>
      </c>
      <c r="D147" s="50" t="str">
        <f t="shared" si="61"/>
        <v>All</v>
      </c>
      <c r="E147" s="198">
        <f t="shared" si="62"/>
        <v>291.79972635539593</v>
      </c>
      <c r="F147" s="198">
        <f t="shared" si="62"/>
        <v>169.30718458014624</v>
      </c>
      <c r="G147" s="198">
        <f t="shared" si="62"/>
        <v>103.49761934802112</v>
      </c>
      <c r="H147" s="198" t="str">
        <f t="shared" si="62"/>
        <v/>
      </c>
      <c r="I147" s="198" t="str">
        <f t="shared" si="62"/>
        <v/>
      </c>
      <c r="J147" s="198" t="str">
        <f t="shared" si="62"/>
        <v/>
      </c>
      <c r="K147" s="198" t="str">
        <f t="shared" si="62"/>
        <v/>
      </c>
      <c r="L147" s="96" t="str">
        <f t="shared" si="62"/>
        <v/>
      </c>
      <c r="M147" s="96" t="str">
        <f t="shared" si="62"/>
        <v/>
      </c>
      <c r="N147" s="96" t="str">
        <f t="shared" si="62"/>
        <v/>
      </c>
      <c r="O147" s="426"/>
    </row>
    <row r="148" spans="2:15">
      <c r="B148" s="48" t="str">
        <f t="shared" si="61"/>
        <v>40G total</v>
      </c>
      <c r="C148" s="49" t="str">
        <f t="shared" si="61"/>
        <v>All</v>
      </c>
      <c r="D148" s="50" t="str">
        <f t="shared" si="61"/>
        <v>All</v>
      </c>
      <c r="E148" s="198">
        <f t="shared" ref="E148:N148" si="63">IF(E73=0,"",E223*10^6/E73)</f>
        <v>249.89406196509381</v>
      </c>
      <c r="F148" s="198">
        <f t="shared" si="63"/>
        <v>234.01658203651027</v>
      </c>
      <c r="G148" s="198">
        <f t="shared" si="63"/>
        <v>174.13248662608308</v>
      </c>
      <c r="H148" s="198" t="str">
        <f t="shared" si="63"/>
        <v/>
      </c>
      <c r="I148" s="198" t="str">
        <f t="shared" si="63"/>
        <v/>
      </c>
      <c r="J148" s="198" t="str">
        <f t="shared" si="63"/>
        <v/>
      </c>
      <c r="K148" s="198" t="str">
        <f t="shared" si="63"/>
        <v/>
      </c>
      <c r="L148" s="96" t="str">
        <f t="shared" si="63"/>
        <v/>
      </c>
      <c r="M148" s="96" t="str">
        <f t="shared" si="63"/>
        <v/>
      </c>
      <c r="N148" s="96" t="str">
        <f t="shared" si="63"/>
        <v/>
      </c>
      <c r="O148" s="426"/>
    </row>
    <row r="149" spans="2:15">
      <c r="B149" s="48" t="str">
        <f t="shared" si="61"/>
        <v>50G total</v>
      </c>
      <c r="C149" s="49" t="str">
        <f t="shared" si="61"/>
        <v>All</v>
      </c>
      <c r="D149" s="50" t="str">
        <f t="shared" si="61"/>
        <v>All</v>
      </c>
      <c r="E149" s="198" t="str">
        <f t="shared" ref="E149:N149" si="64">IF(E74=0,"",E224*10^6/E74)</f>
        <v/>
      </c>
      <c r="F149" s="198" t="str">
        <f t="shared" si="64"/>
        <v/>
      </c>
      <c r="G149" s="198" t="str">
        <f t="shared" si="64"/>
        <v/>
      </c>
      <c r="H149" s="198" t="str">
        <f t="shared" si="64"/>
        <v/>
      </c>
      <c r="I149" s="198" t="str">
        <f t="shared" si="64"/>
        <v/>
      </c>
      <c r="J149" s="198" t="str">
        <f t="shared" si="64"/>
        <v/>
      </c>
      <c r="K149" s="198" t="str">
        <f t="shared" si="64"/>
        <v/>
      </c>
      <c r="L149" s="96" t="str">
        <f t="shared" si="64"/>
        <v/>
      </c>
      <c r="M149" s="96" t="str">
        <f t="shared" si="64"/>
        <v/>
      </c>
      <c r="N149" s="96" t="str">
        <f t="shared" si="64"/>
        <v/>
      </c>
      <c r="O149" s="426"/>
    </row>
    <row r="150" spans="2:15">
      <c r="B150" s="48" t="str">
        <f t="shared" si="61"/>
        <v>100G total</v>
      </c>
      <c r="C150" s="49" t="str">
        <f t="shared" si="61"/>
        <v>All</v>
      </c>
      <c r="D150" s="50" t="str">
        <f t="shared" si="61"/>
        <v>All</v>
      </c>
      <c r="E150" s="198">
        <f t="shared" ref="E150:N150" si="65">IF(E75=0,"",E225*10^6/E75)</f>
        <v>1243.4155608075619</v>
      </c>
      <c r="F150" s="198">
        <f t="shared" si="65"/>
        <v>573.95765341319202</v>
      </c>
      <c r="G150" s="198">
        <f t="shared" si="65"/>
        <v>348.60410581924793</v>
      </c>
      <c r="H150" s="198" t="str">
        <f t="shared" si="65"/>
        <v/>
      </c>
      <c r="I150" s="198" t="str">
        <f t="shared" si="65"/>
        <v/>
      </c>
      <c r="J150" s="198" t="str">
        <f t="shared" si="65"/>
        <v/>
      </c>
      <c r="K150" s="198" t="str">
        <f t="shared" si="65"/>
        <v/>
      </c>
      <c r="L150" s="96" t="str">
        <f t="shared" si="65"/>
        <v/>
      </c>
      <c r="M150" s="96" t="str">
        <f t="shared" si="65"/>
        <v/>
      </c>
      <c r="N150" s="96" t="str">
        <f t="shared" si="65"/>
        <v/>
      </c>
      <c r="O150" s="426"/>
    </row>
    <row r="151" spans="2:15">
      <c r="B151" s="48" t="str">
        <f t="shared" si="61"/>
        <v>200G total</v>
      </c>
      <c r="C151" s="49" t="str">
        <f t="shared" si="61"/>
        <v>All</v>
      </c>
      <c r="D151" s="50" t="str">
        <f t="shared" si="61"/>
        <v>All</v>
      </c>
      <c r="E151" s="198" t="str">
        <f t="shared" ref="E151:N152" si="66">IF(E76=0,"",E226*10^6/E76)</f>
        <v/>
      </c>
      <c r="F151" s="198" t="str">
        <f t="shared" si="66"/>
        <v/>
      </c>
      <c r="G151" s="198">
        <f t="shared" si="66"/>
        <v>1100</v>
      </c>
      <c r="H151" s="198" t="str">
        <f t="shared" si="66"/>
        <v/>
      </c>
      <c r="I151" s="198" t="str">
        <f t="shared" si="66"/>
        <v/>
      </c>
      <c r="J151" s="198" t="str">
        <f t="shared" si="66"/>
        <v/>
      </c>
      <c r="K151" s="198" t="str">
        <f t="shared" si="66"/>
        <v/>
      </c>
      <c r="L151" s="96" t="str">
        <f t="shared" si="66"/>
        <v/>
      </c>
      <c r="M151" s="96" t="str">
        <f t="shared" si="66"/>
        <v/>
      </c>
      <c r="N151" s="96" t="str">
        <f t="shared" si="66"/>
        <v/>
      </c>
      <c r="O151" s="426"/>
    </row>
    <row r="152" spans="2:15">
      <c r="B152" s="48" t="str">
        <f t="shared" ref="B152:D153" si="67">B227</f>
        <v>400G total</v>
      </c>
      <c r="C152" s="188" t="str">
        <f t="shared" si="67"/>
        <v>All</v>
      </c>
      <c r="D152" s="457" t="str">
        <f t="shared" si="67"/>
        <v>All</v>
      </c>
      <c r="E152" s="198" t="str">
        <f t="shared" si="66"/>
        <v/>
      </c>
      <c r="F152" s="198">
        <f t="shared" si="66"/>
        <v>15149.438202247189</v>
      </c>
      <c r="G152" s="198">
        <f t="shared" si="66"/>
        <v>1261.8461538461536</v>
      </c>
      <c r="H152" s="198" t="str">
        <f t="shared" si="66"/>
        <v/>
      </c>
      <c r="I152" s="198" t="str">
        <f>IF(I77=0,"",I227*10^6/I77)</f>
        <v/>
      </c>
      <c r="J152" s="198" t="str">
        <f t="shared" si="66"/>
        <v/>
      </c>
      <c r="K152" s="198" t="str">
        <f t="shared" si="66"/>
        <v/>
      </c>
      <c r="L152" s="96" t="str">
        <f t="shared" si="66"/>
        <v/>
      </c>
      <c r="M152" s="96" t="str">
        <f t="shared" si="66"/>
        <v/>
      </c>
      <c r="N152" s="96" t="str">
        <f t="shared" si="66"/>
        <v/>
      </c>
      <c r="O152" s="426"/>
    </row>
    <row r="153" spans="2:15">
      <c r="B153" s="51" t="str">
        <f t="shared" si="67"/>
        <v>800G total</v>
      </c>
      <c r="C153" s="494" t="str">
        <f t="shared" si="67"/>
        <v>All</v>
      </c>
      <c r="D153" s="453" t="str">
        <f t="shared" si="67"/>
        <v>All</v>
      </c>
      <c r="E153" s="94" t="str">
        <f t="shared" ref="E153:N153" si="68">IF(E78=0,"",E228*10^6/E78)</f>
        <v/>
      </c>
      <c r="F153" s="94" t="str">
        <f t="shared" si="68"/>
        <v/>
      </c>
      <c r="G153" s="94" t="str">
        <f t="shared" si="68"/>
        <v/>
      </c>
      <c r="H153" s="94" t="str">
        <f t="shared" si="68"/>
        <v/>
      </c>
      <c r="I153" s="94" t="str">
        <f>IF(I78=0,"",I228*10^6/I78)</f>
        <v/>
      </c>
      <c r="J153" s="94" t="str">
        <f>IF(J78=0,"",J228*10^6/J78)</f>
        <v/>
      </c>
      <c r="K153" s="94" t="str">
        <f t="shared" si="68"/>
        <v/>
      </c>
      <c r="L153" s="365" t="str">
        <f t="shared" si="68"/>
        <v/>
      </c>
      <c r="M153" s="365" t="str">
        <f t="shared" si="68"/>
        <v/>
      </c>
      <c r="N153" s="365" t="str">
        <f t="shared" si="68"/>
        <v/>
      </c>
      <c r="O153" s="426"/>
    </row>
    <row r="155" spans="2:15">
      <c r="E155" s="168"/>
      <c r="F155" s="168"/>
      <c r="G155" s="168"/>
      <c r="H155" s="168"/>
      <c r="I155" s="168"/>
      <c r="J155" s="168"/>
      <c r="K155" s="168"/>
      <c r="L155" s="366"/>
      <c r="M155" s="366"/>
      <c r="N155" s="366"/>
    </row>
    <row r="157" spans="2:15" ht="21">
      <c r="B157" s="13" t="s">
        <v>15</v>
      </c>
      <c r="C157" s="12"/>
      <c r="D157" s="12"/>
    </row>
    <row r="158" spans="2:15">
      <c r="B158" s="71" t="str">
        <f>B6</f>
        <v>Data Rate</v>
      </c>
      <c r="C158" s="71" t="str">
        <f>C6</f>
        <v>Reach</v>
      </c>
      <c r="D158" s="71" t="str">
        <f>D6</f>
        <v>Form Factor</v>
      </c>
      <c r="E158" s="72">
        <v>2016</v>
      </c>
      <c r="F158" s="72">
        <v>2017</v>
      </c>
      <c r="G158" s="72">
        <v>2018</v>
      </c>
      <c r="H158" s="72">
        <v>2019</v>
      </c>
      <c r="I158" s="72">
        <v>2020</v>
      </c>
      <c r="J158" s="72">
        <v>2021</v>
      </c>
      <c r="K158" s="72">
        <v>2022</v>
      </c>
      <c r="L158" s="72">
        <v>2023</v>
      </c>
      <c r="M158" s="72">
        <v>2024</v>
      </c>
      <c r="N158" s="72">
        <v>2025</v>
      </c>
    </row>
    <row r="159" spans="2:15">
      <c r="B159" s="73" t="str">
        <f t="shared" ref="B159:D178" si="69">B9</f>
        <v>1G</v>
      </c>
      <c r="C159" s="74" t="str">
        <f t="shared" si="69"/>
        <v>500 m</v>
      </c>
      <c r="D159" s="75" t="str">
        <f t="shared" si="69"/>
        <v>SFP</v>
      </c>
      <c r="E159" s="102">
        <v>45.763121065</v>
      </c>
      <c r="F159" s="102">
        <v>38.398107000000003</v>
      </c>
      <c r="G159" s="102">
        <v>40.672937040000001</v>
      </c>
      <c r="H159" s="102"/>
      <c r="I159" s="102"/>
      <c r="J159" s="102"/>
      <c r="K159" s="102"/>
      <c r="L159" s="154"/>
      <c r="M159" s="154"/>
      <c r="N159" s="154"/>
    </row>
    <row r="160" spans="2:15">
      <c r="B160" s="81" t="str">
        <f t="shared" si="69"/>
        <v>1G</v>
      </c>
      <c r="C160" s="82" t="str">
        <f t="shared" si="69"/>
        <v>10 km</v>
      </c>
      <c r="D160" s="83" t="str">
        <f t="shared" si="69"/>
        <v>SFP</v>
      </c>
      <c r="E160" s="102">
        <v>94.956878455999998</v>
      </c>
      <c r="F160" s="102">
        <v>62.377160200233909</v>
      </c>
      <c r="G160" s="102">
        <v>62.753532079999992</v>
      </c>
      <c r="H160" s="102"/>
      <c r="I160" s="102"/>
      <c r="J160" s="102"/>
      <c r="K160" s="102"/>
      <c r="L160" s="154"/>
      <c r="M160" s="154"/>
      <c r="N160" s="154"/>
    </row>
    <row r="161" spans="2:14">
      <c r="B161" s="81" t="str">
        <f t="shared" si="69"/>
        <v>1G</v>
      </c>
      <c r="C161" s="82" t="str">
        <f t="shared" si="69"/>
        <v>40 km</v>
      </c>
      <c r="D161" s="83" t="str">
        <f t="shared" si="69"/>
        <v>SFP</v>
      </c>
      <c r="E161" s="102">
        <v>8.0014830827197496</v>
      </c>
      <c r="F161" s="102">
        <v>5.3816953356267128</v>
      </c>
      <c r="G161" s="102">
        <v>11.539147999999999</v>
      </c>
      <c r="H161" s="102"/>
      <c r="I161" s="102"/>
      <c r="J161" s="102"/>
      <c r="K161" s="102"/>
      <c r="L161" s="154"/>
      <c r="M161" s="154"/>
      <c r="N161" s="154"/>
    </row>
    <row r="162" spans="2:14">
      <c r="B162" s="81" t="str">
        <f t="shared" si="69"/>
        <v>1G</v>
      </c>
      <c r="C162" s="82" t="str">
        <f t="shared" si="69"/>
        <v>80 km</v>
      </c>
      <c r="D162" s="83" t="str">
        <f t="shared" si="69"/>
        <v>SFP</v>
      </c>
      <c r="E162" s="102">
        <v>5.4436485260342007</v>
      </c>
      <c r="F162" s="102">
        <v>4.4704450954117947</v>
      </c>
      <c r="G162" s="102">
        <v>16.948148</v>
      </c>
      <c r="H162" s="102"/>
      <c r="I162" s="102"/>
      <c r="J162" s="102"/>
      <c r="K162" s="102"/>
      <c r="L162" s="154"/>
      <c r="M162" s="154"/>
      <c r="N162" s="154"/>
    </row>
    <row r="163" spans="2:14">
      <c r="B163" s="77" t="str">
        <f t="shared" si="69"/>
        <v>G &amp; Fast Ethernet</v>
      </c>
      <c r="C163" s="78" t="str">
        <f t="shared" si="69"/>
        <v>Various</v>
      </c>
      <c r="D163" s="79" t="str">
        <f t="shared" si="69"/>
        <v>Legacy/discontinued</v>
      </c>
      <c r="E163" s="101">
        <v>3.6</v>
      </c>
      <c r="F163" s="101"/>
      <c r="G163" s="101">
        <v>0</v>
      </c>
      <c r="H163" s="101"/>
      <c r="I163" s="101"/>
      <c r="J163" s="101"/>
      <c r="K163" s="101"/>
      <c r="L163" s="367"/>
      <c r="M163" s="367"/>
      <c r="N163" s="367"/>
    </row>
    <row r="164" spans="2:14">
      <c r="B164" s="81" t="str">
        <f t="shared" si="69"/>
        <v>10G</v>
      </c>
      <c r="C164" s="82" t="str">
        <f t="shared" si="69"/>
        <v>300 m</v>
      </c>
      <c r="D164" s="83" t="str">
        <f t="shared" si="69"/>
        <v>XFP</v>
      </c>
      <c r="E164" s="102">
        <v>7.6676450000000003</v>
      </c>
      <c r="F164" s="102">
        <v>4.9103659999999998</v>
      </c>
      <c r="G164" s="102">
        <v>3.0100636000000005</v>
      </c>
      <c r="H164" s="102"/>
      <c r="I164" s="102"/>
      <c r="J164" s="102"/>
      <c r="K164" s="102"/>
      <c r="L164" s="154"/>
      <c r="M164" s="154"/>
      <c r="N164" s="154"/>
    </row>
    <row r="165" spans="2:14">
      <c r="B165" s="81" t="str">
        <f t="shared" si="69"/>
        <v>10G</v>
      </c>
      <c r="C165" s="82" t="str">
        <f t="shared" si="69"/>
        <v>300 m</v>
      </c>
      <c r="D165" s="83" t="str">
        <f t="shared" si="69"/>
        <v>SFP+</v>
      </c>
      <c r="E165" s="102">
        <v>202.35770202004551</v>
      </c>
      <c r="F165" s="102">
        <v>188.72114215935508</v>
      </c>
      <c r="G165" s="102">
        <v>179.3380922418161</v>
      </c>
      <c r="H165" s="102"/>
      <c r="I165" s="102"/>
      <c r="J165" s="102"/>
      <c r="K165" s="102"/>
      <c r="L165" s="154"/>
      <c r="M165" s="154"/>
      <c r="N165" s="154"/>
    </row>
    <row r="166" spans="2:14">
      <c r="B166" s="81" t="str">
        <f t="shared" si="69"/>
        <v>10G LRM</v>
      </c>
      <c r="C166" s="82" t="str">
        <f t="shared" si="69"/>
        <v>220 m</v>
      </c>
      <c r="D166" s="83" t="str">
        <f t="shared" si="69"/>
        <v>SFP+</v>
      </c>
      <c r="E166" s="102">
        <v>9.5352954367439988</v>
      </c>
      <c r="F166" s="102">
        <v>7.2161380000000008</v>
      </c>
      <c r="G166" s="102">
        <v>6.0782330000000009</v>
      </c>
      <c r="H166" s="102"/>
      <c r="I166" s="102"/>
      <c r="J166" s="102"/>
      <c r="K166" s="102"/>
      <c r="L166" s="154"/>
      <c r="M166" s="154"/>
      <c r="N166" s="154"/>
    </row>
    <row r="167" spans="2:14">
      <c r="B167" s="81" t="str">
        <f t="shared" si="69"/>
        <v>10G</v>
      </c>
      <c r="C167" s="82" t="str">
        <f t="shared" si="69"/>
        <v>10 km</v>
      </c>
      <c r="D167" s="83" t="str">
        <f t="shared" si="69"/>
        <v>XFP</v>
      </c>
      <c r="E167" s="102">
        <v>8.2627039704398832</v>
      </c>
      <c r="F167" s="102">
        <v>3.3792872222713641</v>
      </c>
      <c r="G167" s="102">
        <v>8.7323640982425257</v>
      </c>
      <c r="H167" s="102"/>
      <c r="I167" s="102"/>
      <c r="J167" s="102"/>
      <c r="K167" s="102"/>
      <c r="L167" s="154"/>
      <c r="M167" s="154"/>
      <c r="N167" s="154"/>
    </row>
    <row r="168" spans="2:14">
      <c r="B168" s="81" t="str">
        <f t="shared" si="69"/>
        <v>10G</v>
      </c>
      <c r="C168" s="82" t="str">
        <f t="shared" si="69"/>
        <v>10 km</v>
      </c>
      <c r="D168" s="83" t="str">
        <f t="shared" si="69"/>
        <v>SFP+</v>
      </c>
      <c r="E168" s="102">
        <v>246.18213319313497</v>
      </c>
      <c r="F168" s="102">
        <v>205.875</v>
      </c>
      <c r="G168" s="102">
        <v>166.5347426714647</v>
      </c>
      <c r="H168" s="102"/>
      <c r="I168" s="102"/>
      <c r="J168" s="102"/>
      <c r="K168" s="102"/>
      <c r="L168" s="154"/>
      <c r="M168" s="154"/>
      <c r="N168" s="154"/>
    </row>
    <row r="169" spans="2:14">
      <c r="B169" s="81" t="str">
        <f t="shared" si="69"/>
        <v>10G</v>
      </c>
      <c r="C169" s="82" t="str">
        <f t="shared" si="69"/>
        <v>40 km</v>
      </c>
      <c r="D169" s="83" t="str">
        <f t="shared" si="69"/>
        <v>XFP</v>
      </c>
      <c r="E169" s="102">
        <v>30.978895627515001</v>
      </c>
      <c r="F169" s="102">
        <v>14.956408213872029</v>
      </c>
      <c r="G169" s="102">
        <v>18.700227074197439</v>
      </c>
      <c r="H169" s="102"/>
      <c r="I169" s="102"/>
      <c r="J169" s="102"/>
      <c r="K169" s="102"/>
      <c r="L169" s="154"/>
      <c r="M169" s="154"/>
      <c r="N169" s="154"/>
    </row>
    <row r="170" spans="2:14">
      <c r="B170" s="81" t="str">
        <f t="shared" si="69"/>
        <v>10G</v>
      </c>
      <c r="C170" s="82" t="str">
        <f t="shared" si="69"/>
        <v>40 km</v>
      </c>
      <c r="D170" s="83" t="str">
        <f t="shared" si="69"/>
        <v>SFP+</v>
      </c>
      <c r="E170" s="102">
        <v>49.314255569719556</v>
      </c>
      <c r="F170" s="102">
        <v>40.24149581356366</v>
      </c>
      <c r="G170" s="102">
        <v>54.165498572586479</v>
      </c>
      <c r="H170" s="102"/>
      <c r="I170" s="102"/>
      <c r="J170" s="102"/>
      <c r="K170" s="102"/>
      <c r="L170" s="154"/>
      <c r="M170" s="154"/>
      <c r="N170" s="154"/>
    </row>
    <row r="171" spans="2:14">
      <c r="B171" s="81" t="str">
        <f t="shared" si="69"/>
        <v>10G</v>
      </c>
      <c r="C171" s="82" t="str">
        <f t="shared" si="69"/>
        <v>80 km</v>
      </c>
      <c r="D171" s="83" t="str">
        <f t="shared" si="69"/>
        <v>XFP</v>
      </c>
      <c r="E171" s="102">
        <v>18.705963697892301</v>
      </c>
      <c r="F171" s="102">
        <v>2.6384714875083346</v>
      </c>
      <c r="G171" s="102">
        <v>2.9799696693860023</v>
      </c>
      <c r="H171" s="102"/>
      <c r="I171" s="102"/>
      <c r="J171" s="102"/>
      <c r="K171" s="102"/>
      <c r="L171" s="154"/>
      <c r="M171" s="154"/>
      <c r="N171" s="154"/>
    </row>
    <row r="172" spans="2:14">
      <c r="B172" s="81" t="str">
        <f t="shared" si="69"/>
        <v>10G</v>
      </c>
      <c r="C172" s="82" t="str">
        <f t="shared" si="69"/>
        <v>80 km</v>
      </c>
      <c r="D172" s="83" t="str">
        <f t="shared" si="69"/>
        <v>SFP+</v>
      </c>
      <c r="E172" s="102">
        <v>15.89513332813862</v>
      </c>
      <c r="F172" s="102">
        <v>18.666526637661988</v>
      </c>
      <c r="G172" s="102">
        <v>31.88064561095899</v>
      </c>
      <c r="H172" s="102"/>
      <c r="I172" s="102"/>
      <c r="J172" s="102"/>
      <c r="K172" s="102"/>
      <c r="L172" s="154"/>
      <c r="M172" s="154"/>
      <c r="N172" s="154"/>
    </row>
    <row r="173" spans="2:14">
      <c r="B173" s="77" t="str">
        <f t="shared" si="69"/>
        <v>10G</v>
      </c>
      <c r="C173" s="78" t="str">
        <f t="shared" si="69"/>
        <v>Various</v>
      </c>
      <c r="D173" s="79" t="str">
        <f t="shared" si="69"/>
        <v>Legacy/discontinued</v>
      </c>
      <c r="E173" s="101">
        <v>6.4463090300000001</v>
      </c>
      <c r="F173" s="101">
        <v>2.2937660000000006</v>
      </c>
      <c r="G173" s="101">
        <v>0.4</v>
      </c>
      <c r="H173" s="101"/>
      <c r="I173" s="101"/>
      <c r="J173" s="101"/>
      <c r="K173" s="101"/>
      <c r="L173" s="367"/>
      <c r="M173" s="367"/>
      <c r="N173" s="367"/>
    </row>
    <row r="174" spans="2:14">
      <c r="B174" s="73" t="str">
        <f t="shared" si="69"/>
        <v>25G SR, eSR</v>
      </c>
      <c r="C174" s="74" t="str">
        <f t="shared" si="69"/>
        <v>100 - 300 m</v>
      </c>
      <c r="D174" s="75" t="str">
        <f t="shared" si="69"/>
        <v>SFP28</v>
      </c>
      <c r="E174" s="100">
        <v>1.3373250000000001</v>
      </c>
      <c r="F174" s="100">
        <v>13.527578999999998</v>
      </c>
      <c r="G174" s="100">
        <v>27.845733580000019</v>
      </c>
      <c r="H174" s="100"/>
      <c r="I174" s="100"/>
      <c r="J174" s="100"/>
      <c r="K174" s="100"/>
      <c r="L174" s="368"/>
      <c r="M174" s="368"/>
      <c r="N174" s="368"/>
    </row>
    <row r="175" spans="2:14">
      <c r="B175" s="81" t="str">
        <f t="shared" si="69"/>
        <v>25G LR</v>
      </c>
      <c r="C175" s="82" t="str">
        <f t="shared" si="69"/>
        <v>10 km</v>
      </c>
      <c r="D175" s="83" t="str">
        <f t="shared" si="69"/>
        <v>SFP28</v>
      </c>
      <c r="E175" s="102">
        <v>2.0749810000000002</v>
      </c>
      <c r="F175" s="102">
        <v>5.6594963069142326</v>
      </c>
      <c r="G175" s="102">
        <v>11.036976539999998</v>
      </c>
      <c r="H175" s="102"/>
      <c r="I175" s="102"/>
      <c r="J175" s="102"/>
      <c r="K175" s="102"/>
      <c r="L175" s="154"/>
      <c r="M175" s="154"/>
      <c r="N175" s="154"/>
    </row>
    <row r="176" spans="2:14">
      <c r="B176" s="81" t="str">
        <f t="shared" si="69"/>
        <v>25G ER</v>
      </c>
      <c r="C176" s="82" t="str">
        <f t="shared" si="69"/>
        <v>40 km</v>
      </c>
      <c r="D176" s="83" t="str">
        <f t="shared" si="69"/>
        <v>SFP28</v>
      </c>
      <c r="E176" s="102">
        <v>0</v>
      </c>
      <c r="F176" s="102">
        <v>0</v>
      </c>
      <c r="G176" s="538">
        <v>0</v>
      </c>
      <c r="H176" s="102"/>
      <c r="I176" s="102"/>
      <c r="J176" s="102"/>
      <c r="K176" s="102"/>
      <c r="L176" s="154"/>
      <c r="M176" s="154"/>
      <c r="N176" s="154"/>
    </row>
    <row r="177" spans="2:14">
      <c r="B177" s="73" t="str">
        <f t="shared" si="69"/>
        <v>40G SR4</v>
      </c>
      <c r="C177" s="74" t="str">
        <f t="shared" si="69"/>
        <v>100 m</v>
      </c>
      <c r="D177" s="75" t="str">
        <f t="shared" si="69"/>
        <v>QSFP+</v>
      </c>
      <c r="E177" s="100">
        <v>61.814562208888887</v>
      </c>
      <c r="F177" s="100">
        <v>63.806447873340716</v>
      </c>
      <c r="G177" s="100">
        <v>56.351367198170891</v>
      </c>
      <c r="H177" s="100"/>
      <c r="I177" s="100"/>
      <c r="J177" s="100"/>
      <c r="K177" s="100"/>
      <c r="L177" s="368"/>
      <c r="M177" s="368"/>
      <c r="N177" s="368"/>
    </row>
    <row r="178" spans="2:14">
      <c r="B178" s="81" t="str">
        <f t="shared" si="69"/>
        <v>40G MM duplex</v>
      </c>
      <c r="C178" s="82" t="str">
        <f t="shared" si="69"/>
        <v>100 m</v>
      </c>
      <c r="D178" s="83" t="str">
        <f t="shared" si="69"/>
        <v>QSFP+</v>
      </c>
      <c r="E178" s="102">
        <v>153.5735</v>
      </c>
      <c r="F178" s="102">
        <v>180.12456</v>
      </c>
      <c r="G178" s="102">
        <v>134.912229</v>
      </c>
      <c r="H178" s="102"/>
      <c r="I178" s="102"/>
      <c r="J178" s="102"/>
      <c r="K178" s="102"/>
      <c r="L178" s="154"/>
      <c r="M178" s="154"/>
      <c r="N178" s="154"/>
    </row>
    <row r="179" spans="2:14">
      <c r="B179" s="81" t="str">
        <f t="shared" ref="B179:D198" si="70">B29</f>
        <v>40G eSR4</v>
      </c>
      <c r="C179" s="82" t="str">
        <f t="shared" si="70"/>
        <v>300 m</v>
      </c>
      <c r="D179" s="83" t="str">
        <f t="shared" si="70"/>
        <v>QSFP+</v>
      </c>
      <c r="E179" s="102">
        <v>29.361883310000003</v>
      </c>
      <c r="F179" s="102">
        <v>37.789000000000001</v>
      </c>
      <c r="G179" s="102">
        <v>31.355079991532847</v>
      </c>
      <c r="H179" s="102"/>
      <c r="I179" s="102"/>
      <c r="J179" s="102"/>
      <c r="K179" s="102"/>
      <c r="L179" s="154"/>
      <c r="M179" s="154"/>
      <c r="N179" s="154"/>
    </row>
    <row r="180" spans="2:14">
      <c r="B180" s="81" t="str">
        <f t="shared" si="70"/>
        <v xml:space="preserve">40G PSM4 </v>
      </c>
      <c r="C180" s="82" t="str">
        <f t="shared" si="70"/>
        <v>500 m</v>
      </c>
      <c r="D180" s="83" t="str">
        <f t="shared" si="70"/>
        <v>QSFP+</v>
      </c>
      <c r="E180" s="154">
        <v>206.04404776999999</v>
      </c>
      <c r="F180" s="154">
        <v>161.25879399999999</v>
      </c>
      <c r="G180" s="154">
        <v>126.55715000000001</v>
      </c>
      <c r="H180" s="154"/>
      <c r="I180" s="154"/>
      <c r="J180" s="154"/>
      <c r="K180" s="154"/>
      <c r="L180" s="154"/>
      <c r="M180" s="154"/>
      <c r="N180" s="154"/>
    </row>
    <row r="181" spans="2:14">
      <c r="B181" s="81" t="str">
        <f t="shared" si="70"/>
        <v>40G (FR)</v>
      </c>
      <c r="C181" s="82" t="str">
        <f t="shared" si="70"/>
        <v>2 km</v>
      </c>
      <c r="D181" s="83" t="str">
        <f t="shared" si="70"/>
        <v>CFP</v>
      </c>
      <c r="E181" s="102">
        <v>3.6147868986222087</v>
      </c>
      <c r="F181" s="102">
        <v>2.1111758458730683</v>
      </c>
      <c r="G181" s="102">
        <v>0</v>
      </c>
      <c r="H181" s="102"/>
      <c r="I181" s="102"/>
      <c r="J181" s="102"/>
      <c r="K181" s="102"/>
      <c r="L181" s="154"/>
      <c r="M181" s="154"/>
      <c r="N181" s="154"/>
    </row>
    <row r="182" spans="2:14">
      <c r="B182" s="81" t="str">
        <f t="shared" si="70"/>
        <v>40G (LR4 subspec)</v>
      </c>
      <c r="C182" s="82" t="str">
        <f t="shared" si="70"/>
        <v>2 km</v>
      </c>
      <c r="D182" s="83" t="str">
        <f t="shared" si="70"/>
        <v>QSFP+</v>
      </c>
      <c r="E182" s="102">
        <v>177.55117799999999</v>
      </c>
      <c r="F182" s="102">
        <v>277.09314268000003</v>
      </c>
      <c r="G182" s="102">
        <v>82.548280259999999</v>
      </c>
      <c r="H182" s="102"/>
      <c r="I182" s="102"/>
      <c r="J182" s="102"/>
      <c r="K182" s="102"/>
      <c r="L182" s="154"/>
      <c r="M182" s="154"/>
      <c r="N182" s="154"/>
    </row>
    <row r="183" spans="2:14">
      <c r="B183" s="81" t="str">
        <f t="shared" si="70"/>
        <v>40G</v>
      </c>
      <c r="C183" s="82" t="str">
        <f t="shared" si="70"/>
        <v>10 km</v>
      </c>
      <c r="D183" s="83" t="str">
        <f t="shared" si="70"/>
        <v>CFP</v>
      </c>
      <c r="E183" s="102">
        <v>7.8193956068084791</v>
      </c>
      <c r="F183" s="102">
        <v>3.8446607087985556</v>
      </c>
      <c r="G183" s="102">
        <v>0</v>
      </c>
      <c r="H183" s="102"/>
      <c r="I183" s="102"/>
      <c r="J183" s="102"/>
      <c r="K183" s="102"/>
      <c r="L183" s="154"/>
      <c r="M183" s="154"/>
      <c r="N183" s="154"/>
    </row>
    <row r="184" spans="2:14">
      <c r="B184" s="81" t="str">
        <f t="shared" si="70"/>
        <v>40G</v>
      </c>
      <c r="C184" s="82" t="str">
        <f t="shared" si="70"/>
        <v>10 km</v>
      </c>
      <c r="D184" s="83" t="str">
        <f t="shared" si="70"/>
        <v>QSFP+</v>
      </c>
      <c r="E184" s="102">
        <v>139.9656742823521</v>
      </c>
      <c r="F184" s="102">
        <v>170.32318072539266</v>
      </c>
      <c r="G184" s="102">
        <v>97.438304479999957</v>
      </c>
      <c r="H184" s="102"/>
      <c r="I184" s="102"/>
      <c r="J184" s="102"/>
      <c r="K184" s="102"/>
      <c r="L184" s="154"/>
      <c r="M184" s="154"/>
      <c r="N184" s="154"/>
    </row>
    <row r="185" spans="2:14">
      <c r="B185" s="77" t="str">
        <f t="shared" si="70"/>
        <v>40G</v>
      </c>
      <c r="C185" s="78" t="str">
        <f t="shared" si="70"/>
        <v>40 km</v>
      </c>
      <c r="D185" s="79" t="str">
        <f t="shared" si="70"/>
        <v>QSFP+</v>
      </c>
      <c r="E185" s="101">
        <v>8.1879420954829136</v>
      </c>
      <c r="F185" s="101">
        <v>7.9265538087967364</v>
      </c>
      <c r="G185" s="101">
        <v>10.321537999999995</v>
      </c>
      <c r="H185" s="101"/>
      <c r="I185" s="101"/>
      <c r="J185" s="101"/>
      <c r="K185" s="101"/>
      <c r="L185" s="367"/>
      <c r="M185" s="367"/>
      <c r="N185" s="367"/>
    </row>
    <row r="186" spans="2:14">
      <c r="B186" s="73" t="str">
        <f t="shared" si="70"/>
        <v xml:space="preserve">50G </v>
      </c>
      <c r="C186" s="74" t="str">
        <f t="shared" si="70"/>
        <v>100 m</v>
      </c>
      <c r="D186" s="75" t="str">
        <f t="shared" si="70"/>
        <v>all</v>
      </c>
      <c r="E186" s="100"/>
      <c r="F186" s="100"/>
      <c r="G186" s="100"/>
      <c r="H186" s="100"/>
      <c r="I186" s="100"/>
      <c r="J186" s="100"/>
      <c r="K186" s="100"/>
      <c r="L186" s="368"/>
      <c r="M186" s="368"/>
      <c r="N186" s="368"/>
    </row>
    <row r="187" spans="2:14">
      <c r="B187" s="81" t="str">
        <f t="shared" si="70"/>
        <v xml:space="preserve">50G </v>
      </c>
      <c r="C187" s="82" t="str">
        <f t="shared" si="70"/>
        <v>2 km</v>
      </c>
      <c r="D187" s="83" t="str">
        <f t="shared" si="70"/>
        <v>all</v>
      </c>
      <c r="E187" s="102"/>
      <c r="F187" s="102"/>
      <c r="G187" s="102"/>
      <c r="H187" s="102"/>
      <c r="I187" s="102"/>
      <c r="J187" s="102"/>
      <c r="K187" s="102"/>
      <c r="L187" s="154"/>
      <c r="M187" s="154"/>
      <c r="N187" s="154"/>
    </row>
    <row r="188" spans="2:14">
      <c r="B188" s="81" t="str">
        <f t="shared" si="70"/>
        <v xml:space="preserve">50G </v>
      </c>
      <c r="C188" s="82" t="str">
        <f t="shared" si="70"/>
        <v>10 km</v>
      </c>
      <c r="D188" s="83" t="str">
        <f t="shared" si="70"/>
        <v>all</v>
      </c>
      <c r="E188" s="102"/>
      <c r="F188" s="102"/>
      <c r="G188" s="102"/>
      <c r="H188" s="95"/>
      <c r="I188" s="95"/>
      <c r="J188" s="95"/>
      <c r="K188" s="95"/>
      <c r="L188" s="96"/>
      <c r="M188" s="96"/>
      <c r="N188" s="96"/>
    </row>
    <row r="189" spans="2:14">
      <c r="B189" s="81" t="str">
        <f t="shared" si="70"/>
        <v xml:space="preserve">50G </v>
      </c>
      <c r="C189" s="82" t="str">
        <f t="shared" si="70"/>
        <v>40 km</v>
      </c>
      <c r="D189" s="83" t="str">
        <f t="shared" si="70"/>
        <v>all</v>
      </c>
      <c r="E189" s="102"/>
      <c r="F189" s="102"/>
      <c r="G189" s="102"/>
      <c r="H189" s="95"/>
      <c r="I189" s="95"/>
      <c r="J189" s="95"/>
      <c r="K189" s="95"/>
      <c r="L189" s="96"/>
      <c r="M189" s="96"/>
      <c r="N189" s="96"/>
    </row>
    <row r="190" spans="2:14">
      <c r="B190" s="81" t="str">
        <f t="shared" si="70"/>
        <v xml:space="preserve">50G </v>
      </c>
      <c r="C190" s="82" t="str">
        <f t="shared" si="70"/>
        <v>80 km</v>
      </c>
      <c r="D190" s="83" t="str">
        <f t="shared" si="70"/>
        <v>all</v>
      </c>
      <c r="E190" s="102"/>
      <c r="F190" s="102"/>
      <c r="G190" s="102"/>
      <c r="H190" s="95"/>
      <c r="I190" s="95"/>
      <c r="J190" s="95"/>
      <c r="K190" s="95"/>
      <c r="L190" s="96"/>
      <c r="M190" s="96"/>
      <c r="N190" s="96"/>
    </row>
    <row r="191" spans="2:14">
      <c r="B191" s="73" t="str">
        <f t="shared" si="70"/>
        <v>100G SR4</v>
      </c>
      <c r="C191" s="74" t="str">
        <f t="shared" si="70"/>
        <v>100 m</v>
      </c>
      <c r="D191" s="75" t="str">
        <f t="shared" si="70"/>
        <v>CFP</v>
      </c>
      <c r="E191" s="100">
        <v>21.078782</v>
      </c>
      <c r="F191" s="100">
        <v>8.8030050000000024</v>
      </c>
      <c r="G191" s="100">
        <v>5.1903120000000031</v>
      </c>
      <c r="H191" s="100"/>
      <c r="I191" s="100"/>
      <c r="J191" s="100"/>
      <c r="K191" s="100"/>
      <c r="L191" s="368"/>
      <c r="M191" s="368"/>
      <c r="N191" s="368"/>
    </row>
    <row r="192" spans="2:14">
      <c r="B192" s="81" t="str">
        <f t="shared" si="70"/>
        <v>100G SR4</v>
      </c>
      <c r="C192" s="82" t="str">
        <f t="shared" si="70"/>
        <v>100 m</v>
      </c>
      <c r="D192" s="83" t="str">
        <f t="shared" si="70"/>
        <v>CFP2/4</v>
      </c>
      <c r="E192" s="102">
        <v>5.2611999999999997</v>
      </c>
      <c r="F192" s="102">
        <v>2.4791280000000007</v>
      </c>
      <c r="G192" s="102">
        <v>2.0080936800000004</v>
      </c>
      <c r="H192" s="102"/>
      <c r="I192" s="102"/>
      <c r="J192" s="102"/>
      <c r="K192" s="102"/>
      <c r="L192" s="102"/>
      <c r="M192" s="102"/>
      <c r="N192" s="102"/>
    </row>
    <row r="193" spans="2:14">
      <c r="B193" s="81" t="str">
        <f t="shared" si="70"/>
        <v>100G SR4</v>
      </c>
      <c r="C193" s="82" t="str">
        <f t="shared" si="70"/>
        <v>100 m</v>
      </c>
      <c r="D193" s="83" t="str">
        <f t="shared" si="70"/>
        <v>QSFP28</v>
      </c>
      <c r="E193" s="102">
        <v>72.281363999999996</v>
      </c>
      <c r="F193" s="102">
        <v>113.36232738072</v>
      </c>
      <c r="G193" s="102">
        <v>217.53494686689399</v>
      </c>
      <c r="H193" s="102"/>
      <c r="I193" s="102"/>
      <c r="J193" s="102"/>
      <c r="K193" s="102"/>
      <c r="L193" s="154"/>
      <c r="M193" s="154"/>
      <c r="N193" s="154"/>
    </row>
    <row r="194" spans="2:14">
      <c r="B194" s="81" t="str">
        <f t="shared" si="70"/>
        <v>100G SR2</v>
      </c>
      <c r="C194" s="82" t="str">
        <f t="shared" si="70"/>
        <v>100 m</v>
      </c>
      <c r="D194" s="83" t="str">
        <f t="shared" si="70"/>
        <v>All</v>
      </c>
      <c r="E194" s="102">
        <v>0</v>
      </c>
      <c r="F194" s="102">
        <v>0</v>
      </c>
      <c r="G194" s="102">
        <v>0</v>
      </c>
      <c r="H194" s="102"/>
      <c r="I194" s="102"/>
      <c r="J194" s="102"/>
      <c r="K194" s="102"/>
      <c r="L194" s="154"/>
      <c r="M194" s="154"/>
      <c r="N194" s="154"/>
    </row>
    <row r="195" spans="2:14">
      <c r="B195" s="81" t="str">
        <f t="shared" si="70"/>
        <v>100G MM Duplex</v>
      </c>
      <c r="C195" s="82" t="str">
        <f t="shared" si="70"/>
        <v>100 - 300 m</v>
      </c>
      <c r="D195" s="83" t="str">
        <f t="shared" si="70"/>
        <v>QSFP28</v>
      </c>
      <c r="E195" s="102">
        <v>0</v>
      </c>
      <c r="F195" s="102">
        <v>0</v>
      </c>
      <c r="G195" s="102">
        <v>25.5</v>
      </c>
      <c r="H195" s="102"/>
      <c r="I195" s="102"/>
      <c r="J195" s="102"/>
      <c r="K195" s="102"/>
      <c r="L195" s="154"/>
      <c r="M195" s="154"/>
      <c r="N195" s="154"/>
    </row>
    <row r="196" spans="2:14">
      <c r="B196" s="81" t="str">
        <f t="shared" si="70"/>
        <v>100G eSR4</v>
      </c>
      <c r="C196" s="82" t="str">
        <f t="shared" si="70"/>
        <v>300 m</v>
      </c>
      <c r="D196" s="83" t="str">
        <f t="shared" si="70"/>
        <v>QSFP28</v>
      </c>
      <c r="E196" s="102">
        <v>0</v>
      </c>
      <c r="F196" s="102">
        <v>0</v>
      </c>
      <c r="G196" s="102">
        <v>1.7</v>
      </c>
      <c r="H196" s="102"/>
      <c r="I196" s="102"/>
      <c r="J196" s="102"/>
      <c r="K196" s="102"/>
      <c r="L196" s="154"/>
      <c r="M196" s="154"/>
      <c r="N196" s="154"/>
    </row>
    <row r="197" spans="2:14">
      <c r="B197" s="81" t="str">
        <f t="shared" si="70"/>
        <v>100G PSM4</v>
      </c>
      <c r="C197" s="82" t="str">
        <f t="shared" si="70"/>
        <v>500 m</v>
      </c>
      <c r="D197" s="83" t="str">
        <f t="shared" si="70"/>
        <v>QSFP28</v>
      </c>
      <c r="E197" s="102">
        <v>67.773890240000014</v>
      </c>
      <c r="F197" s="102">
        <v>158.09400299999999</v>
      </c>
      <c r="G197" s="102">
        <v>96.70092799999999</v>
      </c>
      <c r="H197" s="102"/>
      <c r="I197" s="102"/>
      <c r="J197" s="102"/>
      <c r="K197" s="102"/>
      <c r="L197" s="154"/>
      <c r="M197" s="154"/>
      <c r="N197" s="154"/>
    </row>
    <row r="198" spans="2:14">
      <c r="B198" s="81" t="str">
        <f t="shared" si="70"/>
        <v>100G DR</v>
      </c>
      <c r="C198" s="82" t="str">
        <f t="shared" si="70"/>
        <v>500 m</v>
      </c>
      <c r="D198" s="83" t="str">
        <f t="shared" si="70"/>
        <v>QSFP28</v>
      </c>
      <c r="E198" s="102">
        <v>0</v>
      </c>
      <c r="F198" s="102">
        <v>0</v>
      </c>
      <c r="G198" s="154">
        <v>1.2</v>
      </c>
      <c r="H198" s="102"/>
      <c r="I198" s="102"/>
      <c r="J198" s="102"/>
      <c r="K198" s="102"/>
      <c r="L198" s="154"/>
      <c r="M198" s="154"/>
      <c r="N198" s="154"/>
    </row>
    <row r="199" spans="2:14">
      <c r="B199" s="81" t="str">
        <f t="shared" ref="B199:D218" si="71">B49</f>
        <v>100G CWDM4-subspec</v>
      </c>
      <c r="C199" s="82" t="str">
        <f t="shared" si="71"/>
        <v>500 m</v>
      </c>
      <c r="D199" s="83" t="str">
        <f t="shared" si="71"/>
        <v>QSFP28</v>
      </c>
      <c r="E199" s="102">
        <v>55.125374999999998</v>
      </c>
      <c r="F199" s="102">
        <v>307.53544499999998</v>
      </c>
      <c r="G199" s="154">
        <v>308</v>
      </c>
      <c r="H199" s="102"/>
      <c r="I199" s="102"/>
      <c r="J199" s="102"/>
      <c r="K199" s="102"/>
      <c r="L199" s="154"/>
      <c r="M199" s="154"/>
      <c r="N199" s="154"/>
    </row>
    <row r="200" spans="2:14">
      <c r="B200" s="81" t="str">
        <f t="shared" si="71"/>
        <v>100G CWDM4</v>
      </c>
      <c r="C200" s="82" t="str">
        <f t="shared" si="71"/>
        <v>2 km</v>
      </c>
      <c r="D200" s="83" t="str">
        <f t="shared" si="71"/>
        <v>QSFP28</v>
      </c>
      <c r="E200" s="102">
        <v>25.566254999999995</v>
      </c>
      <c r="F200" s="102">
        <v>190.37908500000003</v>
      </c>
      <c r="G200" s="154">
        <v>914.48338333333322</v>
      </c>
      <c r="H200" s="102"/>
      <c r="I200" s="102"/>
      <c r="J200" s="102"/>
      <c r="K200" s="102"/>
      <c r="L200" s="154"/>
      <c r="M200" s="154"/>
      <c r="N200" s="154"/>
    </row>
    <row r="201" spans="2:14">
      <c r="B201" s="81" t="str">
        <f t="shared" si="71"/>
        <v>100G FR1</v>
      </c>
      <c r="C201" s="82" t="str">
        <f t="shared" si="71"/>
        <v>2 km</v>
      </c>
      <c r="D201" s="83" t="str">
        <f t="shared" si="71"/>
        <v>QSFP28</v>
      </c>
      <c r="E201" s="102">
        <v>0</v>
      </c>
      <c r="F201" s="102">
        <v>0</v>
      </c>
      <c r="G201" s="102">
        <v>0</v>
      </c>
      <c r="H201" s="102"/>
      <c r="I201" s="102"/>
      <c r="J201" s="102"/>
      <c r="K201" s="102"/>
      <c r="L201" s="154"/>
      <c r="M201" s="154"/>
      <c r="N201" s="154"/>
    </row>
    <row r="202" spans="2:14">
      <c r="B202" s="81" t="str">
        <f t="shared" si="71"/>
        <v>100G LR4</v>
      </c>
      <c r="C202" s="82" t="str">
        <f t="shared" si="71"/>
        <v>10 km</v>
      </c>
      <c r="D202" s="83" t="str">
        <f t="shared" si="71"/>
        <v>CFP</v>
      </c>
      <c r="E202" s="102">
        <v>387.84002208207454</v>
      </c>
      <c r="F202" s="102">
        <v>186.42675405916248</v>
      </c>
      <c r="G202" s="102">
        <v>81.455872165940619</v>
      </c>
      <c r="H202" s="102"/>
      <c r="I202" s="102"/>
      <c r="J202" s="102"/>
      <c r="K202" s="102"/>
      <c r="L202" s="154"/>
      <c r="M202" s="154"/>
      <c r="N202" s="154"/>
    </row>
    <row r="203" spans="2:14">
      <c r="B203" s="81" t="str">
        <f t="shared" si="71"/>
        <v>100G LR4</v>
      </c>
      <c r="C203" s="82" t="str">
        <f t="shared" si="71"/>
        <v>10 km</v>
      </c>
      <c r="D203" s="83" t="str">
        <f t="shared" si="71"/>
        <v>CFP2/4</v>
      </c>
      <c r="E203" s="102">
        <v>265.89292589706986</v>
      </c>
      <c r="F203" s="102">
        <v>167.37814313065076</v>
      </c>
      <c r="G203" s="102">
        <v>101.21498299999995</v>
      </c>
      <c r="H203" s="102"/>
      <c r="I203" s="102"/>
      <c r="J203" s="102"/>
      <c r="K203" s="102"/>
      <c r="L203" s="154"/>
      <c r="M203" s="154"/>
      <c r="N203" s="154"/>
    </row>
    <row r="204" spans="2:14">
      <c r="B204" s="81" t="str">
        <f t="shared" si="71"/>
        <v>100G LR4 and LR1</v>
      </c>
      <c r="C204" s="82" t="str">
        <f t="shared" si="71"/>
        <v>10 km</v>
      </c>
      <c r="D204" s="83" t="str">
        <f t="shared" si="71"/>
        <v>QSFP28</v>
      </c>
      <c r="E204" s="102">
        <v>175.29210971636297</v>
      </c>
      <c r="F204" s="102">
        <v>434.82240000000002</v>
      </c>
      <c r="G204" s="102">
        <v>331.77466984830187</v>
      </c>
      <c r="H204" s="102"/>
      <c r="I204" s="102"/>
      <c r="J204" s="102"/>
      <c r="K204" s="102"/>
      <c r="L204" s="154"/>
      <c r="M204" s="154"/>
      <c r="N204" s="154"/>
    </row>
    <row r="205" spans="2:14">
      <c r="B205" s="81" t="str">
        <f t="shared" si="71"/>
        <v>100G 4WDM10</v>
      </c>
      <c r="C205" s="82" t="str">
        <f t="shared" si="71"/>
        <v>10 km</v>
      </c>
      <c r="D205" s="83" t="str">
        <f t="shared" si="71"/>
        <v>QSFP28</v>
      </c>
      <c r="E205" s="102">
        <v>0</v>
      </c>
      <c r="F205" s="102">
        <v>22.5</v>
      </c>
      <c r="G205" s="102">
        <v>30</v>
      </c>
      <c r="H205" s="102"/>
      <c r="I205" s="102"/>
      <c r="J205" s="102"/>
      <c r="K205" s="102"/>
      <c r="L205" s="154"/>
      <c r="M205" s="154"/>
      <c r="N205" s="154"/>
    </row>
    <row r="206" spans="2:14">
      <c r="B206" s="81" t="str">
        <f t="shared" si="71"/>
        <v>100G 4WDM20</v>
      </c>
      <c r="C206" s="82" t="str">
        <f t="shared" si="71"/>
        <v>20 km</v>
      </c>
      <c r="D206" s="83" t="str">
        <f t="shared" si="71"/>
        <v>QSFP28</v>
      </c>
      <c r="E206" s="102">
        <v>0</v>
      </c>
      <c r="F206" s="102">
        <v>0</v>
      </c>
      <c r="G206" s="102">
        <v>0</v>
      </c>
      <c r="H206" s="102"/>
      <c r="I206" s="102"/>
      <c r="J206" s="102"/>
      <c r="K206" s="102"/>
      <c r="L206" s="154"/>
      <c r="M206" s="154"/>
      <c r="N206" s="154"/>
    </row>
    <row r="207" spans="2:14">
      <c r="B207" s="81" t="str">
        <f t="shared" si="71"/>
        <v>100G ER4, ER4-Lite</v>
      </c>
      <c r="C207" s="82" t="str">
        <f t="shared" si="71"/>
        <v>40 km</v>
      </c>
      <c r="D207" s="83" t="str">
        <f t="shared" si="71"/>
        <v>QSFP28</v>
      </c>
      <c r="E207" s="102">
        <v>67.047040204140799</v>
      </c>
      <c r="F207" s="102">
        <v>62.072948163045439</v>
      </c>
      <c r="G207" s="102">
        <v>40.059037122546464</v>
      </c>
      <c r="H207" s="102"/>
      <c r="I207" s="102"/>
      <c r="J207" s="102"/>
      <c r="K207" s="102"/>
      <c r="L207" s="154"/>
      <c r="M207" s="154"/>
      <c r="N207" s="154"/>
    </row>
    <row r="208" spans="2:14">
      <c r="B208" s="167" t="str">
        <f t="shared" si="71"/>
        <v>200G SR4</v>
      </c>
      <c r="C208" s="163" t="str">
        <f t="shared" si="71"/>
        <v>100 m</v>
      </c>
      <c r="D208" s="162" t="str">
        <f t="shared" si="71"/>
        <v>QSFP56</v>
      </c>
      <c r="E208" s="100">
        <v>0</v>
      </c>
      <c r="F208" s="100">
        <v>0</v>
      </c>
      <c r="G208" s="100">
        <v>0.35</v>
      </c>
      <c r="H208" s="100"/>
      <c r="I208" s="100"/>
      <c r="J208" s="100"/>
      <c r="K208" s="100"/>
      <c r="L208" s="368"/>
      <c r="M208" s="368"/>
      <c r="N208" s="368"/>
    </row>
    <row r="209" spans="2:14">
      <c r="B209" s="48" t="str">
        <f t="shared" si="71"/>
        <v>2x200 (400G-SR8)</v>
      </c>
      <c r="C209" s="49" t="str">
        <f t="shared" si="71"/>
        <v>100 m</v>
      </c>
      <c r="D209" s="50" t="str">
        <f t="shared" si="71"/>
        <v>OSFP, QSFP-DD</v>
      </c>
      <c r="E209" s="102">
        <v>0</v>
      </c>
      <c r="F209" s="102">
        <v>0</v>
      </c>
      <c r="G209" s="102">
        <v>14.811999999999999</v>
      </c>
      <c r="H209" s="102"/>
      <c r="I209" s="102"/>
      <c r="J209" s="102"/>
      <c r="K209" s="102"/>
      <c r="L209" s="154"/>
      <c r="M209" s="154"/>
      <c r="N209" s="154"/>
    </row>
    <row r="210" spans="2:14">
      <c r="B210" s="48" t="str">
        <f t="shared" si="71"/>
        <v>200G FR4</v>
      </c>
      <c r="C210" s="49" t="str">
        <f t="shared" si="71"/>
        <v>2 km</v>
      </c>
      <c r="D210" s="50" t="str">
        <f t="shared" si="71"/>
        <v>QSFP56</v>
      </c>
      <c r="E210" s="102">
        <v>0</v>
      </c>
      <c r="F210" s="102">
        <v>0</v>
      </c>
      <c r="G210" s="102">
        <v>0.75</v>
      </c>
      <c r="H210" s="102"/>
      <c r="I210" s="102"/>
      <c r="J210" s="102"/>
      <c r="K210" s="102"/>
      <c r="L210" s="154"/>
      <c r="M210" s="154"/>
      <c r="N210" s="154"/>
    </row>
    <row r="211" spans="2:14">
      <c r="B211" s="51" t="str">
        <f t="shared" si="71"/>
        <v>2x(200G FR4)</v>
      </c>
      <c r="C211" s="52" t="str">
        <f t="shared" si="71"/>
        <v>2 km</v>
      </c>
      <c r="D211" s="53" t="str">
        <f t="shared" si="71"/>
        <v>OSFP</v>
      </c>
      <c r="E211" s="101">
        <v>0</v>
      </c>
      <c r="F211" s="101">
        <v>0</v>
      </c>
      <c r="G211" s="101">
        <v>22.2</v>
      </c>
      <c r="H211" s="101"/>
      <c r="I211" s="101"/>
      <c r="J211" s="101"/>
      <c r="K211" s="101"/>
      <c r="L211" s="367"/>
      <c r="M211" s="367"/>
      <c r="N211" s="367"/>
    </row>
    <row r="212" spans="2:14">
      <c r="B212" s="167" t="str">
        <f t="shared" si="71"/>
        <v>400G SR4.2, SR4</v>
      </c>
      <c r="C212" s="163" t="str">
        <f t="shared" si="71"/>
        <v>100 m</v>
      </c>
      <c r="D212" s="162" t="str">
        <f t="shared" si="71"/>
        <v>OSFP, QSFP-DD, QSFP112</v>
      </c>
      <c r="E212" s="100">
        <v>0</v>
      </c>
      <c r="F212" s="100">
        <v>0</v>
      </c>
      <c r="G212" s="100">
        <v>0</v>
      </c>
      <c r="H212" s="100"/>
      <c r="I212" s="100"/>
      <c r="J212" s="100"/>
      <c r="K212" s="100"/>
      <c r="L212" s="368"/>
      <c r="M212" s="368"/>
      <c r="N212" s="368"/>
    </row>
    <row r="213" spans="2:14">
      <c r="B213" s="48" t="str">
        <f t="shared" si="71"/>
        <v>400G DR4</v>
      </c>
      <c r="C213" s="49" t="str">
        <f t="shared" si="71"/>
        <v>500 m</v>
      </c>
      <c r="D213" s="50" t="str">
        <f t="shared" si="71"/>
        <v>OSFP, QSFP-DD, QSFP112</v>
      </c>
      <c r="E213" s="102">
        <v>0</v>
      </c>
      <c r="F213" s="102">
        <v>0</v>
      </c>
      <c r="G213" s="102">
        <v>2.2000000000000002</v>
      </c>
      <c r="H213" s="102"/>
      <c r="I213" s="102"/>
      <c r="J213" s="102"/>
      <c r="K213" s="102"/>
      <c r="L213" s="154"/>
      <c r="M213" s="154"/>
      <c r="N213" s="154"/>
    </row>
    <row r="214" spans="2:14">
      <c r="B214" s="48" t="str">
        <f t="shared" si="71"/>
        <v>400G FR4</v>
      </c>
      <c r="C214" s="49" t="str">
        <f t="shared" si="71"/>
        <v>2 km</v>
      </c>
      <c r="D214" s="50" t="str">
        <f t="shared" si="71"/>
        <v>OSFP, QSFP-DD, QSFP112</v>
      </c>
      <c r="E214" s="102">
        <v>0</v>
      </c>
      <c r="F214" s="102">
        <v>8.1299999999999997E-2</v>
      </c>
      <c r="G214" s="102">
        <v>2</v>
      </c>
      <c r="H214" s="102"/>
      <c r="I214" s="102"/>
      <c r="J214" s="102"/>
      <c r="K214" s="102"/>
      <c r="L214" s="154"/>
      <c r="M214" s="154"/>
      <c r="N214" s="154"/>
    </row>
    <row r="215" spans="2:14">
      <c r="B215" s="51" t="str">
        <f t="shared" si="71"/>
        <v>400G LR4, LR8</v>
      </c>
      <c r="C215" s="52" t="str">
        <f t="shared" si="71"/>
        <v>10 km</v>
      </c>
      <c r="D215" s="53" t="str">
        <f t="shared" si="71"/>
        <v>OSFP, QSFP-DD, QSFP112</v>
      </c>
      <c r="E215" s="101">
        <v>0</v>
      </c>
      <c r="F215" s="101">
        <v>1.2669999999999999</v>
      </c>
      <c r="G215" s="101">
        <v>8</v>
      </c>
      <c r="H215" s="101"/>
      <c r="I215" s="101"/>
      <c r="J215" s="101"/>
      <c r="K215" s="101"/>
      <c r="L215" s="367"/>
      <c r="M215" s="367"/>
      <c r="N215" s="367"/>
    </row>
    <row r="216" spans="2:14">
      <c r="B216" s="167" t="str">
        <f t="shared" si="71"/>
        <v>800G SR8</v>
      </c>
      <c r="C216" s="163" t="str">
        <f t="shared" si="71"/>
        <v>50 m</v>
      </c>
      <c r="D216" s="162" t="str">
        <f t="shared" si="71"/>
        <v>OSFP, QSFP-DD800</v>
      </c>
      <c r="E216" s="100"/>
      <c r="F216" s="100"/>
      <c r="G216" s="100"/>
      <c r="H216" s="100"/>
      <c r="I216" s="100"/>
      <c r="J216" s="100"/>
      <c r="K216" s="100"/>
      <c r="L216" s="368"/>
      <c r="M216" s="368"/>
      <c r="N216" s="368"/>
    </row>
    <row r="217" spans="2:14">
      <c r="B217" s="48" t="str">
        <f>B67</f>
        <v>800G PSM8</v>
      </c>
      <c r="C217" s="49" t="str">
        <f t="shared" si="71"/>
        <v>500 m</v>
      </c>
      <c r="D217" s="50" t="str">
        <f t="shared" si="71"/>
        <v>OSFP, QSFP-DD800</v>
      </c>
      <c r="E217" s="102"/>
      <c r="F217" s="102"/>
      <c r="G217" s="102"/>
      <c r="H217" s="102"/>
      <c r="I217" s="102"/>
      <c r="J217" s="102"/>
      <c r="K217" s="102"/>
      <c r="L217" s="154"/>
      <c r="M217" s="154"/>
      <c r="N217" s="154"/>
    </row>
    <row r="218" spans="2:14">
      <c r="B218" s="48" t="str">
        <f>B68</f>
        <v>2x(400G FR4)</v>
      </c>
      <c r="C218" s="49" t="str">
        <f t="shared" si="71"/>
        <v>2 km</v>
      </c>
      <c r="D218" s="50" t="str">
        <f t="shared" si="71"/>
        <v>OSFP, QSFP-DD800</v>
      </c>
      <c r="E218" s="102"/>
      <c r="F218" s="102"/>
      <c r="G218" s="102"/>
      <c r="H218" s="102"/>
      <c r="I218" s="102"/>
      <c r="J218" s="102"/>
      <c r="K218" s="102"/>
      <c r="L218" s="154"/>
      <c r="M218" s="154"/>
      <c r="N218" s="154"/>
    </row>
    <row r="219" spans="2:14">
      <c r="B219" s="51"/>
      <c r="C219" s="52"/>
      <c r="D219" s="53"/>
      <c r="E219" s="101"/>
      <c r="F219" s="101"/>
      <c r="G219" s="101"/>
      <c r="H219" s="101"/>
      <c r="I219" s="101"/>
      <c r="J219" s="101"/>
      <c r="K219" s="101"/>
      <c r="L219" s="367"/>
      <c r="M219" s="367"/>
      <c r="N219" s="367"/>
    </row>
    <row r="220" spans="2:14">
      <c r="B220" s="45" t="s">
        <v>20</v>
      </c>
      <c r="C220" s="46"/>
      <c r="D220" s="47"/>
      <c r="E220" s="94">
        <f t="shared" ref="E220:N220" si="72">SUM(E159:E219)</f>
        <v>2687.6154083151869</v>
      </c>
      <c r="F220" s="94">
        <f>SUM(F159:F219)</f>
        <v>3178.1921388481992</v>
      </c>
      <c r="G220" s="94">
        <f>SUM(G159:G219)</f>
        <v>3389.2344867253714</v>
      </c>
      <c r="H220" s="94">
        <f>SUM(H159:H219)</f>
        <v>0</v>
      </c>
      <c r="I220" s="94">
        <f>SUM(I159:I219)</f>
        <v>0</v>
      </c>
      <c r="J220" s="94">
        <f t="shared" si="72"/>
        <v>0</v>
      </c>
      <c r="K220" s="94">
        <f t="shared" si="72"/>
        <v>0</v>
      </c>
      <c r="L220" s="365">
        <f t="shared" si="72"/>
        <v>0</v>
      </c>
      <c r="M220" s="365">
        <f t="shared" si="72"/>
        <v>0</v>
      </c>
      <c r="N220" s="365">
        <f t="shared" si="72"/>
        <v>0</v>
      </c>
    </row>
    <row r="221" spans="2:14">
      <c r="B221" s="167" t="s">
        <v>338</v>
      </c>
      <c r="C221" s="459" t="s">
        <v>51</v>
      </c>
      <c r="D221" s="491" t="s">
        <v>51</v>
      </c>
      <c r="E221" s="456">
        <f t="shared" ref="E221:M221" si="73">SUM(E164:E173)</f>
        <v>595.34603687362983</v>
      </c>
      <c r="F221" s="456">
        <f t="shared" si="73"/>
        <v>488.89860153423245</v>
      </c>
      <c r="G221" s="456">
        <f t="shared" si="73"/>
        <v>471.81983653865217</v>
      </c>
      <c r="H221" s="456">
        <f t="shared" si="73"/>
        <v>0</v>
      </c>
      <c r="I221" s="456">
        <f t="shared" si="73"/>
        <v>0</v>
      </c>
      <c r="J221" s="456">
        <f t="shared" si="73"/>
        <v>0</v>
      </c>
      <c r="K221" s="456">
        <f t="shared" si="73"/>
        <v>0</v>
      </c>
      <c r="L221" s="456">
        <f t="shared" si="73"/>
        <v>0</v>
      </c>
      <c r="M221" s="456">
        <f t="shared" si="73"/>
        <v>0</v>
      </c>
      <c r="N221" s="456">
        <f>SUM(N164:N173)</f>
        <v>0</v>
      </c>
    </row>
    <row r="222" spans="2:14">
      <c r="B222" s="48" t="str">
        <f t="shared" ref="B222:D228" si="74">B72</f>
        <v>25G total</v>
      </c>
      <c r="C222" s="188" t="str">
        <f t="shared" si="74"/>
        <v>All</v>
      </c>
      <c r="D222" s="457" t="str">
        <f t="shared" si="74"/>
        <v>All</v>
      </c>
      <c r="E222" s="198">
        <f t="shared" ref="E222:M222" si="75">SUM(E174:E176)</f>
        <v>3.4123060000000001</v>
      </c>
      <c r="F222" s="198">
        <f t="shared" si="75"/>
        <v>19.187075306914231</v>
      </c>
      <c r="G222" s="198">
        <f t="shared" si="75"/>
        <v>38.882710120000013</v>
      </c>
      <c r="H222" s="200">
        <f t="shared" si="75"/>
        <v>0</v>
      </c>
      <c r="I222" s="200">
        <f t="shared" si="75"/>
        <v>0</v>
      </c>
      <c r="J222" s="200">
        <f t="shared" si="75"/>
        <v>0</v>
      </c>
      <c r="K222" s="200">
        <f t="shared" si="75"/>
        <v>0</v>
      </c>
      <c r="L222" s="96">
        <f t="shared" si="75"/>
        <v>0</v>
      </c>
      <c r="M222" s="96">
        <f t="shared" si="75"/>
        <v>0</v>
      </c>
      <c r="N222" s="96">
        <f>SUM(N174:N176)</f>
        <v>0</v>
      </c>
    </row>
    <row r="223" spans="2:14">
      <c r="B223" s="48" t="str">
        <f t="shared" si="74"/>
        <v>40G total</v>
      </c>
      <c r="C223" s="188" t="str">
        <f t="shared" si="74"/>
        <v>All</v>
      </c>
      <c r="D223" s="457" t="str">
        <f t="shared" si="74"/>
        <v>All</v>
      </c>
      <c r="E223" s="142">
        <f t="shared" ref="E223:M223" si="76">SUM(E177:E185)</f>
        <v>787.93297017215446</v>
      </c>
      <c r="F223" s="142">
        <f t="shared" si="76"/>
        <v>904.27751564220159</v>
      </c>
      <c r="G223" s="142">
        <f t="shared" si="76"/>
        <v>539.48394892970373</v>
      </c>
      <c r="H223" s="142">
        <f t="shared" si="76"/>
        <v>0</v>
      </c>
      <c r="I223" s="142">
        <f t="shared" si="76"/>
        <v>0</v>
      </c>
      <c r="J223" s="142">
        <f t="shared" si="76"/>
        <v>0</v>
      </c>
      <c r="K223" s="142">
        <f t="shared" si="76"/>
        <v>0</v>
      </c>
      <c r="L223" s="96">
        <f t="shared" si="76"/>
        <v>0</v>
      </c>
      <c r="M223" s="96">
        <f t="shared" si="76"/>
        <v>0</v>
      </c>
      <c r="N223" s="96">
        <f>SUM(N177:N185)</f>
        <v>0</v>
      </c>
    </row>
    <row r="224" spans="2:14">
      <c r="B224" s="48" t="str">
        <f t="shared" si="74"/>
        <v>50G total</v>
      </c>
      <c r="C224" s="188" t="str">
        <f t="shared" si="74"/>
        <v>All</v>
      </c>
      <c r="D224" s="457" t="str">
        <f t="shared" si="74"/>
        <v>All</v>
      </c>
      <c r="E224" s="96">
        <f t="shared" ref="E224:M224" si="77">SUM(E186:E190)</f>
        <v>0</v>
      </c>
      <c r="F224" s="96">
        <f t="shared" si="77"/>
        <v>0</v>
      </c>
      <c r="G224" s="96">
        <f t="shared" si="77"/>
        <v>0</v>
      </c>
      <c r="H224" s="96">
        <f t="shared" si="77"/>
        <v>0</v>
      </c>
      <c r="I224" s="96">
        <f t="shared" si="77"/>
        <v>0</v>
      </c>
      <c r="J224" s="96">
        <f t="shared" si="77"/>
        <v>0</v>
      </c>
      <c r="K224" s="96">
        <f t="shared" si="77"/>
        <v>0</v>
      </c>
      <c r="L224" s="96">
        <f t="shared" si="77"/>
        <v>0</v>
      </c>
      <c r="M224" s="96">
        <f t="shared" si="77"/>
        <v>0</v>
      </c>
      <c r="N224" s="96">
        <f>SUM(N186:N190)</f>
        <v>0</v>
      </c>
    </row>
    <row r="225" spans="2:14">
      <c r="B225" s="48" t="str">
        <f t="shared" si="74"/>
        <v>100G total</v>
      </c>
      <c r="C225" s="188" t="str">
        <f t="shared" si="74"/>
        <v>All</v>
      </c>
      <c r="D225" s="457" t="str">
        <f t="shared" si="74"/>
        <v>All</v>
      </c>
      <c r="E225" s="142">
        <f t="shared" ref="E225:M225" si="78">SUM(E191:E207)</f>
        <v>1143.1589641396481</v>
      </c>
      <c r="F225" s="142">
        <f t="shared" si="78"/>
        <v>1653.8532387335786</v>
      </c>
      <c r="G225" s="142">
        <f t="shared" si="78"/>
        <v>2156.8222260170164</v>
      </c>
      <c r="H225" s="142">
        <f t="shared" si="78"/>
        <v>0</v>
      </c>
      <c r="I225" s="142">
        <f t="shared" si="78"/>
        <v>0</v>
      </c>
      <c r="J225" s="142">
        <f t="shared" si="78"/>
        <v>0</v>
      </c>
      <c r="K225" s="142">
        <f t="shared" si="78"/>
        <v>0</v>
      </c>
      <c r="L225" s="96">
        <f t="shared" si="78"/>
        <v>0</v>
      </c>
      <c r="M225" s="96">
        <f t="shared" si="78"/>
        <v>0</v>
      </c>
      <c r="N225" s="96">
        <f>SUM(N191:N207)</f>
        <v>0</v>
      </c>
    </row>
    <row r="226" spans="2:14">
      <c r="B226" s="48" t="str">
        <f t="shared" si="74"/>
        <v>200G total</v>
      </c>
      <c r="C226" s="188" t="str">
        <f t="shared" si="74"/>
        <v>All</v>
      </c>
      <c r="D226" s="457" t="str">
        <f t="shared" si="74"/>
        <v>All</v>
      </c>
      <c r="E226" s="189">
        <f>E208+E210</f>
        <v>0</v>
      </c>
      <c r="F226" s="189">
        <f t="shared" ref="F226:N226" si="79">F208+F210</f>
        <v>0</v>
      </c>
      <c r="G226" s="189">
        <f t="shared" si="79"/>
        <v>1.1000000000000001</v>
      </c>
      <c r="H226" s="189">
        <f t="shared" si="79"/>
        <v>0</v>
      </c>
      <c r="I226" s="189">
        <f t="shared" si="79"/>
        <v>0</v>
      </c>
      <c r="J226" s="189">
        <f t="shared" si="79"/>
        <v>0</v>
      </c>
      <c r="K226" s="142">
        <f t="shared" si="79"/>
        <v>0</v>
      </c>
      <c r="L226" s="96">
        <f t="shared" si="79"/>
        <v>0</v>
      </c>
      <c r="M226" s="96">
        <f t="shared" si="79"/>
        <v>0</v>
      </c>
      <c r="N226" s="96">
        <f t="shared" si="79"/>
        <v>0</v>
      </c>
    </row>
    <row r="227" spans="2:14">
      <c r="B227" s="48" t="str">
        <f t="shared" si="74"/>
        <v>400G total</v>
      </c>
      <c r="C227" s="188" t="str">
        <f t="shared" si="74"/>
        <v>All</v>
      </c>
      <c r="D227" s="457" t="str">
        <f t="shared" si="74"/>
        <v>All</v>
      </c>
      <c r="E227" s="142">
        <f>SUM(E211:E215)+E209</f>
        <v>0</v>
      </c>
      <c r="F227" s="142">
        <f t="shared" ref="F227:N227" si="80">SUM(F211:F215)+F209</f>
        <v>1.3482999999999998</v>
      </c>
      <c r="G227" s="142">
        <f>SUM(G211:G215)+G209</f>
        <v>49.211999999999996</v>
      </c>
      <c r="H227" s="142">
        <f t="shared" si="80"/>
        <v>0</v>
      </c>
      <c r="I227" s="142">
        <f t="shared" si="80"/>
        <v>0</v>
      </c>
      <c r="J227" s="142">
        <f t="shared" si="80"/>
        <v>0</v>
      </c>
      <c r="K227" s="142">
        <f t="shared" si="80"/>
        <v>0</v>
      </c>
      <c r="L227" s="96">
        <f t="shared" si="80"/>
        <v>0</v>
      </c>
      <c r="M227" s="96">
        <f t="shared" si="80"/>
        <v>0</v>
      </c>
      <c r="N227" s="96">
        <f t="shared" si="80"/>
        <v>0</v>
      </c>
    </row>
    <row r="228" spans="2:14">
      <c r="B228" s="51" t="str">
        <f t="shared" si="74"/>
        <v>800G total</v>
      </c>
      <c r="C228" s="494" t="str">
        <f t="shared" si="74"/>
        <v>All</v>
      </c>
      <c r="D228" s="453" t="str">
        <f t="shared" si="74"/>
        <v>All</v>
      </c>
      <c r="E228" s="365">
        <f t="shared" ref="E228:M228" si="81">SUM(E216:E219)</f>
        <v>0</v>
      </c>
      <c r="F228" s="365">
        <f t="shared" si="81"/>
        <v>0</v>
      </c>
      <c r="G228" s="365">
        <f t="shared" si="81"/>
        <v>0</v>
      </c>
      <c r="H228" s="365">
        <f t="shared" si="81"/>
        <v>0</v>
      </c>
      <c r="I228" s="365">
        <f t="shared" si="81"/>
        <v>0</v>
      </c>
      <c r="J228" s="365">
        <f t="shared" si="81"/>
        <v>0</v>
      </c>
      <c r="K228" s="365">
        <f t="shared" si="81"/>
        <v>0</v>
      </c>
      <c r="L228" s="365">
        <f t="shared" si="81"/>
        <v>0</v>
      </c>
      <c r="M228" s="365">
        <f t="shared" si="81"/>
        <v>0</v>
      </c>
      <c r="N228" s="365">
        <f>SUM(N216:N219)</f>
        <v>0</v>
      </c>
    </row>
    <row r="230" spans="2:14">
      <c r="L230" s="69"/>
      <c r="M230" s="69"/>
      <c r="N230" s="69"/>
    </row>
    <row r="231" spans="2:14">
      <c r="L231" s="69"/>
      <c r="M231" s="69"/>
      <c r="N231" s="69"/>
    </row>
    <row r="232" spans="2:14">
      <c r="L232" s="69"/>
      <c r="M232" s="69"/>
      <c r="N232" s="69"/>
    </row>
  </sheetData>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1:AA54"/>
  <sheetViews>
    <sheetView showGridLines="0" zoomScale="70" zoomScaleNormal="70" workbookViewId="0">
      <selection activeCell="L5" sqref="L5"/>
    </sheetView>
  </sheetViews>
  <sheetFormatPr defaultColWidth="8.6328125" defaultRowHeight="13"/>
  <cols>
    <col min="1" max="1" width="4.54296875" style="190" customWidth="1"/>
    <col min="2" max="2" width="14.453125" style="190" customWidth="1"/>
    <col min="3" max="3" width="7.81640625" style="190" customWidth="1"/>
    <col min="4" max="4" width="9.1796875" style="190" customWidth="1"/>
    <col min="5" max="5" width="9.81640625" style="190" customWidth="1"/>
    <col min="6" max="12" width="10.6328125" style="190" customWidth="1"/>
    <col min="13" max="13" width="4.36328125" style="190" customWidth="1"/>
    <col min="14" max="14" width="21.36328125" style="190" customWidth="1"/>
    <col min="15" max="16" width="9.36328125" style="190" customWidth="1"/>
    <col min="17" max="19" width="10.1796875" style="190" customWidth="1"/>
    <col min="20" max="24" width="10.6328125" style="190" customWidth="1"/>
    <col min="25" max="25" width="5.1796875" style="190" customWidth="1"/>
    <col min="27" max="27" width="10.6328125" style="190" bestFit="1" customWidth="1"/>
    <col min="28" max="16384" width="8.6328125" style="190"/>
  </cols>
  <sheetData>
    <row r="1" spans="2:26" ht="12.5" customHeight="1"/>
    <row r="2" spans="2:26" ht="20.5" customHeight="1">
      <c r="B2" s="6" t="str">
        <f>Introduction!$B$2</f>
        <v>LightCounting Ethernet Transceivers Forecast</v>
      </c>
      <c r="C2" s="337"/>
      <c r="D2" s="337"/>
    </row>
    <row r="3" spans="2:26" ht="15.5">
      <c r="B3" s="40" t="str">
        <f>Introduction!B3</f>
        <v>September 2020 - sample -- for illustrative purposes only</v>
      </c>
      <c r="C3" s="210"/>
      <c r="D3" s="210"/>
      <c r="Z3" s="4"/>
    </row>
    <row r="4" spans="2:26" ht="18.5">
      <c r="B4" s="6" t="s">
        <v>419</v>
      </c>
      <c r="C4" s="337"/>
      <c r="D4" s="337"/>
      <c r="Z4" s="4"/>
    </row>
    <row r="5" spans="2:26">
      <c r="Z5" s="4"/>
    </row>
    <row r="6" spans="2:26" ht="18.5">
      <c r="B6" s="126" t="s">
        <v>418</v>
      </c>
      <c r="N6" s="126" t="s">
        <v>417</v>
      </c>
    </row>
    <row r="7" spans="2:26">
      <c r="B7" s="196"/>
      <c r="C7" s="448"/>
      <c r="D7" s="448"/>
      <c r="E7" s="448"/>
      <c r="F7" s="448"/>
      <c r="G7" s="448"/>
      <c r="H7" s="448"/>
      <c r="I7" s="448"/>
      <c r="J7" s="448"/>
      <c r="K7" s="448"/>
      <c r="L7" s="448"/>
      <c r="N7" s="196"/>
      <c r="O7" s="448"/>
      <c r="P7" s="448"/>
      <c r="Q7" s="448"/>
      <c r="R7" s="448"/>
      <c r="S7" s="448"/>
      <c r="T7" s="448"/>
      <c r="U7" s="448"/>
      <c r="V7" s="448"/>
      <c r="W7" s="448"/>
      <c r="X7" s="448"/>
      <c r="Z7" s="4"/>
    </row>
    <row r="8" spans="2:26">
      <c r="Z8" s="4"/>
    </row>
    <row r="9" spans="2:26">
      <c r="Z9" s="4"/>
    </row>
    <row r="10" spans="2:26">
      <c r="Z10" s="4"/>
    </row>
    <row r="11" spans="2:26">
      <c r="Z11" s="4"/>
    </row>
    <row r="12" spans="2:26">
      <c r="Z12" s="4"/>
    </row>
    <row r="27" spans="2:27">
      <c r="C27" s="543">
        <v>2016</v>
      </c>
      <c r="D27" s="543">
        <v>2017</v>
      </c>
      <c r="E27" s="543">
        <v>2018</v>
      </c>
      <c r="F27" s="543">
        <v>2019</v>
      </c>
      <c r="G27" s="543">
        <v>2020</v>
      </c>
      <c r="H27" s="543">
        <v>2021</v>
      </c>
      <c r="I27" s="543">
        <v>2022</v>
      </c>
      <c r="J27" s="543">
        <v>2023</v>
      </c>
      <c r="K27" s="543">
        <v>2024</v>
      </c>
      <c r="L27" s="543">
        <v>2025</v>
      </c>
      <c r="O27" s="543">
        <v>2016</v>
      </c>
      <c r="P27" s="543">
        <v>2017</v>
      </c>
      <c r="Q27" s="543">
        <v>2018</v>
      </c>
      <c r="R27" s="543">
        <v>2019</v>
      </c>
      <c r="S27" s="543">
        <v>2020</v>
      </c>
      <c r="T27" s="543">
        <v>2021</v>
      </c>
      <c r="U27" s="543">
        <v>2022</v>
      </c>
      <c r="V27" s="543">
        <v>2023</v>
      </c>
      <c r="W27" s="543">
        <v>2024</v>
      </c>
      <c r="X27" s="543">
        <v>2025</v>
      </c>
      <c r="Z27" s="44"/>
      <c r="AA27" s="44"/>
    </row>
    <row r="28" spans="2:27">
      <c r="B28" s="213" t="s">
        <v>409</v>
      </c>
      <c r="C28" s="449">
        <f t="shared" ref="C28:L28" si="0">C34+C40+C46+C52</f>
        <v>370501</v>
      </c>
      <c r="D28" s="449">
        <f t="shared" si="0"/>
        <v>985144</v>
      </c>
      <c r="E28" s="449">
        <f t="shared" si="0"/>
        <v>2316708.1176470588</v>
      </c>
      <c r="F28" s="449">
        <f t="shared" si="0"/>
        <v>0</v>
      </c>
      <c r="G28" s="449">
        <f t="shared" si="0"/>
        <v>0</v>
      </c>
      <c r="H28" s="449">
        <f t="shared" si="0"/>
        <v>0</v>
      </c>
      <c r="I28" s="449">
        <f t="shared" si="0"/>
        <v>0</v>
      </c>
      <c r="J28" s="449">
        <f t="shared" si="0"/>
        <v>0</v>
      </c>
      <c r="K28" s="449">
        <f t="shared" si="0"/>
        <v>0</v>
      </c>
      <c r="L28" s="449">
        <f t="shared" si="0"/>
        <v>0</v>
      </c>
      <c r="N28" s="213" t="s">
        <v>411</v>
      </c>
      <c r="O28" s="449">
        <f t="shared" ref="O28:X28" si="1">O34+O40+O46+O52</f>
        <v>0</v>
      </c>
      <c r="P28" s="449">
        <f t="shared" si="1"/>
        <v>89</v>
      </c>
      <c r="Q28" s="449">
        <f t="shared" si="1"/>
        <v>39000</v>
      </c>
      <c r="R28" s="449">
        <f t="shared" si="1"/>
        <v>0</v>
      </c>
      <c r="S28" s="449">
        <f t="shared" si="1"/>
        <v>0</v>
      </c>
      <c r="T28" s="449">
        <f t="shared" si="1"/>
        <v>0</v>
      </c>
      <c r="U28" s="449">
        <f t="shared" si="1"/>
        <v>0</v>
      </c>
      <c r="V28" s="449">
        <f t="shared" si="1"/>
        <v>0</v>
      </c>
      <c r="W28" s="449">
        <f t="shared" si="1"/>
        <v>0</v>
      </c>
      <c r="X28" s="449">
        <f t="shared" si="1"/>
        <v>0</v>
      </c>
    </row>
    <row r="29" spans="2:27">
      <c r="B29" s="213" t="s">
        <v>410</v>
      </c>
      <c r="C29" s="449">
        <f t="shared" ref="C29:L29" si="2">C35+C41+C47+C53</f>
        <v>0</v>
      </c>
      <c r="D29" s="449">
        <f t="shared" si="2"/>
        <v>0</v>
      </c>
      <c r="E29" s="449">
        <f t="shared" si="2"/>
        <v>0</v>
      </c>
      <c r="F29" s="449">
        <f t="shared" si="2"/>
        <v>0</v>
      </c>
      <c r="G29" s="449">
        <f t="shared" si="2"/>
        <v>0</v>
      </c>
      <c r="H29" s="449">
        <f t="shared" si="2"/>
        <v>0</v>
      </c>
      <c r="I29" s="449">
        <f t="shared" si="2"/>
        <v>0</v>
      </c>
      <c r="J29" s="449">
        <f t="shared" si="2"/>
        <v>0</v>
      </c>
      <c r="K29" s="449">
        <f t="shared" si="2"/>
        <v>0</v>
      </c>
      <c r="L29" s="449">
        <f t="shared" si="2"/>
        <v>0</v>
      </c>
      <c r="N29" s="213" t="s">
        <v>415</v>
      </c>
      <c r="O29" s="449">
        <f t="shared" ref="O29:X29" si="3">O35+O47+O53+O41</f>
        <v>0</v>
      </c>
      <c r="P29" s="449">
        <f t="shared" si="3"/>
        <v>0</v>
      </c>
      <c r="Q29" s="449">
        <f t="shared" si="3"/>
        <v>0</v>
      </c>
      <c r="R29" s="449">
        <f t="shared" si="3"/>
        <v>0</v>
      </c>
      <c r="S29" s="449">
        <f t="shared" si="3"/>
        <v>0</v>
      </c>
      <c r="T29" s="449">
        <f t="shared" si="3"/>
        <v>0</v>
      </c>
      <c r="U29" s="449">
        <f t="shared" si="3"/>
        <v>0</v>
      </c>
      <c r="V29" s="449">
        <f t="shared" si="3"/>
        <v>0</v>
      </c>
      <c r="W29" s="449">
        <f t="shared" si="3"/>
        <v>0</v>
      </c>
      <c r="X29" s="449">
        <f t="shared" si="3"/>
        <v>0</v>
      </c>
    </row>
    <row r="32" spans="2:27">
      <c r="B32" s="68" t="s">
        <v>416</v>
      </c>
      <c r="C32" s="542">
        <v>2016</v>
      </c>
      <c r="D32" s="542">
        <v>2017</v>
      </c>
      <c r="E32" s="542">
        <v>2018</v>
      </c>
      <c r="F32" s="542">
        <v>2019</v>
      </c>
      <c r="G32" s="542">
        <v>2020</v>
      </c>
      <c r="H32" s="542">
        <v>2021</v>
      </c>
      <c r="I32" s="542">
        <v>2022</v>
      </c>
      <c r="J32" s="542">
        <v>2023</v>
      </c>
      <c r="K32" s="542">
        <v>2024</v>
      </c>
      <c r="L32" s="542">
        <v>2025</v>
      </c>
      <c r="N32" s="68" t="s">
        <v>412</v>
      </c>
      <c r="O32" s="542">
        <v>2016</v>
      </c>
      <c r="P32" s="542">
        <v>2017</v>
      </c>
      <c r="Q32" s="542">
        <v>2018</v>
      </c>
      <c r="R32" s="542">
        <v>2019</v>
      </c>
      <c r="S32" s="542">
        <v>2020</v>
      </c>
      <c r="T32" s="542">
        <v>2021</v>
      </c>
      <c r="U32" s="542">
        <v>2022</v>
      </c>
      <c r="V32" s="542">
        <v>2023</v>
      </c>
      <c r="W32" s="542">
        <v>2024</v>
      </c>
      <c r="X32" s="542">
        <v>2025</v>
      </c>
    </row>
    <row r="33" spans="2:27">
      <c r="B33" s="213" t="s">
        <v>403</v>
      </c>
      <c r="C33" s="212">
        <f>'Products x speed'!E43</f>
        <v>280058</v>
      </c>
      <c r="D33" s="212">
        <f>'Products x speed'!F43</f>
        <v>622792</v>
      </c>
      <c r="E33" s="212">
        <f>'Products x speed'!G43</f>
        <v>1915817</v>
      </c>
      <c r="F33" s="212">
        <f>'Products x speed'!H43</f>
        <v>0</v>
      </c>
      <c r="G33" s="212">
        <f>'Products x speed'!I43</f>
        <v>0</v>
      </c>
      <c r="H33" s="212">
        <f>'Products x speed'!J43</f>
        <v>0</v>
      </c>
      <c r="I33" s="212">
        <f>'Products x speed'!K43</f>
        <v>0</v>
      </c>
      <c r="J33" s="212">
        <f>'Products x speed'!L43</f>
        <v>0</v>
      </c>
      <c r="K33" s="212">
        <f>'Products x speed'!M43</f>
        <v>0</v>
      </c>
      <c r="L33" s="212">
        <f>'Products x speed'!N43</f>
        <v>0</v>
      </c>
      <c r="N33" s="213" t="s">
        <v>403</v>
      </c>
      <c r="O33" s="212">
        <f>'Products x speed'!E62+'Products x speed'!E59</f>
        <v>0</v>
      </c>
      <c r="P33" s="212">
        <f>'Products x speed'!F62+'Products x speed'!F59</f>
        <v>0</v>
      </c>
      <c r="Q33" s="212">
        <f>'Products x speed'!G62+'Products x speed'!G59</f>
        <v>23000</v>
      </c>
      <c r="R33" s="212">
        <f>'Products x speed'!H62+'Products x speed'!H59</f>
        <v>0</v>
      </c>
      <c r="S33" s="212">
        <f>'Products x speed'!I62+'Products x speed'!I59</f>
        <v>0</v>
      </c>
      <c r="T33" s="212">
        <f>'Products x speed'!J62+'Products x speed'!J59</f>
        <v>0</v>
      </c>
      <c r="U33" s="212">
        <f>'Products x speed'!K62+'Products x speed'!K59</f>
        <v>0</v>
      </c>
      <c r="V33" s="212">
        <f>'Products x speed'!L62+'Products x speed'!L59</f>
        <v>0</v>
      </c>
      <c r="W33" s="212">
        <f>'Products x speed'!M62+'Products x speed'!M59</f>
        <v>0</v>
      </c>
      <c r="X33" s="212">
        <f>'Products x speed'!N62+'Products x speed'!N59</f>
        <v>0</v>
      </c>
    </row>
    <row r="34" spans="2:27">
      <c r="B34" s="555" t="s">
        <v>405</v>
      </c>
      <c r="C34" s="449">
        <f t="shared" ref="C34:L34" si="4">C33-C35</f>
        <v>280058</v>
      </c>
      <c r="D34" s="449">
        <f t="shared" si="4"/>
        <v>622792</v>
      </c>
      <c r="E34" s="449">
        <f t="shared" si="4"/>
        <v>1915817</v>
      </c>
      <c r="F34" s="449">
        <f t="shared" si="4"/>
        <v>0</v>
      </c>
      <c r="G34" s="449">
        <f t="shared" si="4"/>
        <v>0</v>
      </c>
      <c r="H34" s="449">
        <f t="shared" si="4"/>
        <v>0</v>
      </c>
      <c r="I34" s="449">
        <f t="shared" si="4"/>
        <v>0</v>
      </c>
      <c r="J34" s="449">
        <f t="shared" si="4"/>
        <v>0</v>
      </c>
      <c r="K34" s="449">
        <f t="shared" si="4"/>
        <v>0</v>
      </c>
      <c r="L34" s="449">
        <f t="shared" si="4"/>
        <v>0</v>
      </c>
      <c r="N34" s="555" t="s">
        <v>408</v>
      </c>
      <c r="O34" s="449">
        <f t="shared" ref="O34:X34" si="5">O33-O35</f>
        <v>0</v>
      </c>
      <c r="P34" s="449">
        <f t="shared" si="5"/>
        <v>0</v>
      </c>
      <c r="Q34" s="449">
        <f t="shared" si="5"/>
        <v>23000</v>
      </c>
      <c r="R34" s="449">
        <f t="shared" si="5"/>
        <v>0</v>
      </c>
      <c r="S34" s="449">
        <f t="shared" si="5"/>
        <v>0</v>
      </c>
      <c r="T34" s="449">
        <f t="shared" si="5"/>
        <v>0</v>
      </c>
      <c r="U34" s="449">
        <f t="shared" si="5"/>
        <v>0</v>
      </c>
      <c r="V34" s="449">
        <f t="shared" si="5"/>
        <v>0</v>
      </c>
      <c r="W34" s="449">
        <f t="shared" si="5"/>
        <v>0</v>
      </c>
      <c r="X34" s="449">
        <f t="shared" si="5"/>
        <v>0</v>
      </c>
    </row>
    <row r="35" spans="2:27">
      <c r="B35" s="555" t="s">
        <v>404</v>
      </c>
      <c r="C35" s="449">
        <f t="shared" ref="C35:L35" si="6">C33*C36</f>
        <v>0</v>
      </c>
      <c r="D35" s="449">
        <f t="shared" si="6"/>
        <v>0</v>
      </c>
      <c r="E35" s="449">
        <f t="shared" si="6"/>
        <v>0</v>
      </c>
      <c r="F35" s="449">
        <f t="shared" si="6"/>
        <v>0</v>
      </c>
      <c r="G35" s="449">
        <f t="shared" si="6"/>
        <v>0</v>
      </c>
      <c r="H35" s="449">
        <f t="shared" si="6"/>
        <v>0</v>
      </c>
      <c r="I35" s="449">
        <f t="shared" si="6"/>
        <v>0</v>
      </c>
      <c r="J35" s="449">
        <f t="shared" si="6"/>
        <v>0</v>
      </c>
      <c r="K35" s="449">
        <f t="shared" si="6"/>
        <v>0</v>
      </c>
      <c r="L35" s="449">
        <f t="shared" si="6"/>
        <v>0</v>
      </c>
      <c r="N35" s="555" t="s">
        <v>407</v>
      </c>
      <c r="O35" s="449">
        <f t="shared" ref="O35:X35" si="7">O33*O36</f>
        <v>0</v>
      </c>
      <c r="P35" s="449">
        <f t="shared" si="7"/>
        <v>0</v>
      </c>
      <c r="Q35" s="449">
        <f t="shared" si="7"/>
        <v>0</v>
      </c>
      <c r="R35" s="449">
        <f t="shared" si="7"/>
        <v>0</v>
      </c>
      <c r="S35" s="449">
        <f t="shared" si="7"/>
        <v>0</v>
      </c>
      <c r="T35" s="449">
        <f t="shared" si="7"/>
        <v>0</v>
      </c>
      <c r="U35" s="449">
        <f t="shared" si="7"/>
        <v>0</v>
      </c>
      <c r="V35" s="449">
        <f t="shared" si="7"/>
        <v>0</v>
      </c>
      <c r="W35" s="449">
        <f t="shared" si="7"/>
        <v>0</v>
      </c>
      <c r="X35" s="449">
        <f t="shared" si="7"/>
        <v>0</v>
      </c>
    </row>
    <row r="36" spans="2:27">
      <c r="B36" s="556" t="str">
        <f>"Percent SFP112"</f>
        <v>Percent SFP112</v>
      </c>
      <c r="C36" s="541">
        <v>0</v>
      </c>
      <c r="D36" s="541">
        <v>0</v>
      </c>
      <c r="E36" s="541">
        <v>0</v>
      </c>
      <c r="F36" s="541">
        <v>0</v>
      </c>
      <c r="G36" s="541">
        <v>0</v>
      </c>
      <c r="H36" s="541">
        <v>0</v>
      </c>
      <c r="I36" s="541">
        <v>0.02</v>
      </c>
      <c r="J36" s="541">
        <v>0.05</v>
      </c>
      <c r="K36" s="541">
        <v>0.2</v>
      </c>
      <c r="L36" s="541">
        <v>0.4</v>
      </c>
      <c r="N36" s="556" t="str">
        <f>"Percent QSFP112"</f>
        <v>Percent QSFP112</v>
      </c>
      <c r="O36" s="541">
        <v>0</v>
      </c>
      <c r="P36" s="541">
        <v>0</v>
      </c>
      <c r="Q36" s="541">
        <v>0</v>
      </c>
      <c r="R36" s="541">
        <v>0</v>
      </c>
      <c r="S36" s="541">
        <v>0</v>
      </c>
      <c r="T36" s="541">
        <v>0</v>
      </c>
      <c r="U36" s="541">
        <v>0.02</v>
      </c>
      <c r="V36" s="541">
        <v>0.05</v>
      </c>
      <c r="W36" s="541">
        <v>0.2</v>
      </c>
      <c r="X36" s="541">
        <v>0.4</v>
      </c>
    </row>
    <row r="37" spans="2:27">
      <c r="B37" s="196"/>
      <c r="C37" s="448"/>
      <c r="D37" s="448"/>
      <c r="E37" s="448"/>
      <c r="F37" s="448"/>
      <c r="G37" s="448"/>
      <c r="H37" s="448"/>
      <c r="I37" s="448"/>
      <c r="J37" s="448"/>
      <c r="K37" s="448"/>
      <c r="L37" s="448"/>
      <c r="N37" s="196"/>
      <c r="O37" s="448"/>
      <c r="P37" s="448"/>
      <c r="Q37" s="448"/>
      <c r="R37" s="448"/>
      <c r="S37" s="448"/>
      <c r="T37" s="448"/>
      <c r="U37" s="448"/>
      <c r="V37" s="448"/>
      <c r="W37" s="448"/>
      <c r="X37" s="448"/>
    </row>
    <row r="38" spans="2:27">
      <c r="B38" s="68" t="s">
        <v>382</v>
      </c>
      <c r="C38" s="542">
        <v>2016</v>
      </c>
      <c r="D38" s="542">
        <v>2017</v>
      </c>
      <c r="E38" s="542">
        <v>2018</v>
      </c>
      <c r="F38" s="542">
        <v>2019</v>
      </c>
      <c r="G38" s="542">
        <v>2020</v>
      </c>
      <c r="H38" s="542">
        <v>2021</v>
      </c>
      <c r="I38" s="542">
        <v>2022</v>
      </c>
      <c r="J38" s="542">
        <v>2023</v>
      </c>
      <c r="K38" s="542">
        <v>2024</v>
      </c>
      <c r="L38" s="542">
        <v>2025</v>
      </c>
      <c r="N38" s="68" t="s">
        <v>255</v>
      </c>
      <c r="O38" s="542">
        <v>2016</v>
      </c>
      <c r="P38" s="542">
        <v>2017</v>
      </c>
      <c r="Q38" s="542">
        <v>2018</v>
      </c>
      <c r="R38" s="542">
        <v>2019</v>
      </c>
      <c r="S38" s="542">
        <v>2020</v>
      </c>
      <c r="T38" s="542">
        <v>2021</v>
      </c>
      <c r="U38" s="542">
        <v>2022</v>
      </c>
      <c r="V38" s="542">
        <v>2023</v>
      </c>
      <c r="W38" s="542">
        <v>2024</v>
      </c>
      <c r="X38" s="542">
        <v>2025</v>
      </c>
    </row>
    <row r="39" spans="2:27">
      <c r="B39" s="213" t="str">
        <f>B33</f>
        <v>Total volume</v>
      </c>
      <c r="C39" s="212">
        <f>'Products x speed'!E48</f>
        <v>0</v>
      </c>
      <c r="D39" s="212">
        <f>'Products x speed'!F48</f>
        <v>0</v>
      </c>
      <c r="E39" s="212">
        <f>'Products x speed'!G48</f>
        <v>3000</v>
      </c>
      <c r="F39" s="212">
        <f>'Products x speed'!H48</f>
        <v>0</v>
      </c>
      <c r="G39" s="212">
        <f>'Products x speed'!I48</f>
        <v>0</v>
      </c>
      <c r="H39" s="212">
        <f>'Products x speed'!J48</f>
        <v>0</v>
      </c>
      <c r="I39" s="212">
        <f>'Products x speed'!K48</f>
        <v>0</v>
      </c>
      <c r="J39" s="212">
        <f>'Products x speed'!L48</f>
        <v>0</v>
      </c>
      <c r="K39" s="212">
        <f>'Products x speed'!M48</f>
        <v>0</v>
      </c>
      <c r="L39" s="212">
        <f>'Products x speed'!N48</f>
        <v>0</v>
      </c>
      <c r="N39" s="213" t="str">
        <f>N33</f>
        <v>Total volume</v>
      </c>
      <c r="O39" s="212">
        <f>'Products x speed'!E63</f>
        <v>0</v>
      </c>
      <c r="P39" s="212">
        <f>'Products x speed'!F63</f>
        <v>0</v>
      </c>
      <c r="Q39" s="212">
        <f>'Products x speed'!G63</f>
        <v>2000</v>
      </c>
      <c r="R39" s="212">
        <f>'Products x speed'!H63</f>
        <v>0</v>
      </c>
      <c r="S39" s="212">
        <f>'Products x speed'!I63</f>
        <v>0</v>
      </c>
      <c r="T39" s="212">
        <f>'Products x speed'!J63</f>
        <v>0</v>
      </c>
      <c r="U39" s="212">
        <f>'Products x speed'!K63</f>
        <v>0</v>
      </c>
      <c r="V39" s="212">
        <f>'Products x speed'!L63</f>
        <v>0</v>
      </c>
      <c r="W39" s="212">
        <f>'Products x speed'!M63</f>
        <v>0</v>
      </c>
      <c r="X39" s="212">
        <f>'Products x speed'!N63</f>
        <v>0</v>
      </c>
    </row>
    <row r="40" spans="2:27">
      <c r="B40" s="555" t="str">
        <f>B34</f>
        <v>Volume QSFP28</v>
      </c>
      <c r="C40" s="449">
        <f t="shared" ref="C40:L40" si="8">C39-C41</f>
        <v>0</v>
      </c>
      <c r="D40" s="449">
        <f t="shared" si="8"/>
        <v>0</v>
      </c>
      <c r="E40" s="449">
        <f t="shared" si="8"/>
        <v>3000</v>
      </c>
      <c r="F40" s="449">
        <f t="shared" si="8"/>
        <v>0</v>
      </c>
      <c r="G40" s="449">
        <f t="shared" si="8"/>
        <v>0</v>
      </c>
      <c r="H40" s="449">
        <f t="shared" si="8"/>
        <v>0</v>
      </c>
      <c r="I40" s="449">
        <f t="shared" si="8"/>
        <v>0</v>
      </c>
      <c r="J40" s="449">
        <f t="shared" si="8"/>
        <v>0</v>
      </c>
      <c r="K40" s="449">
        <f t="shared" si="8"/>
        <v>0</v>
      </c>
      <c r="L40" s="449">
        <f t="shared" si="8"/>
        <v>0</v>
      </c>
      <c r="N40" s="555" t="str">
        <f>N34</f>
        <v>Volume all other</v>
      </c>
      <c r="O40" s="449">
        <f t="shared" ref="O40:X40" si="9">O39-O41</f>
        <v>0</v>
      </c>
      <c r="P40" s="449">
        <f t="shared" si="9"/>
        <v>0</v>
      </c>
      <c r="Q40" s="449">
        <f t="shared" si="9"/>
        <v>2000</v>
      </c>
      <c r="R40" s="449">
        <f t="shared" si="9"/>
        <v>0</v>
      </c>
      <c r="S40" s="449">
        <f t="shared" si="9"/>
        <v>0</v>
      </c>
      <c r="T40" s="449">
        <f t="shared" si="9"/>
        <v>0</v>
      </c>
      <c r="U40" s="449">
        <f t="shared" si="9"/>
        <v>0</v>
      </c>
      <c r="V40" s="449">
        <f t="shared" si="9"/>
        <v>0</v>
      </c>
      <c r="W40" s="449">
        <f t="shared" si="9"/>
        <v>0</v>
      </c>
      <c r="X40" s="449">
        <f t="shared" si="9"/>
        <v>0</v>
      </c>
      <c r="Z40" s="44"/>
      <c r="AA40" s="44"/>
    </row>
    <row r="41" spans="2:27">
      <c r="B41" s="555" t="str">
        <f>B35</f>
        <v>Volume SFP112</v>
      </c>
      <c r="C41" s="449">
        <f t="shared" ref="C41:L41" si="10">C39*C42</f>
        <v>0</v>
      </c>
      <c r="D41" s="449">
        <f t="shared" si="10"/>
        <v>0</v>
      </c>
      <c r="E41" s="449">
        <f t="shared" si="10"/>
        <v>0</v>
      </c>
      <c r="F41" s="449">
        <f t="shared" si="10"/>
        <v>0</v>
      </c>
      <c r="G41" s="449">
        <f t="shared" si="10"/>
        <v>0</v>
      </c>
      <c r="H41" s="449">
        <f t="shared" si="10"/>
        <v>0</v>
      </c>
      <c r="I41" s="449">
        <f t="shared" si="10"/>
        <v>0</v>
      </c>
      <c r="J41" s="449">
        <f t="shared" si="10"/>
        <v>0</v>
      </c>
      <c r="K41" s="449">
        <f t="shared" si="10"/>
        <v>0</v>
      </c>
      <c r="L41" s="449">
        <f t="shared" si="10"/>
        <v>0</v>
      </c>
      <c r="N41" s="555" t="str">
        <f>N35</f>
        <v>Volume QSFP112</v>
      </c>
      <c r="O41" s="449">
        <f t="shared" ref="O41:X41" si="11">O39*O42</f>
        <v>0</v>
      </c>
      <c r="P41" s="449">
        <f t="shared" si="11"/>
        <v>0</v>
      </c>
      <c r="Q41" s="449">
        <f t="shared" si="11"/>
        <v>0</v>
      </c>
      <c r="R41" s="449">
        <f t="shared" si="11"/>
        <v>0</v>
      </c>
      <c r="S41" s="449">
        <f t="shared" si="11"/>
        <v>0</v>
      </c>
      <c r="T41" s="449">
        <f t="shared" si="11"/>
        <v>0</v>
      </c>
      <c r="U41" s="449">
        <f t="shared" si="11"/>
        <v>0</v>
      </c>
      <c r="V41" s="449">
        <f t="shared" si="11"/>
        <v>0</v>
      </c>
      <c r="W41" s="449">
        <f t="shared" si="11"/>
        <v>0</v>
      </c>
      <c r="X41" s="449">
        <f t="shared" si="11"/>
        <v>0</v>
      </c>
      <c r="Z41" s="44"/>
      <c r="AA41" s="44"/>
    </row>
    <row r="42" spans="2:27">
      <c r="B42" s="556" t="str">
        <f>B36</f>
        <v>Percent SFP112</v>
      </c>
      <c r="C42" s="541">
        <v>0</v>
      </c>
      <c r="D42" s="541">
        <v>0</v>
      </c>
      <c r="E42" s="541">
        <v>0</v>
      </c>
      <c r="F42" s="541">
        <v>0</v>
      </c>
      <c r="G42" s="541">
        <v>0</v>
      </c>
      <c r="H42" s="541">
        <v>0</v>
      </c>
      <c r="I42" s="541">
        <v>0.02</v>
      </c>
      <c r="J42" s="541">
        <v>0.05</v>
      </c>
      <c r="K42" s="541">
        <v>0.2</v>
      </c>
      <c r="L42" s="541">
        <v>0.4</v>
      </c>
      <c r="N42" s="556" t="str">
        <f>N36</f>
        <v>Percent QSFP112</v>
      </c>
      <c r="O42" s="541">
        <v>0</v>
      </c>
      <c r="P42" s="541">
        <v>0</v>
      </c>
      <c r="Q42" s="541">
        <v>0</v>
      </c>
      <c r="R42" s="541">
        <v>0</v>
      </c>
      <c r="S42" s="541">
        <v>0</v>
      </c>
      <c r="T42" s="541">
        <v>0</v>
      </c>
      <c r="U42" s="541">
        <f>U36</f>
        <v>0.02</v>
      </c>
      <c r="V42" s="541">
        <f>V36</f>
        <v>0.05</v>
      </c>
      <c r="W42" s="541">
        <f>W36</f>
        <v>0.2</v>
      </c>
      <c r="X42" s="541">
        <f>X36</f>
        <v>0.4</v>
      </c>
      <c r="Z42" s="44"/>
      <c r="AA42" s="44"/>
    </row>
    <row r="43" spans="2:27">
      <c r="B43" s="196"/>
      <c r="C43" s="448"/>
      <c r="D43" s="448"/>
      <c r="E43" s="448"/>
      <c r="F43" s="448"/>
      <c r="G43" s="448"/>
      <c r="H43" s="448"/>
      <c r="I43" s="448"/>
      <c r="J43" s="448"/>
      <c r="K43" s="448"/>
      <c r="L43" s="448"/>
      <c r="N43" s="196"/>
      <c r="O43" s="448"/>
      <c r="P43" s="448"/>
      <c r="Q43" s="448"/>
      <c r="R43" s="448"/>
      <c r="S43" s="448"/>
      <c r="T43" s="448"/>
      <c r="U43" s="448"/>
      <c r="V43" s="448"/>
      <c r="W43" s="448"/>
      <c r="X43" s="448"/>
      <c r="Z43" s="44"/>
      <c r="AA43" s="44"/>
    </row>
    <row r="44" spans="2:27">
      <c r="B44" s="68" t="s">
        <v>386</v>
      </c>
      <c r="C44" s="542">
        <v>2016</v>
      </c>
      <c r="D44" s="542">
        <v>2017</v>
      </c>
      <c r="E44" s="542">
        <v>2018</v>
      </c>
      <c r="F44" s="542">
        <v>2019</v>
      </c>
      <c r="G44" s="542">
        <v>2020</v>
      </c>
      <c r="H44" s="542">
        <v>2021</v>
      </c>
      <c r="I44" s="542">
        <v>2022</v>
      </c>
      <c r="J44" s="542">
        <v>2023</v>
      </c>
      <c r="K44" s="542">
        <v>2024</v>
      </c>
      <c r="L44" s="542">
        <v>2025</v>
      </c>
      <c r="N44" s="68" t="s">
        <v>413</v>
      </c>
      <c r="O44" s="542">
        <v>2016</v>
      </c>
      <c r="P44" s="542">
        <v>2017</v>
      </c>
      <c r="Q44" s="542">
        <v>2018</v>
      </c>
      <c r="R44" s="542">
        <v>2019</v>
      </c>
      <c r="S44" s="542">
        <v>2020</v>
      </c>
      <c r="T44" s="542">
        <v>2021</v>
      </c>
      <c r="U44" s="542">
        <v>2022</v>
      </c>
      <c r="V44" s="542">
        <v>2023</v>
      </c>
      <c r="W44" s="542">
        <v>2024</v>
      </c>
      <c r="X44" s="542">
        <v>2025</v>
      </c>
      <c r="Z44" s="44"/>
      <c r="AA44" s="44"/>
    </row>
    <row r="45" spans="2:27">
      <c r="B45" s="213" t="str">
        <f>B33</f>
        <v>Total volume</v>
      </c>
      <c r="C45" s="212">
        <f>'Products x speed'!E51</f>
        <v>0</v>
      </c>
      <c r="D45" s="212">
        <f>'Products x speed'!F51</f>
        <v>0</v>
      </c>
      <c r="E45" s="212">
        <f>'Products x speed'!G51</f>
        <v>0</v>
      </c>
      <c r="F45" s="212">
        <f>'Products x speed'!H51</f>
        <v>0</v>
      </c>
      <c r="G45" s="212">
        <f>'Products x speed'!I51</f>
        <v>0</v>
      </c>
      <c r="H45" s="212">
        <f>'Products x speed'!J51</f>
        <v>0</v>
      </c>
      <c r="I45" s="212">
        <f>'Products x speed'!K51</f>
        <v>0</v>
      </c>
      <c r="J45" s="212">
        <f>'Products x speed'!L51</f>
        <v>0</v>
      </c>
      <c r="K45" s="212">
        <f>'Products x speed'!M51</f>
        <v>0</v>
      </c>
      <c r="L45" s="212">
        <f>'Products x speed'!N51</f>
        <v>0</v>
      </c>
      <c r="N45" s="213" t="str">
        <f>N33</f>
        <v>Total volume</v>
      </c>
      <c r="O45" s="212">
        <f>'Products x speed'!E61+'Products x speed'!E64</f>
        <v>0</v>
      </c>
      <c r="P45" s="212">
        <f>'Products x speed'!F61+'Products x speed'!F64</f>
        <v>7</v>
      </c>
      <c r="Q45" s="212">
        <f>'Products x speed'!G61+'Products x speed'!G64</f>
        <v>13000</v>
      </c>
      <c r="R45" s="212">
        <f>'Products x speed'!H61+'Products x speed'!H64</f>
        <v>0</v>
      </c>
      <c r="S45" s="212">
        <f>'Products x speed'!I61+'Products x speed'!I64</f>
        <v>0</v>
      </c>
      <c r="T45" s="212">
        <f>'Products x speed'!J61+'Products x speed'!J64</f>
        <v>0</v>
      </c>
      <c r="U45" s="212">
        <f>'Products x speed'!K61+'Products x speed'!K64</f>
        <v>0</v>
      </c>
      <c r="V45" s="212">
        <f>'Products x speed'!L61+'Products x speed'!L64</f>
        <v>0</v>
      </c>
      <c r="W45" s="212">
        <f>'Products x speed'!M61+'Products x speed'!M64</f>
        <v>0</v>
      </c>
      <c r="X45" s="212">
        <f>'Products x speed'!N61+'Products x speed'!N64</f>
        <v>0</v>
      </c>
    </row>
    <row r="46" spans="2:27">
      <c r="B46" s="555" t="str">
        <f>B34</f>
        <v>Volume QSFP28</v>
      </c>
      <c r="C46" s="449">
        <f t="shared" ref="C46:L46" si="12">C45-C47</f>
        <v>0</v>
      </c>
      <c r="D46" s="449">
        <f t="shared" si="12"/>
        <v>0</v>
      </c>
      <c r="E46" s="449">
        <f t="shared" si="12"/>
        <v>0</v>
      </c>
      <c r="F46" s="449">
        <f t="shared" si="12"/>
        <v>0</v>
      </c>
      <c r="G46" s="449">
        <f t="shared" si="12"/>
        <v>0</v>
      </c>
      <c r="H46" s="449">
        <f t="shared" si="12"/>
        <v>0</v>
      </c>
      <c r="I46" s="449">
        <f t="shared" si="12"/>
        <v>0</v>
      </c>
      <c r="J46" s="449">
        <f t="shared" si="12"/>
        <v>0</v>
      </c>
      <c r="K46" s="449">
        <f t="shared" si="12"/>
        <v>0</v>
      </c>
      <c r="L46" s="449">
        <f t="shared" si="12"/>
        <v>0</v>
      </c>
      <c r="N46" s="555" t="str">
        <f>N34</f>
        <v>Volume all other</v>
      </c>
      <c r="O46" s="449">
        <f t="shared" ref="O46:X46" si="13">O45-O47</f>
        <v>0</v>
      </c>
      <c r="P46" s="449">
        <f t="shared" si="13"/>
        <v>7</v>
      </c>
      <c r="Q46" s="449">
        <f t="shared" si="13"/>
        <v>13000</v>
      </c>
      <c r="R46" s="449">
        <f t="shared" si="13"/>
        <v>0</v>
      </c>
      <c r="S46" s="449">
        <f t="shared" si="13"/>
        <v>0</v>
      </c>
      <c r="T46" s="449">
        <f t="shared" si="13"/>
        <v>0</v>
      </c>
      <c r="U46" s="449">
        <f t="shared" si="13"/>
        <v>0</v>
      </c>
      <c r="V46" s="449">
        <f t="shared" si="13"/>
        <v>0</v>
      </c>
      <c r="W46" s="449">
        <f t="shared" si="13"/>
        <v>0</v>
      </c>
      <c r="X46" s="449">
        <f t="shared" si="13"/>
        <v>0</v>
      </c>
      <c r="Z46" s="44"/>
      <c r="AA46" s="44"/>
    </row>
    <row r="47" spans="2:27">
      <c r="B47" s="555" t="str">
        <f>B35</f>
        <v>Volume SFP112</v>
      </c>
      <c r="C47" s="449">
        <f t="shared" ref="C47:L47" si="14">C45*C48</f>
        <v>0</v>
      </c>
      <c r="D47" s="449">
        <f t="shared" si="14"/>
        <v>0</v>
      </c>
      <c r="E47" s="449">
        <f t="shared" si="14"/>
        <v>0</v>
      </c>
      <c r="F47" s="449">
        <f t="shared" si="14"/>
        <v>0</v>
      </c>
      <c r="G47" s="449">
        <f t="shared" si="14"/>
        <v>0</v>
      </c>
      <c r="H47" s="449">
        <f t="shared" si="14"/>
        <v>0</v>
      </c>
      <c r="I47" s="449">
        <f t="shared" si="14"/>
        <v>0</v>
      </c>
      <c r="J47" s="449">
        <f t="shared" si="14"/>
        <v>0</v>
      </c>
      <c r="K47" s="449">
        <f t="shared" si="14"/>
        <v>0</v>
      </c>
      <c r="L47" s="449">
        <f t="shared" si="14"/>
        <v>0</v>
      </c>
      <c r="N47" s="555" t="str">
        <f>N35</f>
        <v>Volume QSFP112</v>
      </c>
      <c r="O47" s="449">
        <f t="shared" ref="O47:X47" si="15">O45*O48</f>
        <v>0</v>
      </c>
      <c r="P47" s="449">
        <f t="shared" si="15"/>
        <v>0</v>
      </c>
      <c r="Q47" s="449">
        <f t="shared" si="15"/>
        <v>0</v>
      </c>
      <c r="R47" s="449">
        <f t="shared" si="15"/>
        <v>0</v>
      </c>
      <c r="S47" s="449">
        <f t="shared" si="15"/>
        <v>0</v>
      </c>
      <c r="T47" s="449">
        <f t="shared" si="15"/>
        <v>0</v>
      </c>
      <c r="U47" s="449">
        <f t="shared" si="15"/>
        <v>0</v>
      </c>
      <c r="V47" s="449">
        <f t="shared" si="15"/>
        <v>0</v>
      </c>
      <c r="W47" s="449">
        <f t="shared" si="15"/>
        <v>0</v>
      </c>
      <c r="X47" s="449">
        <f t="shared" si="15"/>
        <v>0</v>
      </c>
      <c r="Z47" s="44"/>
      <c r="AA47" s="44"/>
    </row>
    <row r="48" spans="2:27">
      <c r="B48" s="556" t="str">
        <f>B36</f>
        <v>Percent SFP112</v>
      </c>
      <c r="C48" s="541">
        <v>0</v>
      </c>
      <c r="D48" s="541">
        <v>0</v>
      </c>
      <c r="E48" s="541">
        <v>0</v>
      </c>
      <c r="F48" s="541">
        <v>0</v>
      </c>
      <c r="G48" s="541">
        <v>0</v>
      </c>
      <c r="H48" s="541">
        <v>0</v>
      </c>
      <c r="I48" s="541">
        <f>I36</f>
        <v>0.02</v>
      </c>
      <c r="J48" s="541">
        <f>J36</f>
        <v>0.05</v>
      </c>
      <c r="K48" s="541">
        <f>K36</f>
        <v>0.2</v>
      </c>
      <c r="L48" s="541">
        <f>L36</f>
        <v>0.4</v>
      </c>
      <c r="N48" s="556" t="str">
        <f>N36</f>
        <v>Percent QSFP112</v>
      </c>
      <c r="O48" s="541">
        <v>0</v>
      </c>
      <c r="P48" s="541">
        <v>0</v>
      </c>
      <c r="Q48" s="541">
        <v>0</v>
      </c>
      <c r="R48" s="541">
        <v>0</v>
      </c>
      <c r="S48" s="541">
        <v>0</v>
      </c>
      <c r="T48" s="541">
        <v>0</v>
      </c>
      <c r="U48" s="541">
        <f>U36</f>
        <v>0.02</v>
      </c>
      <c r="V48" s="541">
        <f>V36</f>
        <v>0.05</v>
      </c>
      <c r="W48" s="541">
        <f>W36</f>
        <v>0.2</v>
      </c>
      <c r="X48" s="541">
        <f>X36</f>
        <v>0.4</v>
      </c>
      <c r="Z48" s="44"/>
      <c r="AA48" s="44"/>
    </row>
    <row r="50" spans="2:27">
      <c r="B50" s="68" t="s">
        <v>406</v>
      </c>
      <c r="C50" s="542">
        <v>2016</v>
      </c>
      <c r="D50" s="542">
        <v>2017</v>
      </c>
      <c r="E50" s="542">
        <v>2018</v>
      </c>
      <c r="F50" s="542">
        <v>2019</v>
      </c>
      <c r="G50" s="542">
        <v>2020</v>
      </c>
      <c r="H50" s="542">
        <v>2021</v>
      </c>
      <c r="I50" s="542">
        <v>2022</v>
      </c>
      <c r="J50" s="542">
        <v>2023</v>
      </c>
      <c r="K50" s="542">
        <v>2024</v>
      </c>
      <c r="L50" s="542">
        <v>2025</v>
      </c>
      <c r="N50" s="68" t="s">
        <v>414</v>
      </c>
      <c r="O50" s="542">
        <v>2016</v>
      </c>
      <c r="P50" s="542">
        <v>2017</v>
      </c>
      <c r="Q50" s="542">
        <v>2018</v>
      </c>
      <c r="R50" s="542">
        <v>2019</v>
      </c>
      <c r="S50" s="542">
        <v>2020</v>
      </c>
      <c r="T50" s="542">
        <v>2021</v>
      </c>
      <c r="U50" s="542">
        <v>2022</v>
      </c>
      <c r="V50" s="542">
        <v>2023</v>
      </c>
      <c r="W50" s="542">
        <v>2024</v>
      </c>
      <c r="X50" s="542">
        <v>2025</v>
      </c>
      <c r="Z50" s="44"/>
      <c r="AA50" s="44"/>
    </row>
    <row r="51" spans="2:27">
      <c r="B51" s="213" t="str">
        <f>B33</f>
        <v>Total volume</v>
      </c>
      <c r="C51" s="212">
        <f>'Products x speed'!E54</f>
        <v>90443</v>
      </c>
      <c r="D51" s="212">
        <f>'Products x speed'!F54</f>
        <v>362352</v>
      </c>
      <c r="E51" s="212">
        <f>'Products x speed'!G54</f>
        <v>397891.1176470588</v>
      </c>
      <c r="F51" s="212">
        <f>'Products x speed'!H54</f>
        <v>0</v>
      </c>
      <c r="G51" s="212">
        <f>'Products x speed'!I54</f>
        <v>0</v>
      </c>
      <c r="H51" s="212">
        <f>'Products x speed'!J54</f>
        <v>0</v>
      </c>
      <c r="I51" s="212">
        <f>'Products x speed'!K54</f>
        <v>0</v>
      </c>
      <c r="J51" s="212">
        <f>'Products x speed'!L54</f>
        <v>0</v>
      </c>
      <c r="K51" s="212">
        <f>'Products x speed'!M54</f>
        <v>0</v>
      </c>
      <c r="L51" s="212">
        <f>'Products x speed'!N54</f>
        <v>0</v>
      </c>
      <c r="N51" s="213" t="str">
        <f>N33</f>
        <v>Total volume</v>
      </c>
      <c r="O51" s="212">
        <f>'Products x speed'!E65</f>
        <v>0</v>
      </c>
      <c r="P51" s="212">
        <f>'Products x speed'!F65</f>
        <v>82</v>
      </c>
      <c r="Q51" s="212">
        <f>'Products x speed'!G65</f>
        <v>1000</v>
      </c>
      <c r="R51" s="212">
        <f>'Products x speed'!H65</f>
        <v>0</v>
      </c>
      <c r="S51" s="212">
        <f>'Products x speed'!I65</f>
        <v>0</v>
      </c>
      <c r="T51" s="212">
        <f>'Products x speed'!J65</f>
        <v>0</v>
      </c>
      <c r="U51" s="212">
        <f>'Products x speed'!K65</f>
        <v>0</v>
      </c>
      <c r="V51" s="212">
        <f>'Products x speed'!L65</f>
        <v>0</v>
      </c>
      <c r="W51" s="212">
        <f>'Products x speed'!M65</f>
        <v>0</v>
      </c>
      <c r="X51" s="212">
        <f>'Products x speed'!N65</f>
        <v>0</v>
      </c>
    </row>
    <row r="52" spans="2:27">
      <c r="B52" s="555" t="str">
        <f>B34</f>
        <v>Volume QSFP28</v>
      </c>
      <c r="C52" s="449">
        <f t="shared" ref="C52:L52" si="16">C51-C53</f>
        <v>90443</v>
      </c>
      <c r="D52" s="449">
        <f t="shared" si="16"/>
        <v>362352</v>
      </c>
      <c r="E52" s="449">
        <f t="shared" si="16"/>
        <v>397891.1176470588</v>
      </c>
      <c r="F52" s="449">
        <f t="shared" si="16"/>
        <v>0</v>
      </c>
      <c r="G52" s="449">
        <f t="shared" si="16"/>
        <v>0</v>
      </c>
      <c r="H52" s="449">
        <f t="shared" si="16"/>
        <v>0</v>
      </c>
      <c r="I52" s="449">
        <f t="shared" si="16"/>
        <v>0</v>
      </c>
      <c r="J52" s="449">
        <f t="shared" si="16"/>
        <v>0</v>
      </c>
      <c r="K52" s="449">
        <f t="shared" si="16"/>
        <v>0</v>
      </c>
      <c r="L52" s="449">
        <f t="shared" si="16"/>
        <v>0</v>
      </c>
      <c r="N52" s="555" t="str">
        <f>N34</f>
        <v>Volume all other</v>
      </c>
      <c r="O52" s="449">
        <f t="shared" ref="O52:X52" si="17">O51-O53</f>
        <v>0</v>
      </c>
      <c r="P52" s="449">
        <f t="shared" si="17"/>
        <v>82</v>
      </c>
      <c r="Q52" s="449">
        <f t="shared" si="17"/>
        <v>1000</v>
      </c>
      <c r="R52" s="449">
        <f t="shared" si="17"/>
        <v>0</v>
      </c>
      <c r="S52" s="449">
        <f t="shared" si="17"/>
        <v>0</v>
      </c>
      <c r="T52" s="449">
        <f t="shared" si="17"/>
        <v>0</v>
      </c>
      <c r="U52" s="449">
        <f t="shared" si="17"/>
        <v>0</v>
      </c>
      <c r="V52" s="449">
        <f t="shared" si="17"/>
        <v>0</v>
      </c>
      <c r="W52" s="449">
        <f t="shared" si="17"/>
        <v>0</v>
      </c>
      <c r="X52" s="449">
        <f t="shared" si="17"/>
        <v>0</v>
      </c>
      <c r="Z52" s="44"/>
      <c r="AA52" s="44"/>
    </row>
    <row r="53" spans="2:27">
      <c r="B53" s="555" t="str">
        <f>B35</f>
        <v>Volume SFP112</v>
      </c>
      <c r="C53" s="449">
        <f t="shared" ref="C53:L53" si="18">C51*C54</f>
        <v>0</v>
      </c>
      <c r="D53" s="449">
        <f t="shared" si="18"/>
        <v>0</v>
      </c>
      <c r="E53" s="449">
        <f t="shared" si="18"/>
        <v>0</v>
      </c>
      <c r="F53" s="449">
        <f t="shared" si="18"/>
        <v>0</v>
      </c>
      <c r="G53" s="449">
        <f t="shared" si="18"/>
        <v>0</v>
      </c>
      <c r="H53" s="449">
        <f t="shared" si="18"/>
        <v>0</v>
      </c>
      <c r="I53" s="449">
        <f t="shared" si="18"/>
        <v>0</v>
      </c>
      <c r="J53" s="449">
        <f t="shared" si="18"/>
        <v>0</v>
      </c>
      <c r="K53" s="449">
        <f t="shared" si="18"/>
        <v>0</v>
      </c>
      <c r="L53" s="449">
        <f t="shared" si="18"/>
        <v>0</v>
      </c>
      <c r="N53" s="555" t="str">
        <f>N35</f>
        <v>Volume QSFP112</v>
      </c>
      <c r="O53" s="449">
        <f t="shared" ref="O53:X53" si="19">O51*O54</f>
        <v>0</v>
      </c>
      <c r="P53" s="449">
        <f t="shared" si="19"/>
        <v>0</v>
      </c>
      <c r="Q53" s="449">
        <f t="shared" si="19"/>
        <v>0</v>
      </c>
      <c r="R53" s="449">
        <f t="shared" si="19"/>
        <v>0</v>
      </c>
      <c r="S53" s="449">
        <f t="shared" si="19"/>
        <v>0</v>
      </c>
      <c r="T53" s="449">
        <f t="shared" si="19"/>
        <v>0</v>
      </c>
      <c r="U53" s="449">
        <f t="shared" si="19"/>
        <v>0</v>
      </c>
      <c r="V53" s="449">
        <f t="shared" si="19"/>
        <v>0</v>
      </c>
      <c r="W53" s="449">
        <f t="shared" si="19"/>
        <v>0</v>
      </c>
      <c r="X53" s="449">
        <f t="shared" si="19"/>
        <v>0</v>
      </c>
      <c r="Z53" s="44"/>
      <c r="AA53" s="44"/>
    </row>
    <row r="54" spans="2:27">
      <c r="B54" s="556" t="str">
        <f>B36</f>
        <v>Percent SFP112</v>
      </c>
      <c r="C54" s="541">
        <v>0</v>
      </c>
      <c r="D54" s="541">
        <v>0</v>
      </c>
      <c r="E54" s="541">
        <v>0</v>
      </c>
      <c r="F54" s="541">
        <v>0</v>
      </c>
      <c r="G54" s="541">
        <v>0</v>
      </c>
      <c r="H54" s="541">
        <v>0</v>
      </c>
      <c r="I54" s="541">
        <f>I36</f>
        <v>0.02</v>
      </c>
      <c r="J54" s="541">
        <f>J36</f>
        <v>0.05</v>
      </c>
      <c r="K54" s="541">
        <f>K36</f>
        <v>0.2</v>
      </c>
      <c r="L54" s="541">
        <f>L36</f>
        <v>0.4</v>
      </c>
      <c r="N54" s="556" t="str">
        <f>N36</f>
        <v>Percent QSFP112</v>
      </c>
      <c r="O54" s="541">
        <v>0</v>
      </c>
      <c r="P54" s="541">
        <v>0</v>
      </c>
      <c r="Q54" s="541">
        <v>0</v>
      </c>
      <c r="R54" s="541">
        <v>0</v>
      </c>
      <c r="S54" s="541">
        <v>0</v>
      </c>
      <c r="T54" s="541">
        <v>0</v>
      </c>
      <c r="U54" s="541">
        <f>U36</f>
        <v>0.02</v>
      </c>
      <c r="V54" s="541">
        <f>V36</f>
        <v>0.05</v>
      </c>
      <c r="W54" s="541">
        <f>W36</f>
        <v>0.2</v>
      </c>
      <c r="X54" s="541">
        <f>X36</f>
        <v>0.4</v>
      </c>
      <c r="Z54" s="44"/>
      <c r="AA54" s="44"/>
    </row>
  </sheetData>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X170"/>
  <sheetViews>
    <sheetView showGridLines="0" zoomScale="70" zoomScaleNormal="70" zoomScalePageLayoutView="60" workbookViewId="0">
      <selection activeCell="B2" sqref="B2:D4"/>
    </sheetView>
  </sheetViews>
  <sheetFormatPr defaultColWidth="8.81640625" defaultRowHeight="13"/>
  <cols>
    <col min="1" max="1" width="4.453125" style="105" customWidth="1"/>
    <col min="2" max="2" width="29.453125" style="105" customWidth="1"/>
    <col min="3" max="3" width="11.1796875" style="105" customWidth="1"/>
    <col min="4" max="4" width="14.81640625" style="105" customWidth="1"/>
    <col min="5" max="8" width="11.1796875" style="105" customWidth="1"/>
    <col min="9" max="9" width="12.453125" style="105" customWidth="1"/>
    <col min="10" max="14" width="12.1796875" style="105" customWidth="1"/>
    <col min="15" max="16" width="11.81640625" style="105" customWidth="1"/>
    <col min="17" max="20" width="14.81640625" style="105" customWidth="1"/>
    <col min="21" max="22" width="11" style="105" bestFit="1" customWidth="1"/>
    <col min="23" max="26" width="9" style="105" bestFit="1" customWidth="1"/>
    <col min="27" max="16384" width="8.81640625" style="105"/>
  </cols>
  <sheetData>
    <row r="1" spans="1:22" ht="12.5" customHeight="1">
      <c r="A1" s="121"/>
      <c r="B1" s="121"/>
      <c r="C1" s="121"/>
      <c r="D1" s="121"/>
      <c r="E1" s="121"/>
      <c r="F1" s="121"/>
      <c r="G1" s="121"/>
      <c r="H1" s="121"/>
      <c r="I1" s="121"/>
      <c r="J1" s="121"/>
      <c r="K1" s="121"/>
      <c r="L1" s="121"/>
      <c r="M1" s="121"/>
      <c r="N1" s="121"/>
      <c r="O1" s="121"/>
      <c r="P1" s="121"/>
      <c r="Q1" s="121"/>
      <c r="R1" s="121"/>
    </row>
    <row r="2" spans="1:22" ht="20.5" customHeight="1">
      <c r="A2" s="56"/>
      <c r="B2" s="6" t="str">
        <f>Introduction!$B$2</f>
        <v>LightCounting Ethernet Transceivers Forecast</v>
      </c>
      <c r="C2" s="337"/>
      <c r="D2" s="337"/>
      <c r="E2" s="121"/>
      <c r="F2" s="121"/>
      <c r="G2" s="121"/>
      <c r="H2" s="121"/>
      <c r="I2" s="121"/>
      <c r="J2" s="121"/>
      <c r="K2" s="121"/>
      <c r="L2" s="121"/>
      <c r="M2" s="121"/>
      <c r="N2" s="121"/>
      <c r="O2" s="121"/>
      <c r="P2" s="121"/>
      <c r="Q2" s="121"/>
      <c r="R2" s="121"/>
    </row>
    <row r="3" spans="1:22" ht="15.5">
      <c r="A3" s="121"/>
      <c r="B3" s="40" t="str">
        <f>Introduction!B3</f>
        <v>September 2020 - sample -- for illustrative purposes only</v>
      </c>
      <c r="C3" s="210"/>
      <c r="D3" s="210"/>
      <c r="E3" s="121"/>
      <c r="F3" s="121"/>
      <c r="G3" s="121"/>
      <c r="H3" s="121"/>
      <c r="I3" s="121"/>
      <c r="J3" s="121"/>
      <c r="K3" s="121"/>
      <c r="L3" s="121"/>
      <c r="M3" s="121"/>
      <c r="N3" s="121"/>
      <c r="O3" s="121"/>
      <c r="P3" s="121"/>
      <c r="Q3" s="121"/>
      <c r="R3" s="121"/>
    </row>
    <row r="4" spans="1:22" ht="18.5">
      <c r="A4" s="56"/>
      <c r="B4" s="6" t="s">
        <v>137</v>
      </c>
      <c r="C4" s="337"/>
      <c r="D4" s="337"/>
      <c r="E4" s="121"/>
      <c r="F4" s="122"/>
      <c r="G4" s="120"/>
      <c r="H4" s="120"/>
      <c r="I4" s="120"/>
      <c r="J4" s="120"/>
      <c r="K4" s="120"/>
      <c r="L4" s="120"/>
      <c r="M4" s="120"/>
      <c r="N4" s="120"/>
      <c r="O4" s="120"/>
      <c r="P4" s="120"/>
      <c r="Q4" s="120"/>
      <c r="R4" s="121"/>
      <c r="S4" s="108"/>
      <c r="T4" s="108"/>
      <c r="U4" s="108"/>
      <c r="V4" s="108"/>
    </row>
    <row r="5" spans="1:22">
      <c r="A5" s="106"/>
      <c r="B5" s="106"/>
      <c r="C5" s="107"/>
      <c r="D5" s="106"/>
      <c r="E5" s="106"/>
      <c r="F5" s="106"/>
      <c r="G5" s="108"/>
      <c r="H5" s="108"/>
      <c r="I5" s="108"/>
      <c r="J5" s="108"/>
      <c r="K5" s="108"/>
      <c r="L5" s="108"/>
      <c r="M5" s="108"/>
      <c r="N5" s="108"/>
      <c r="O5" s="108"/>
      <c r="P5" s="108"/>
      <c r="Q5" s="108"/>
      <c r="R5" s="108"/>
      <c r="S5" s="108"/>
      <c r="T5" s="108"/>
      <c r="U5" s="108"/>
      <c r="V5" s="108"/>
    </row>
    <row r="6" spans="1:22" ht="17.25" customHeight="1">
      <c r="B6" s="67"/>
    </row>
    <row r="34" spans="3:20" ht="15.5">
      <c r="D34" s="152" t="s">
        <v>69</v>
      </c>
      <c r="E34" s="109">
        <v>2010</v>
      </c>
      <c r="F34" s="110">
        <v>2011</v>
      </c>
      <c r="G34" s="110">
        <v>2012</v>
      </c>
      <c r="H34" s="110">
        <v>2013</v>
      </c>
      <c r="I34" s="110">
        <v>2014</v>
      </c>
      <c r="J34" s="110">
        <v>2015</v>
      </c>
      <c r="K34" s="110">
        <v>2016</v>
      </c>
      <c r="L34" s="110">
        <v>2017</v>
      </c>
      <c r="M34" s="110">
        <v>2018</v>
      </c>
      <c r="N34" s="110">
        <v>2019</v>
      </c>
      <c r="O34" s="110">
        <v>2020</v>
      </c>
      <c r="P34" s="110">
        <v>2021</v>
      </c>
      <c r="Q34" s="110">
        <v>2022</v>
      </c>
      <c r="R34" s="110">
        <v>2023</v>
      </c>
      <c r="S34" s="110">
        <v>2024</v>
      </c>
      <c r="T34" s="111">
        <v>2025</v>
      </c>
    </row>
    <row r="35" spans="3:20">
      <c r="C35" s="339">
        <v>1</v>
      </c>
      <c r="D35" s="558" t="s">
        <v>264</v>
      </c>
      <c r="E35" s="510">
        <v>22.693702827821532</v>
      </c>
      <c r="F35" s="510">
        <v>19.293096563473824</v>
      </c>
      <c r="G35" s="510">
        <v>18.103114071743498</v>
      </c>
      <c r="H35" s="510">
        <v>16.178886053917275</v>
      </c>
      <c r="I35" s="510">
        <v>14.755270803079455</v>
      </c>
      <c r="J35" s="510">
        <v>14.157915068774409</v>
      </c>
      <c r="K35" s="142">
        <f>IF(Summary!C119=0,"",((10^6*Summary!C136)/($C35*Summary!C119)))</f>
        <v>11.362900504713087</v>
      </c>
      <c r="L35" s="142">
        <f>IF(Summary!D119=0,"",((10^6*Summary!D136)/($C35*Summary!D119)))</f>
        <v>9.8128791971601554</v>
      </c>
      <c r="M35" s="217">
        <f>IF(Summary!E119=0,"",((10^6*Summary!E136)/($C35*Summary!E119)))</f>
        <v>9.1996642661233263</v>
      </c>
      <c r="N35" s="217" t="str">
        <f>IF(Summary!F119=0,"",((10^6*Summary!F136)/($C35*Summary!F119)))</f>
        <v/>
      </c>
      <c r="O35" s="217" t="str">
        <f>IF(Summary!G119=0,"",((10^6*Summary!G136)/($C35*Summary!G119)))</f>
        <v/>
      </c>
      <c r="P35" s="217" t="str">
        <f>IF(Summary!H119=0,"",((10^6*Summary!H136)/($C35*Summary!H119)))</f>
        <v/>
      </c>
      <c r="Q35" s="217" t="str">
        <f>IF(Summary!I119=0,"",((10^6*Summary!I136)/($C35*Summary!I119)))</f>
        <v/>
      </c>
      <c r="R35" s="217" t="str">
        <f>IF(Summary!J119=0,"",((10^6*Summary!J136)/($C35*Summary!J119)))</f>
        <v/>
      </c>
      <c r="S35" s="217" t="str">
        <f>IF(Summary!K119=0,"",((10^6*Summary!K136)/($C35*Summary!K119)))</f>
        <v/>
      </c>
      <c r="T35" s="217" t="str">
        <f>IF(Summary!L119=0,"",((10^6*Summary!L136)/($C35*Summary!L119)))</f>
        <v/>
      </c>
    </row>
    <row r="36" spans="3:20">
      <c r="C36" s="339">
        <v>10</v>
      </c>
      <c r="D36" s="340" t="s">
        <v>257</v>
      </c>
      <c r="E36" s="510">
        <v>9.8825247570260242</v>
      </c>
      <c r="F36" s="510">
        <v>7.5412691899358517</v>
      </c>
      <c r="G36" s="510">
        <v>6.7189149239794101</v>
      </c>
      <c r="H36" s="510">
        <v>5.2861169818853488</v>
      </c>
      <c r="I36" s="510">
        <v>4.5280339113800467</v>
      </c>
      <c r="J36" s="510">
        <v>3.897031950093071</v>
      </c>
      <c r="K36" s="142">
        <f>IF(Summary!C120=0,"",((10^6*Summary!C137)/($C36*Summary!C120)))</f>
        <v>3.1803504158563904</v>
      </c>
      <c r="L36" s="142">
        <f>IF(Summary!D120=0,"",((10^6*Summary!D137)/($C36*Summary!D120)))</f>
        <v>2.439730741307288</v>
      </c>
      <c r="M36" s="217">
        <f>IF(Summary!E120=0,"",((10^6*Summary!E137)/($C36*Summary!E120)))</f>
        <v>2.1411624078637841</v>
      </c>
      <c r="N36" s="217" t="str">
        <f>IF(Summary!F120=0,"",((10^6*Summary!F137)/($C36*Summary!F120)))</f>
        <v/>
      </c>
      <c r="O36" s="217" t="str">
        <f>IF(Summary!G120=0,"",((10^6*Summary!G137)/($C36*Summary!G120)))</f>
        <v/>
      </c>
      <c r="P36" s="217" t="str">
        <f>IF(Summary!H120=0,"",((10^6*Summary!H137)/($C36*Summary!H120)))</f>
        <v/>
      </c>
      <c r="Q36" s="217" t="str">
        <f>IF(Summary!I120=0,"",((10^6*Summary!I137)/($C36*Summary!I120)))</f>
        <v/>
      </c>
      <c r="R36" s="217" t="str">
        <f>IF(Summary!J120=0,"",((10^6*Summary!J137)/($C36*Summary!J120)))</f>
        <v/>
      </c>
      <c r="S36" s="217" t="str">
        <f>IF(Summary!K120=0,"",((10^6*Summary!K137)/($C36*Summary!K120)))</f>
        <v/>
      </c>
      <c r="T36" s="217" t="str">
        <f>IF(Summary!L120=0,"",((10^6*Summary!L137)/($C36*Summary!L120)))</f>
        <v/>
      </c>
    </row>
    <row r="37" spans="3:20">
      <c r="C37" s="339">
        <v>25</v>
      </c>
      <c r="D37" s="340" t="s">
        <v>258</v>
      </c>
      <c r="E37" s="510"/>
      <c r="F37" s="510"/>
      <c r="G37" s="510"/>
      <c r="H37" s="510"/>
      <c r="I37" s="510"/>
      <c r="J37" s="510"/>
      <c r="K37" s="142">
        <f>IF(Summary!C121=0,"",((10^6*Summary!C138)/($C37*Summary!C121)))</f>
        <v>11.671989054215837</v>
      </c>
      <c r="L37" s="142">
        <f>IF(Summary!D121=0,"",((10^6*Summary!D138)/($C37*Summary!D121)))</f>
        <v>6.7722873832058497</v>
      </c>
      <c r="M37" s="217">
        <f>IF(Summary!E121=0,"",((10^6*Summary!E138)/($C37*Summary!E121)))</f>
        <v>4.1399047739208452</v>
      </c>
      <c r="N37" s="217" t="str">
        <f>IF(Summary!F121=0,"",((10^6*Summary!F138)/($C37*Summary!F121)))</f>
        <v/>
      </c>
      <c r="O37" s="217" t="str">
        <f>IF(Summary!G121=0,"",((10^6*Summary!G138)/($C37*Summary!G121)))</f>
        <v/>
      </c>
      <c r="P37" s="217" t="str">
        <f>IF(Summary!H121=0,"",((10^6*Summary!H138)/($C37*Summary!H121)))</f>
        <v/>
      </c>
      <c r="Q37" s="217" t="str">
        <f>IF(Summary!I121=0,"",((10^6*Summary!I138)/($C37*Summary!I121)))</f>
        <v/>
      </c>
      <c r="R37" s="217" t="str">
        <f>IF(Summary!J121=0,"",((10^6*Summary!J138)/($C37*Summary!J121)))</f>
        <v/>
      </c>
      <c r="S37" s="217" t="str">
        <f>IF(Summary!K121=0,"",((10^6*Summary!K138)/($C37*Summary!K121)))</f>
        <v/>
      </c>
      <c r="T37" s="217" t="str">
        <f>IF(Summary!L121=0,"",((10^6*Summary!L138)/($C37*Summary!L121)))</f>
        <v/>
      </c>
    </row>
    <row r="38" spans="3:20">
      <c r="C38" s="339">
        <v>40</v>
      </c>
      <c r="D38" s="113" t="s">
        <v>259</v>
      </c>
      <c r="E38" s="510">
        <v>46.557521763382681</v>
      </c>
      <c r="F38" s="510">
        <v>11.176711108652357</v>
      </c>
      <c r="G38" s="510">
        <v>12.879950952573868</v>
      </c>
      <c r="H38" s="510">
        <v>11.167363674734627</v>
      </c>
      <c r="I38" s="510">
        <v>7.3590573700709259</v>
      </c>
      <c r="J38" s="510">
        <v>6.2327425657156015</v>
      </c>
      <c r="K38" s="142">
        <f>IF(Summary!C122=0,"",((10^6*Summary!C139)/($C38*Summary!C122)))</f>
        <v>6.2473515491273455</v>
      </c>
      <c r="L38" s="142">
        <f>IF(Summary!D122=0,"",((10^6*Summary!D139)/($C38*Summary!D122)))</f>
        <v>5.850414550912757</v>
      </c>
      <c r="M38" s="217">
        <f>IF(Summary!E122=0,"",((10^6*Summary!E139)/($C38*Summary!E122)))</f>
        <v>4.3533121656520768</v>
      </c>
      <c r="N38" s="217" t="str">
        <f>IF(Summary!F122=0,"",((10^6*Summary!F139)/($C38*Summary!F122)))</f>
        <v/>
      </c>
      <c r="O38" s="217" t="str">
        <f>IF(Summary!G122=0,"",((10^6*Summary!G139)/($C38*Summary!G122)))</f>
        <v/>
      </c>
      <c r="P38" s="217" t="str">
        <f>IF(Summary!H122=0,"",((10^6*Summary!H139)/($C38*Summary!H122)))</f>
        <v/>
      </c>
      <c r="Q38" s="217" t="str">
        <f>IF(Summary!I122=0,"",((10^6*Summary!I139)/($C38*Summary!I122)))</f>
        <v/>
      </c>
      <c r="R38" s="217" t="str">
        <f>IF(Summary!J122=0,"",((10^6*Summary!J139)/($C38*Summary!J122)))</f>
        <v/>
      </c>
      <c r="S38" s="217">
        <f>IF(Summary!S120=0,"",((10^6*Summary!S139)/($C38*Summary!S120)))</f>
        <v>1.9186071924958388</v>
      </c>
      <c r="T38" s="217" t="str">
        <f>IF(Summary!T120=0,"",((10^6*Summary!T139)/($C38*Summary!T120)))</f>
        <v/>
      </c>
    </row>
    <row r="39" spans="3:20">
      <c r="C39" s="339">
        <v>50</v>
      </c>
      <c r="D39" s="341" t="s">
        <v>260</v>
      </c>
      <c r="E39" s="510"/>
      <c r="F39" s="510"/>
      <c r="G39" s="510"/>
      <c r="H39" s="510"/>
      <c r="I39" s="510"/>
      <c r="J39" s="510"/>
      <c r="K39" s="142"/>
      <c r="L39" s="142"/>
      <c r="M39" s="217"/>
      <c r="N39" s="217"/>
      <c r="O39" s="217" t="str">
        <f>IF(Summary!G123=0,"",((10^6*Summary!G140)/($C39*Summary!G123)))</f>
        <v/>
      </c>
      <c r="P39" s="217" t="str">
        <f>IF(Summary!H123=0,"",((10^6*Summary!H140)/($C39*Summary!H123)))</f>
        <v/>
      </c>
      <c r="Q39" s="217" t="str">
        <f>IF(Summary!I123=0,"",((10^6*Summary!I140)/($C39*Summary!I123)))</f>
        <v/>
      </c>
      <c r="R39" s="217" t="str">
        <f>IF(Summary!J123=0,"",((10^6*Summary!J140)/($C39*Summary!J123)))</f>
        <v/>
      </c>
      <c r="S39" s="217">
        <f>IF(Summary!S121=0,"",((10^6*Summary!S140)/($C39*Summary!S121)))</f>
        <v>1.5348857539966712</v>
      </c>
      <c r="T39" s="217" t="str">
        <f>IF(Summary!T123=0,"",((10^6*Summary!T140)/($C39*Summary!T123)))</f>
        <v/>
      </c>
    </row>
    <row r="40" spans="3:20">
      <c r="C40" s="339">
        <v>100</v>
      </c>
      <c r="D40" s="113" t="s">
        <v>261</v>
      </c>
      <c r="E40" s="510">
        <v>262.22519083969468</v>
      </c>
      <c r="F40" s="510">
        <v>223.61202964182792</v>
      </c>
      <c r="G40" s="510">
        <v>118.45667534287716</v>
      </c>
      <c r="H40" s="510">
        <v>80.594856591909462</v>
      </c>
      <c r="I40" s="510">
        <v>55.871254639091049</v>
      </c>
      <c r="J40" s="510">
        <v>31.55152277583019</v>
      </c>
      <c r="K40" s="142">
        <f>IF(Summary!C124=0,"",((10^6*Summary!C141)/($C40*Summary!C124)))</f>
        <v>12.434155608075619</v>
      </c>
      <c r="L40" s="142">
        <f>IF(Summary!D124=0,"",((10^6*Summary!D141)/($C40*Summary!D124)))</f>
        <v>5.7395765341319205</v>
      </c>
      <c r="M40" s="217">
        <f>IF(Summary!E124=0,"",((10^6*Summary!E141)/($C40*Summary!E124)))</f>
        <v>3.486041058192479</v>
      </c>
      <c r="N40" s="217" t="str">
        <f>IF(Summary!F124=0,"",((10^6*Summary!F141)/($C40*Summary!F124)))</f>
        <v/>
      </c>
      <c r="O40" s="217" t="str">
        <f>IF(Summary!G124=0,"",((10^6*Summary!G141)/($C40*Summary!G124)))</f>
        <v/>
      </c>
      <c r="P40" s="217" t="str">
        <f>IF(Summary!H124=0,"",((10^6*Summary!H141)/($C40*Summary!H124)))</f>
        <v/>
      </c>
      <c r="Q40" s="217" t="str">
        <f>IF(Summary!I124=0,"",((10^6*Summary!I141)/($C40*Summary!I124)))</f>
        <v/>
      </c>
      <c r="R40" s="217" t="str">
        <f>IF(Summary!J124=0,"",((10^6*Summary!J141)/($C40*Summary!J124)))</f>
        <v/>
      </c>
      <c r="S40" s="217" t="str">
        <f>IF(Summary!K124=0,"",((10^6*Summary!K141)/($C40*Summary!K124)))</f>
        <v/>
      </c>
      <c r="T40" s="217" t="str">
        <f>IF(Summary!L124=0,"",((10^6*Summary!L141)/($C40*Summary!L124)))</f>
        <v/>
      </c>
    </row>
    <row r="41" spans="3:20">
      <c r="C41" s="339">
        <v>200</v>
      </c>
      <c r="D41" s="341" t="s">
        <v>262</v>
      </c>
      <c r="E41" s="510"/>
      <c r="F41" s="510"/>
      <c r="G41" s="510"/>
      <c r="H41" s="510"/>
      <c r="I41" s="510"/>
      <c r="J41" s="510"/>
      <c r="K41" s="142"/>
      <c r="L41" s="142"/>
      <c r="M41" s="217">
        <f>IF(Summary!E125=0,"",((10^6*Summary!E142)/($C41*Summary!E125)))</f>
        <v>5.5</v>
      </c>
      <c r="N41" s="217" t="str">
        <f>IF(Summary!F125=0,"",((10^6*Summary!F142)/($C41*Summary!F125)))</f>
        <v/>
      </c>
      <c r="O41" s="217" t="str">
        <f>IF(Summary!G125=0,"",((10^6*Summary!G142)/($C41*Summary!G125)))</f>
        <v/>
      </c>
      <c r="P41" s="217" t="str">
        <f>IF(Summary!H125=0,"",((10^6*Summary!H142)/($C41*Summary!H125)))</f>
        <v/>
      </c>
      <c r="Q41" s="217" t="str">
        <f>IF(Summary!I125=0,"",((10^6*Summary!I142)/($C41*Summary!I125)))</f>
        <v/>
      </c>
      <c r="R41" s="217" t="str">
        <f>IF(Summary!J125=0,"",((10^6*Summary!J142)/($C41*Summary!J125)))</f>
        <v/>
      </c>
      <c r="S41" s="217" t="str">
        <f>IF(Summary!K125=0,"",((10^6*Summary!K142)/($C41*Summary!K125)))</f>
        <v/>
      </c>
      <c r="T41" s="217" t="str">
        <f>IF(Summary!L125=0,"",((10^6*Summary!L142)/($C41*Summary!L125)))</f>
        <v/>
      </c>
    </row>
    <row r="42" spans="3:20">
      <c r="C42" s="339">
        <v>400</v>
      </c>
      <c r="D42" s="341" t="s">
        <v>263</v>
      </c>
      <c r="E42" s="510"/>
      <c r="F42" s="510"/>
      <c r="G42" s="510"/>
      <c r="H42" s="510"/>
      <c r="I42" s="510"/>
      <c r="J42" s="510"/>
      <c r="K42" s="142"/>
      <c r="L42" s="142"/>
      <c r="M42" s="217">
        <f>IF(Summary!E126=0,"",((10^6*Summary!E143)/($C42*Summary!E126)))</f>
        <v>3.1546153846153842</v>
      </c>
      <c r="N42" s="217" t="str">
        <f>IF(Summary!F126=0,"",((10^6*Summary!F143)/($C42*Summary!F126)))</f>
        <v/>
      </c>
      <c r="O42" s="217" t="str">
        <f>IF(Summary!G126=0,"",((10^6*Summary!G143)/($C42*Summary!G126)))</f>
        <v/>
      </c>
      <c r="P42" s="217" t="str">
        <f>IF(Summary!H126=0,"",((10^6*Summary!H143)/($C42*Summary!H126)))</f>
        <v/>
      </c>
      <c r="Q42" s="217" t="str">
        <f>IF(Summary!I126=0,"",((10^6*Summary!I143)/($C42*Summary!I126)))</f>
        <v/>
      </c>
      <c r="R42" s="217" t="str">
        <f>IF(Summary!J126=0,"",((10^6*Summary!J143)/($C42*Summary!J126)))</f>
        <v/>
      </c>
      <c r="S42" s="217" t="str">
        <f>IF(Summary!K126=0,"",((10^6*Summary!K143)/($C42*Summary!K126)))</f>
        <v/>
      </c>
      <c r="T42" s="217" t="str">
        <f>IF(Summary!L126=0,"",((10^6*Summary!L143)/($C42*Summary!L126)))</f>
        <v/>
      </c>
    </row>
    <row r="43" spans="3:20">
      <c r="C43" s="339">
        <v>800</v>
      </c>
      <c r="D43" s="557" t="s">
        <v>434</v>
      </c>
      <c r="E43" s="510"/>
      <c r="F43" s="510"/>
      <c r="G43" s="510"/>
      <c r="H43" s="510"/>
      <c r="I43" s="510"/>
      <c r="J43" s="510"/>
      <c r="K43" s="142"/>
      <c r="L43" s="142"/>
      <c r="M43" s="217"/>
      <c r="N43" s="217"/>
      <c r="O43" s="217"/>
      <c r="P43" s="217" t="str">
        <f>IF(Summary!H127=0,"",((10^6*Summary!H144)/($C43*Summary!H127)))</f>
        <v/>
      </c>
      <c r="Q43" s="217" t="str">
        <f>IF(Summary!I127=0,"",((10^6*Summary!I144)/($C43*Summary!I127)))</f>
        <v/>
      </c>
      <c r="R43" s="217" t="str">
        <f>IF(Summary!J127=0,"",((10^6*Summary!J144)/($C43*Summary!J127)))</f>
        <v/>
      </c>
      <c r="S43" s="217" t="str">
        <f>IF(Summary!K127=0,"",((10^6*Summary!K144)/($C43*Summary!K127)))</f>
        <v/>
      </c>
      <c r="T43" s="217" t="str">
        <f>IF(Summary!L127=0,"",((10^6*Summary!L144)/($C43*Summary!L127)))</f>
        <v/>
      </c>
    </row>
    <row r="44" spans="3:20">
      <c r="D44" s="115" t="s">
        <v>70</v>
      </c>
      <c r="E44" s="536">
        <v>18.659177244454714</v>
      </c>
      <c r="F44" s="537">
        <v>12.491157998353826</v>
      </c>
      <c r="G44" s="537">
        <v>11.206910619233915</v>
      </c>
      <c r="H44" s="537">
        <v>9.2919679279757297</v>
      </c>
      <c r="I44" s="537">
        <v>7.2488549734174947</v>
      </c>
      <c r="J44" s="537">
        <v>6.6238891591280309</v>
      </c>
      <c r="K44" s="342">
        <f>(Summary!C146*10^6)/(1*Summary!C119+10*Summary!C120+25*Summary!C121+40*Summary!C122+50*Summary!C123+100*Summary!C124+200*Summary!C125+400*Summary!C126)</f>
        <v>6.4437661562837079</v>
      </c>
      <c r="L44" s="342">
        <f>(Summary!D146*10^6)/(1*Summary!D119+10*Summary!D120+25*Summary!D121+40*Summary!D122+50*Summary!D123+100*Summary!D124+200*Summary!D125+400*Summary!D126)</f>
        <v>4.842530790323706</v>
      </c>
      <c r="M44" s="342">
        <f>(Summary!E146*10^6)/(1*Summary!E119+10*Summary!E120+25*Summary!E121+40*Summary!E122+50*Summary!E123+100*Summary!E124+200*Summary!E125+400*Summary!E126)</f>
        <v>3.3813605974540195</v>
      </c>
      <c r="N44" s="342" t="e">
        <f>(Summary!F146*10^6)/(1*Summary!F119+10*Summary!F120+25*Summary!F121+40*Summary!F122+50*Summary!F123+100*Summary!F124+200*Summary!F125+400*Summary!F126)</f>
        <v>#DIV/0!</v>
      </c>
      <c r="O44" s="342" t="e">
        <f>(Summary!G146*10^6)/(1*Summary!G119+10*Summary!G120+25*Summary!G121+40*Summary!G122+50*Summary!G123+100*Summary!G124+200*Summary!G125+400*Summary!G126)</f>
        <v>#DIV/0!</v>
      </c>
      <c r="P44" s="342" t="e">
        <f>(Summary!H146*10^6)/(1*Summary!H119+10*Summary!H120+25*Summary!H121+40*Summary!H122+50*Summary!H123+100*Summary!H124+200*Summary!H125+400*Summary!H126)</f>
        <v>#DIV/0!</v>
      </c>
      <c r="Q44" s="342" t="e">
        <f>(Summary!I146*10^6)/(1*Summary!I119+10*Summary!I120+25*Summary!I121+40*Summary!I122+50*Summary!I123+100*Summary!I124+200*Summary!I125+400*Summary!I126)</f>
        <v>#DIV/0!</v>
      </c>
      <c r="R44" s="342" t="e">
        <f>(Summary!J146*10^6)/(1*Summary!J119+10*Summary!J120+25*Summary!J121+40*Summary!J122+50*Summary!J123+100*Summary!J124+200*Summary!J125+400*Summary!J126)</f>
        <v>#DIV/0!</v>
      </c>
      <c r="S44" s="342" t="e">
        <f>(Summary!K146*10^6)/(1*Summary!K119+10*Summary!K120+25*Summary!K121+40*Summary!K122+50*Summary!K123+100*Summary!K124+200*Summary!K125+400*Summary!K126)</f>
        <v>#DIV/0!</v>
      </c>
      <c r="T44" s="342" t="e">
        <f>(Summary!L146*10^6)/(1*Summary!L119+10*Summary!L120+25*Summary!L121+40*Summary!L122+50*Summary!L123+100*Summary!L124+200*Summary!L125+400*Summary!L126)</f>
        <v>#DIV/0!</v>
      </c>
    </row>
    <row r="71" spans="4:24" ht="15.5">
      <c r="D71" s="529" t="s">
        <v>179</v>
      </c>
      <c r="E71" s="123">
        <v>2010</v>
      </c>
      <c r="F71" s="124">
        <v>2011</v>
      </c>
      <c r="G71" s="124">
        <v>2012</v>
      </c>
      <c r="H71" s="124">
        <v>2013</v>
      </c>
      <c r="I71" s="124">
        <v>2014</v>
      </c>
      <c r="J71" s="124">
        <v>2015</v>
      </c>
      <c r="K71" s="124">
        <v>2016</v>
      </c>
      <c r="L71" s="124">
        <v>2017</v>
      </c>
      <c r="M71" s="124">
        <v>2018</v>
      </c>
      <c r="N71" s="124">
        <v>2019</v>
      </c>
      <c r="O71" s="124">
        <v>2020</v>
      </c>
      <c r="P71" s="124">
        <v>2021</v>
      </c>
      <c r="Q71" s="124">
        <v>2022</v>
      </c>
      <c r="R71" s="110">
        <v>2023</v>
      </c>
      <c r="S71" s="110">
        <v>2024</v>
      </c>
      <c r="T71" s="111">
        <v>2025</v>
      </c>
    </row>
    <row r="72" spans="4:24">
      <c r="D72" s="530" t="str">
        <f t="shared" ref="D72:D80" si="0">D35</f>
        <v>1 G</v>
      </c>
      <c r="E72" s="517">
        <v>13.753951556800791</v>
      </c>
      <c r="F72" s="518">
        <v>12.985268264022558</v>
      </c>
      <c r="G72" s="518">
        <v>12.565352668140264</v>
      </c>
      <c r="H72" s="518">
        <v>11.996692618609446</v>
      </c>
      <c r="I72" s="518">
        <v>11.174241369596015</v>
      </c>
      <c r="J72" s="518">
        <v>10.470983555845212</v>
      </c>
      <c r="K72" s="290">
        <f t="shared" ref="K72:T72" si="1">K95</f>
        <v>10.178233731377588</v>
      </c>
      <c r="L72" s="290">
        <f t="shared" si="1"/>
        <v>8.9746992158904888</v>
      </c>
      <c r="M72" s="290">
        <f t="shared" si="1"/>
        <v>8.1963947817703744</v>
      </c>
      <c r="N72" s="290" t="str">
        <f t="shared" si="1"/>
        <v/>
      </c>
      <c r="O72" s="290" t="str">
        <f t="shared" si="1"/>
        <v/>
      </c>
      <c r="P72" s="290" t="str">
        <f t="shared" si="1"/>
        <v/>
      </c>
      <c r="Q72" s="290" t="str">
        <f t="shared" si="1"/>
        <v/>
      </c>
      <c r="R72" s="290" t="str">
        <f t="shared" si="1"/>
        <v/>
      </c>
      <c r="S72" s="290" t="str">
        <f t="shared" si="1"/>
        <v/>
      </c>
      <c r="T72" s="428" t="str">
        <f t="shared" si="1"/>
        <v/>
      </c>
    </row>
    <row r="73" spans="4:24">
      <c r="D73" s="531" t="str">
        <f t="shared" si="0"/>
        <v>10 G</v>
      </c>
      <c r="E73" s="517">
        <v>7.2693971450474013</v>
      </c>
      <c r="F73" s="518">
        <v>5.6225638648096545</v>
      </c>
      <c r="G73" s="518">
        <v>4.7234436834010181</v>
      </c>
      <c r="H73" s="518">
        <v>3.5859981642836827</v>
      </c>
      <c r="I73" s="518">
        <v>2.7640696017573658</v>
      </c>
      <c r="J73" s="518">
        <v>2.1809560564685277</v>
      </c>
      <c r="K73" s="290">
        <f>SUM('Products x speed'!E164:E165)*10^6/SUM('Products x speed'!E14:E16)/10</f>
        <v>1.8308628817969292</v>
      </c>
      <c r="L73" s="290">
        <f>SUM('Products x speed'!F164:F165)*10^6/SUM('Products x speed'!F14:F16)/10</f>
        <v>1.5256493367606148</v>
      </c>
      <c r="M73" s="290">
        <f>SUM('Products x speed'!G164:G165)*10^6/SUM('Products x speed'!G14:G16)/10</f>
        <v>1.294694247720833</v>
      </c>
      <c r="N73" s="290" t="e">
        <f>SUM('Products x speed'!H164:H165)*10^6/SUM('Products x speed'!H14:H16)/10</f>
        <v>#DIV/0!</v>
      </c>
      <c r="O73" s="290" t="e">
        <f>SUM('Products x speed'!I164:I165)*10^6/SUM('Products x speed'!I14:I16)/10</f>
        <v>#DIV/0!</v>
      </c>
      <c r="P73" s="290" t="e">
        <f>SUM('Products x speed'!J164:J165)*10^6/SUM('Products x speed'!J14:J16)/10</f>
        <v>#DIV/0!</v>
      </c>
      <c r="Q73" s="290" t="e">
        <f>SUM('Products x speed'!K164:K165)*10^6/SUM('Products x speed'!K14:K16)/10</f>
        <v>#DIV/0!</v>
      </c>
      <c r="R73" s="290" t="e">
        <f>SUM('Products x speed'!L164:L165)*10^6/SUM('Products x speed'!L14:L16)/10</f>
        <v>#DIV/0!</v>
      </c>
      <c r="S73" s="290" t="e">
        <f>SUM('Products x speed'!M164:M165)*10^6/SUM('Products x speed'!M14:M16)/10</f>
        <v>#DIV/0!</v>
      </c>
      <c r="T73" s="428" t="e">
        <f>SUM('Products x speed'!N164:N165)*10^6/SUM('Products x speed'!N14:N16)/10</f>
        <v>#DIV/0!</v>
      </c>
    </row>
    <row r="74" spans="4:24">
      <c r="D74" s="531" t="str">
        <f t="shared" si="0"/>
        <v>25 G</v>
      </c>
      <c r="E74" s="525"/>
      <c r="F74" s="526"/>
      <c r="G74" s="526"/>
      <c r="H74" s="526"/>
      <c r="I74" s="526"/>
      <c r="J74" s="526"/>
      <c r="K74" s="294">
        <f t="shared" ref="K74:T74" si="2">K110</f>
        <v>7.4857262804366078</v>
      </c>
      <c r="L74" s="294">
        <f t="shared" si="2"/>
        <v>5.6444287278986067</v>
      </c>
      <c r="M74" s="294">
        <f t="shared" si="2"/>
        <v>3.4918688536513516</v>
      </c>
      <c r="N74" s="294" t="str">
        <f t="shared" si="2"/>
        <v/>
      </c>
      <c r="O74" s="294" t="str">
        <f t="shared" si="2"/>
        <v/>
      </c>
      <c r="P74" s="294" t="str">
        <f t="shared" si="2"/>
        <v/>
      </c>
      <c r="Q74" s="294" t="str">
        <f t="shared" si="2"/>
        <v/>
      </c>
      <c r="R74" s="294" t="str">
        <f t="shared" si="2"/>
        <v/>
      </c>
      <c r="S74" s="294" t="str">
        <f t="shared" si="2"/>
        <v/>
      </c>
      <c r="T74" s="429" t="str">
        <f t="shared" si="2"/>
        <v/>
      </c>
    </row>
    <row r="75" spans="4:24">
      <c r="D75" s="532" t="str">
        <f t="shared" si="0"/>
        <v>40 G</v>
      </c>
      <c r="E75" s="517">
        <v>16</v>
      </c>
      <c r="F75" s="518">
        <v>7.186692574411718</v>
      </c>
      <c r="G75" s="518">
        <v>5.2569352371264841</v>
      </c>
      <c r="H75" s="518">
        <v>4.7415806558600639</v>
      </c>
      <c r="I75" s="518">
        <v>4.5976611884346736</v>
      </c>
      <c r="J75" s="518">
        <v>3.0556100659675449</v>
      </c>
      <c r="K75" s="290">
        <f>SUM('Products x speed'!E177:E179)*10^6/SUM('Products x speed'!E27:E29)/40</f>
        <v>4.0004946969346946</v>
      </c>
      <c r="L75" s="290">
        <f>SUM('Products x speed'!F177:F179)*10^6/SUM('Products x speed'!F27:F29)/40</f>
        <v>3.5024711725363686</v>
      </c>
      <c r="M75" s="290">
        <f>SUM('Products x speed'!G177:G179)*10^6/SUM('Products x speed'!G27:G29)/40</f>
        <v>2.7201250149338185</v>
      </c>
      <c r="N75" s="290" t="e">
        <f>SUM('Products x speed'!H177:H179)*10^6/SUM('Products x speed'!H27:H29)/40</f>
        <v>#DIV/0!</v>
      </c>
      <c r="O75" s="290" t="e">
        <f>SUM('Products x speed'!I177:I179)*10^6/SUM('Products x speed'!I27:I29)/40</f>
        <v>#DIV/0!</v>
      </c>
      <c r="P75" s="290" t="e">
        <f>SUM('Products x speed'!J177:J179)*10^6/SUM('Products x speed'!J27:J29)/40</f>
        <v>#DIV/0!</v>
      </c>
      <c r="Q75" s="290" t="e">
        <f>SUM('Products x speed'!K177:K179)*10^6/SUM('Products x speed'!K27:K29)/40</f>
        <v>#DIV/0!</v>
      </c>
      <c r="R75" s="290" t="e">
        <f>SUM('Products x speed'!L177:L179)*10^6/SUM('Products x speed'!L27:L29)/40</f>
        <v>#DIV/0!</v>
      </c>
      <c r="S75" s="290" t="e">
        <f>SUM('Products x speed'!M177:M179)*10^6/SUM('Products x speed'!M27:M29)/40</f>
        <v>#DIV/0!</v>
      </c>
      <c r="T75" s="428" t="e">
        <f>SUM('Products x speed'!N177:N179)*10^6/SUM('Products x speed'!N27:N29)/40</f>
        <v>#DIV/0!</v>
      </c>
    </row>
    <row r="76" spans="4:24">
      <c r="D76" s="532" t="str">
        <f t="shared" si="0"/>
        <v>50 G</v>
      </c>
      <c r="E76" s="517"/>
      <c r="F76" s="518"/>
      <c r="G76" s="518"/>
      <c r="H76" s="518"/>
      <c r="I76" s="518"/>
      <c r="J76" s="518"/>
      <c r="K76" s="290"/>
      <c r="L76" s="290"/>
      <c r="M76" s="290"/>
      <c r="N76" s="290"/>
      <c r="O76" s="290" t="str">
        <f t="shared" ref="O76:T76" si="3">O122</f>
        <v/>
      </c>
      <c r="P76" s="290" t="str">
        <f t="shared" si="3"/>
        <v/>
      </c>
      <c r="Q76" s="290" t="str">
        <f t="shared" si="3"/>
        <v/>
      </c>
      <c r="R76" s="290" t="str">
        <f t="shared" si="3"/>
        <v/>
      </c>
      <c r="S76" s="290" t="str">
        <f t="shared" si="3"/>
        <v/>
      </c>
      <c r="T76" s="428" t="str">
        <f t="shared" si="3"/>
        <v/>
      </c>
    </row>
    <row r="77" spans="4:24">
      <c r="D77" s="532" t="str">
        <f t="shared" si="0"/>
        <v>100 G</v>
      </c>
      <c r="E77" s="517"/>
      <c r="F77" s="518"/>
      <c r="G77" s="518">
        <v>23.897826358525922</v>
      </c>
      <c r="H77" s="518">
        <v>18.815171215351814</v>
      </c>
      <c r="I77" s="518">
        <v>17.880221269073317</v>
      </c>
      <c r="J77" s="518">
        <v>13.672506526121772</v>
      </c>
      <c r="K77" s="290">
        <f>SUM('Products x speed'!E191:E196)*10^6/SUM('Products x speed'!E41:E46)/100</f>
        <v>3.2957163623968637</v>
      </c>
      <c r="L77" s="290">
        <f>SUM('Products x speed'!F191:F196)*10^6/SUM('Products x speed'!F41:F46)/100</f>
        <v>1.9723036134511864</v>
      </c>
      <c r="M77" s="290">
        <f>SUM('Products x speed'!G191:G196)*10^6/SUM('Products x speed'!G41:G46)/100</f>
        <v>1.2095252871913105</v>
      </c>
      <c r="N77" s="451" t="e">
        <f>SUM('Products x speed'!H191:H196)*10^6/SUM('Products x speed'!H41:H46)/100</f>
        <v>#DIV/0!</v>
      </c>
      <c r="O77" s="290" t="e">
        <f>SUM('Products x speed'!I191:I196)*10^6/SUM('Products x speed'!I41:I46)/100</f>
        <v>#DIV/0!</v>
      </c>
      <c r="P77" s="290" t="e">
        <f>SUM('Products x speed'!J191:J196)*10^6/SUM('Products x speed'!J41:J46)/100</f>
        <v>#DIV/0!</v>
      </c>
      <c r="Q77" s="290" t="e">
        <f>SUM('Products x speed'!K191:K196)*10^6/SUM('Products x speed'!K41:K46)/100</f>
        <v>#DIV/0!</v>
      </c>
      <c r="R77" s="290" t="e">
        <f>SUM('Products x speed'!L191:L196)*10^6/SUM('Products x speed'!L41:L46)/100</f>
        <v>#DIV/0!</v>
      </c>
      <c r="S77" s="290" t="e">
        <f>SUM('Products x speed'!M191:M196)*10^6/SUM('Products x speed'!M41:M46)/100</f>
        <v>#DIV/0!</v>
      </c>
      <c r="T77" s="452" t="e">
        <f>SUM('Products x speed'!N191:N196)*10^6/SUM('Products x speed'!N41:N46)/100</f>
        <v>#DIV/0!</v>
      </c>
    </row>
    <row r="78" spans="4:24">
      <c r="D78" s="532" t="str">
        <f t="shared" si="0"/>
        <v>200 G</v>
      </c>
      <c r="E78" s="525"/>
      <c r="F78" s="526"/>
      <c r="G78" s="526"/>
      <c r="H78" s="526"/>
      <c r="I78" s="526"/>
      <c r="J78" s="526"/>
      <c r="K78" s="294"/>
      <c r="L78" s="294"/>
      <c r="M78" s="294"/>
      <c r="N78" s="291" t="str">
        <f t="shared" ref="N78:T78" si="4">N144</f>
        <v/>
      </c>
      <c r="O78" s="291" t="str">
        <f t="shared" si="4"/>
        <v/>
      </c>
      <c r="P78" s="291" t="str">
        <f t="shared" si="4"/>
        <v/>
      </c>
      <c r="Q78" s="291" t="str">
        <f t="shared" si="4"/>
        <v/>
      </c>
      <c r="R78" s="291" t="str">
        <f t="shared" si="4"/>
        <v/>
      </c>
      <c r="S78" s="291" t="str">
        <f t="shared" si="4"/>
        <v/>
      </c>
      <c r="T78" s="430" t="str">
        <f t="shared" si="4"/>
        <v/>
      </c>
      <c r="U78" s="108"/>
      <c r="V78" s="108" t="e">
        <f t="shared" ref="V78:X79" si="5">O78/N78-1</f>
        <v>#VALUE!</v>
      </c>
      <c r="W78" s="108" t="e">
        <f t="shared" si="5"/>
        <v>#VALUE!</v>
      </c>
      <c r="X78" s="108" t="e">
        <f t="shared" si="5"/>
        <v>#VALUE!</v>
      </c>
    </row>
    <row r="79" spans="4:24">
      <c r="D79" s="532" t="str">
        <f t="shared" si="0"/>
        <v>400 G</v>
      </c>
      <c r="E79" s="525"/>
      <c r="F79" s="526"/>
      <c r="G79" s="526"/>
      <c r="H79" s="526"/>
      <c r="I79" s="526"/>
      <c r="J79" s="526"/>
      <c r="K79" s="294"/>
      <c r="L79" s="294"/>
      <c r="M79" s="294"/>
      <c r="N79" s="291"/>
      <c r="O79" s="291" t="str">
        <f t="shared" ref="N79:T79" si="6">O148</f>
        <v/>
      </c>
      <c r="P79" s="291" t="str">
        <f t="shared" si="6"/>
        <v/>
      </c>
      <c r="Q79" s="291" t="str">
        <f t="shared" si="6"/>
        <v/>
      </c>
      <c r="R79" s="291" t="str">
        <f t="shared" si="6"/>
        <v/>
      </c>
      <c r="S79" s="291" t="str">
        <f t="shared" si="6"/>
        <v/>
      </c>
      <c r="T79" s="430" t="str">
        <f t="shared" si="6"/>
        <v/>
      </c>
      <c r="U79" s="108"/>
      <c r="V79" s="108" t="e">
        <f t="shared" si="5"/>
        <v>#VALUE!</v>
      </c>
      <c r="W79" s="108" t="e">
        <f t="shared" si="5"/>
        <v>#VALUE!</v>
      </c>
      <c r="X79" s="108" t="e">
        <f t="shared" si="5"/>
        <v>#VALUE!</v>
      </c>
    </row>
    <row r="80" spans="4:24">
      <c r="D80" s="533" t="str">
        <f t="shared" si="0"/>
        <v>800 G</v>
      </c>
      <c r="E80" s="527"/>
      <c r="F80" s="528"/>
      <c r="G80" s="528"/>
      <c r="H80" s="528"/>
      <c r="I80" s="528"/>
      <c r="J80" s="528"/>
      <c r="K80" s="295"/>
      <c r="L80" s="295"/>
      <c r="M80" s="295"/>
      <c r="N80" s="482"/>
      <c r="O80" s="482"/>
      <c r="P80" s="482"/>
      <c r="Q80" s="482"/>
      <c r="R80" s="482"/>
      <c r="S80" s="482"/>
      <c r="T80" s="483"/>
      <c r="U80" s="108"/>
      <c r="V80" s="108"/>
      <c r="W80" s="108"/>
      <c r="X80" s="108"/>
    </row>
    <row r="81" spans="2:24">
      <c r="D81" s="534"/>
      <c r="R81" s="286"/>
      <c r="S81" s="286"/>
      <c r="T81" s="286"/>
    </row>
    <row r="82" spans="2:24" ht="15.5">
      <c r="D82" s="529" t="s">
        <v>164</v>
      </c>
      <c r="E82" s="123">
        <v>2010</v>
      </c>
      <c r="F82" s="124">
        <v>2011</v>
      </c>
      <c r="G82" s="124">
        <v>2012</v>
      </c>
      <c r="H82" s="124">
        <v>2013</v>
      </c>
      <c r="I82" s="124">
        <v>2014</v>
      </c>
      <c r="J82" s="124">
        <v>2015</v>
      </c>
      <c r="K82" s="124">
        <v>2016</v>
      </c>
      <c r="L82" s="124">
        <v>2017</v>
      </c>
      <c r="M82" s="124">
        <v>2018</v>
      </c>
      <c r="N82" s="124">
        <v>2019</v>
      </c>
      <c r="O82" s="124">
        <v>2020</v>
      </c>
      <c r="P82" s="124">
        <v>2021</v>
      </c>
      <c r="Q82" s="124">
        <v>2022</v>
      </c>
      <c r="R82" s="110">
        <v>2023</v>
      </c>
      <c r="S82" s="110">
        <v>2024</v>
      </c>
      <c r="T82" s="111">
        <v>2025</v>
      </c>
    </row>
    <row r="83" spans="2:24">
      <c r="D83" s="530" t="str">
        <f t="shared" ref="D83:D91" si="7">D35</f>
        <v>1 G</v>
      </c>
      <c r="E83" s="517">
        <v>25.149205126655112</v>
      </c>
      <c r="F83" s="518">
        <v>22.542686548685776</v>
      </c>
      <c r="G83" s="518">
        <v>20.494201491669465</v>
      </c>
      <c r="H83" s="518">
        <v>17.059287862972699</v>
      </c>
      <c r="I83" s="518">
        <v>15.209922341136267</v>
      </c>
      <c r="J83" s="518">
        <v>14.316550029685587</v>
      </c>
      <c r="K83" s="290">
        <f t="shared" ref="K83:T83" si="8">K96</f>
        <v>11.313150064475876</v>
      </c>
      <c r="L83" s="290">
        <f t="shared" si="8"/>
        <v>9.7279618337487541</v>
      </c>
      <c r="M83" s="290">
        <f t="shared" si="8"/>
        <v>7.9991133376783168</v>
      </c>
      <c r="N83" s="290" t="str">
        <f t="shared" si="8"/>
        <v/>
      </c>
      <c r="O83" s="290" t="str">
        <f t="shared" si="8"/>
        <v/>
      </c>
      <c r="P83" s="290" t="str">
        <f t="shared" si="8"/>
        <v/>
      </c>
      <c r="Q83" s="290" t="str">
        <f t="shared" si="8"/>
        <v/>
      </c>
      <c r="R83" s="290" t="str">
        <f t="shared" si="8"/>
        <v/>
      </c>
      <c r="S83" s="290" t="str">
        <f t="shared" si="8"/>
        <v/>
      </c>
      <c r="T83" s="428" t="str">
        <f t="shared" si="8"/>
        <v/>
      </c>
    </row>
    <row r="84" spans="2:24">
      <c r="D84" s="532" t="str">
        <f t="shared" si="7"/>
        <v>10 G</v>
      </c>
      <c r="E84" s="517">
        <v>20.083089586633925</v>
      </c>
      <c r="F84" s="518">
        <v>15.192387099264787</v>
      </c>
      <c r="G84" s="518">
        <v>12.606537702368776</v>
      </c>
      <c r="H84" s="518">
        <v>9.5723766997270552</v>
      </c>
      <c r="I84" s="518">
        <v>6.7015289167061241</v>
      </c>
      <c r="J84" s="518">
        <v>5.5401360004392348</v>
      </c>
      <c r="K84" s="290">
        <f>SUM('Products x speed'!E167:E168)*10^6/SUM('Products x speed'!E17:E18)/10</f>
        <v>3.9011693498104392</v>
      </c>
      <c r="L84" s="290">
        <f>SUM('Products x speed'!F167:F168)*10^6/SUM('Products x speed'!F17:F18)/10</f>
        <v>3.0703885502204229</v>
      </c>
      <c r="M84" s="290">
        <f>SUM('Products x speed'!G167:G168)*10^6/SUM('Products x speed'!G17:G18)/10</f>
        <v>2.4729885950225219</v>
      </c>
      <c r="N84" s="290" t="e">
        <f>SUM('Products x speed'!H167:H168)*10^6/SUM('Products x speed'!H17:H18)/10</f>
        <v>#DIV/0!</v>
      </c>
      <c r="O84" s="290" t="e">
        <f>SUM('Products x speed'!I167:I168)*10^6/SUM('Products x speed'!I17:I18)/10</f>
        <v>#DIV/0!</v>
      </c>
      <c r="P84" s="290" t="e">
        <f>SUM('Products x speed'!J167:J168)*10^6/SUM('Products x speed'!J17:J18)/10</f>
        <v>#DIV/0!</v>
      </c>
      <c r="Q84" s="290" t="e">
        <f>SUM('Products x speed'!K167:K168)*10^6/SUM('Products x speed'!K17:K18)/10</f>
        <v>#DIV/0!</v>
      </c>
      <c r="R84" s="290" t="e">
        <f>SUM('Products x speed'!L167:L168)*10^6/SUM('Products x speed'!L17:L18)/10</f>
        <v>#DIV/0!</v>
      </c>
      <c r="S84" s="290" t="e">
        <f>SUM('Products x speed'!M167:M168)*10^6/SUM('Products x speed'!M17:M18)/10</f>
        <v>#DIV/0!</v>
      </c>
      <c r="T84" s="428" t="e">
        <f>SUM('Products x speed'!N167:N168)*10^6/SUM('Products x speed'!N17:N18)/10</f>
        <v>#DIV/0!</v>
      </c>
    </row>
    <row r="85" spans="2:24">
      <c r="D85" s="531" t="str">
        <f t="shared" si="7"/>
        <v>25 G</v>
      </c>
      <c r="E85" s="519"/>
      <c r="F85" s="520"/>
      <c r="G85" s="520"/>
      <c r="H85" s="520"/>
      <c r="I85" s="520"/>
      <c r="J85" s="520"/>
      <c r="K85" s="291">
        <f t="shared" ref="K85:T85" si="9">K111</f>
        <v>18.249613016710644</v>
      </c>
      <c r="L85" s="291">
        <f t="shared" si="9"/>
        <v>12.964142267585002</v>
      </c>
      <c r="M85" s="291">
        <f t="shared" si="9"/>
        <v>7.7849911231021514</v>
      </c>
      <c r="N85" s="291" t="str">
        <f t="shared" si="9"/>
        <v/>
      </c>
      <c r="O85" s="291" t="str">
        <f t="shared" si="9"/>
        <v/>
      </c>
      <c r="P85" s="291" t="str">
        <f t="shared" si="9"/>
        <v/>
      </c>
      <c r="Q85" s="291" t="str">
        <f t="shared" si="9"/>
        <v/>
      </c>
      <c r="R85" s="291" t="str">
        <f t="shared" si="9"/>
        <v/>
      </c>
      <c r="S85" s="291" t="str">
        <f t="shared" si="9"/>
        <v/>
      </c>
      <c r="T85" s="430" t="str">
        <f t="shared" si="9"/>
        <v/>
      </c>
    </row>
    <row r="86" spans="2:24">
      <c r="D86" s="532" t="str">
        <f t="shared" si="7"/>
        <v>40 G</v>
      </c>
      <c r="E86" s="517">
        <v>80.784136641723492</v>
      </c>
      <c r="F86" s="518">
        <v>77.777449856733512</v>
      </c>
      <c r="G86" s="518">
        <v>31.374042015224383</v>
      </c>
      <c r="H86" s="518">
        <v>20.904356576912654</v>
      </c>
      <c r="I86" s="518">
        <v>18.050742044044327</v>
      </c>
      <c r="J86" s="518">
        <v>16.332734902464885</v>
      </c>
      <c r="K86" s="290">
        <f>SUM('Products x speed'!E180:E184)*10^6/SUM('Products x speed'!E31:E34)/40</f>
        <v>16.617107346810069</v>
      </c>
      <c r="L86" s="290">
        <f>SUM('Products x speed'!F180:F184)*10^6/SUM('Products x speed'!F31:F34)/40</f>
        <v>12.449764992846998</v>
      </c>
      <c r="M86" s="290">
        <f>SUM('Products x speed'!G180:G184)*10^6/SUM('Products x speed'!G31:G34)/40</f>
        <v>14.161471083306537</v>
      </c>
      <c r="N86" s="290" t="e">
        <f>SUM('Products x speed'!H180:H184)*10^6/SUM('Products x speed'!H31:H34)/40</f>
        <v>#DIV/0!</v>
      </c>
      <c r="O86" s="290" t="e">
        <f>SUM('Products x speed'!I180:I184)*10^6/SUM('Products x speed'!I31:I34)/40</f>
        <v>#DIV/0!</v>
      </c>
      <c r="P86" s="290" t="e">
        <f>SUM('Products x speed'!J180:J184)*10^6/SUM('Products x speed'!J31:J34)/40</f>
        <v>#DIV/0!</v>
      </c>
      <c r="Q86" s="290" t="e">
        <f>SUM('Products x speed'!K180:K184)*10^6/SUM('Products x speed'!K31:K34)/40</f>
        <v>#DIV/0!</v>
      </c>
      <c r="R86" s="290" t="e">
        <f>SUM('Products x speed'!L180:L184)*10^6/SUM('Products x speed'!L31:L34)/40</f>
        <v>#DIV/0!</v>
      </c>
      <c r="S86" s="290" t="e">
        <f>SUM('Products x speed'!M180:M184)*10^6/SUM('Products x speed'!M31:M34)/40</f>
        <v>#DIV/0!</v>
      </c>
      <c r="T86" s="428" t="e">
        <f>SUM('Products x speed'!N180:N184)*10^6/SUM('Products x speed'!N31:N34)/40</f>
        <v>#DIV/0!</v>
      </c>
    </row>
    <row r="87" spans="2:24">
      <c r="D87" s="532" t="str">
        <f t="shared" si="7"/>
        <v>50 G</v>
      </c>
      <c r="E87" s="517"/>
      <c r="F87" s="518"/>
      <c r="G87" s="518"/>
      <c r="H87" s="518"/>
      <c r="I87" s="518"/>
      <c r="J87" s="518"/>
      <c r="K87" s="292"/>
      <c r="L87" s="292"/>
      <c r="M87" s="292"/>
      <c r="N87" s="292"/>
      <c r="O87" s="292"/>
      <c r="P87" s="292"/>
      <c r="Q87" s="292"/>
      <c r="R87" s="290"/>
      <c r="S87" s="290"/>
      <c r="T87" s="428"/>
    </row>
    <row r="88" spans="2:24">
      <c r="D88" s="532" t="str">
        <f t="shared" si="7"/>
        <v>100 G</v>
      </c>
      <c r="E88" s="517">
        <v>262.22519083969468</v>
      </c>
      <c r="F88" s="518">
        <v>223.61202964182792</v>
      </c>
      <c r="G88" s="518">
        <v>136.50492489270385</v>
      </c>
      <c r="H88" s="518">
        <v>102.5432875674652</v>
      </c>
      <c r="I88" s="518">
        <v>65.878548873851983</v>
      </c>
      <c r="J88" s="518">
        <v>36.595237268483366</v>
      </c>
      <c r="K88" s="290">
        <f>SUM('Products x speed'!E197:E206)*10^6/SUM('Products x speed'!E47:E56)/100</f>
        <v>15.954523504961168</v>
      </c>
      <c r="L88" s="290">
        <f>SUM('Products x speed'!F197:F206)*10^6/SUM('Products x speed'!F47:F56)/100</f>
        <v>6.5519248022538541</v>
      </c>
      <c r="M88" s="290">
        <f>SUM('Products x speed'!G197:G206)*10^6/SUM('Products x speed'!G47:G56)/100</f>
        <v>4.5550227461298292</v>
      </c>
      <c r="N88" s="451" t="e">
        <f>SUM('Products x speed'!H197:H206)*10^6/SUM('Products x speed'!H47:H56)/100</f>
        <v>#DIV/0!</v>
      </c>
      <c r="O88" s="290" t="e">
        <f>SUM('Products x speed'!I197:I206)*10^6/SUM('Products x speed'!I47:I56)/100</f>
        <v>#DIV/0!</v>
      </c>
      <c r="P88" s="290" t="e">
        <f>SUM('Products x speed'!J197:J206)*10^6/SUM('Products x speed'!J47:J56)/100</f>
        <v>#DIV/0!</v>
      </c>
      <c r="Q88" s="290" t="e">
        <f>SUM('Products x speed'!K197:K206)*10^6/SUM('Products x speed'!K47:K56)/100</f>
        <v>#DIV/0!</v>
      </c>
      <c r="R88" s="290" t="e">
        <f>SUM('Products x speed'!L197:L206)*10^6/SUM('Products x speed'!L47:L56)/100</f>
        <v>#DIV/0!</v>
      </c>
      <c r="S88" s="290" t="e">
        <f>SUM('Products x speed'!M197:M206)*10^6/SUM('Products x speed'!M47:M56)/100</f>
        <v>#DIV/0!</v>
      </c>
      <c r="T88" s="452" t="e">
        <f>SUM('Products x speed'!N197:N206)*10^6/SUM('Products x speed'!N47:N56)/100</f>
        <v>#DIV/0!</v>
      </c>
    </row>
    <row r="89" spans="2:24">
      <c r="D89" s="532" t="str">
        <f t="shared" si="7"/>
        <v>200 G</v>
      </c>
      <c r="E89" s="521"/>
      <c r="F89" s="522"/>
      <c r="G89" s="522"/>
      <c r="H89" s="522"/>
      <c r="I89" s="522"/>
      <c r="J89" s="522"/>
      <c r="K89" s="147"/>
      <c r="L89" s="292"/>
      <c r="M89" s="292">
        <f>SUM('Products x speed'!G209:G211)*10^6/SUM('Products x speed'!G59:G61)/200</f>
        <v>5.3185915492957747</v>
      </c>
      <c r="N89" s="292" t="e">
        <f>SUM('Products x speed'!H209:H211)*10^6/SUM('Products x speed'!H59:H61)/200</f>
        <v>#DIV/0!</v>
      </c>
      <c r="O89" s="292" t="e">
        <f>SUM('Products x speed'!I209:I211)*10^6/SUM('Products x speed'!I59:I61)/200</f>
        <v>#DIV/0!</v>
      </c>
      <c r="P89" s="292" t="e">
        <f>SUM('Products x speed'!J209:J211)*10^6/SUM('Products x speed'!J59:J61)/200</f>
        <v>#DIV/0!</v>
      </c>
      <c r="Q89" s="292" t="e">
        <f>SUM('Products x speed'!K209:K211)*10^6/SUM('Products x speed'!K59:K61)/200</f>
        <v>#DIV/0!</v>
      </c>
      <c r="R89" s="290" t="e">
        <f>SUM('Products x speed'!L209:L211)*10^6/SUM('Products x speed'!L59:L61)/200</f>
        <v>#DIV/0!</v>
      </c>
      <c r="S89" s="290" t="e">
        <f>SUM('Products x speed'!M209:M211)*10^6/SUM('Products x speed'!M59:M61)/200</f>
        <v>#DIV/0!</v>
      </c>
      <c r="T89" s="428" t="e">
        <f>SUM('Products x speed'!N209:N211)*10^6/SUM('Products x speed'!N59:N61)/200</f>
        <v>#DIV/0!</v>
      </c>
      <c r="U89" s="108" t="e">
        <f t="shared" ref="U89:X90" si="10">N89/M89-1</f>
        <v>#DIV/0!</v>
      </c>
      <c r="V89" s="108" t="e">
        <f t="shared" si="10"/>
        <v>#DIV/0!</v>
      </c>
      <c r="W89" s="108" t="e">
        <f t="shared" si="10"/>
        <v>#DIV/0!</v>
      </c>
      <c r="X89" s="108" t="e">
        <f t="shared" si="10"/>
        <v>#DIV/0!</v>
      </c>
    </row>
    <row r="90" spans="2:24">
      <c r="D90" s="532" t="str">
        <f t="shared" si="7"/>
        <v>400 G</v>
      </c>
      <c r="E90" s="521"/>
      <c r="F90" s="522"/>
      <c r="G90" s="522"/>
      <c r="H90" s="522"/>
      <c r="I90" s="522"/>
      <c r="J90" s="522"/>
      <c r="K90" s="147"/>
      <c r="L90" s="292"/>
      <c r="M90" s="292">
        <f>SUM('Products x speed'!G213:G215)*10^6/SUM('Products x speed'!G63:G65)/400</f>
        <v>7.625</v>
      </c>
      <c r="N90" s="292" t="e">
        <f>SUM('Products x speed'!H213:H215)*10^6/SUM('Products x speed'!H63:H65)/400</f>
        <v>#DIV/0!</v>
      </c>
      <c r="O90" s="292" t="e">
        <f>SUM('Products x speed'!I213:I215)*10^6/SUM('Products x speed'!I63:I65)/400</f>
        <v>#DIV/0!</v>
      </c>
      <c r="P90" s="292" t="e">
        <f>SUM('Products x speed'!J213:J215)*10^6/SUM('Products x speed'!J63:J65)/400</f>
        <v>#DIV/0!</v>
      </c>
      <c r="Q90" s="292" t="e">
        <f>SUM('Products x speed'!K213:K215)*10^6/SUM('Products x speed'!K63:K65)/400</f>
        <v>#DIV/0!</v>
      </c>
      <c r="R90" s="290" t="e">
        <f>SUM('Products x speed'!L213:L215)*10^6/SUM('Products x speed'!L63:L65)/400</f>
        <v>#DIV/0!</v>
      </c>
      <c r="S90" s="290" t="e">
        <f>SUM('Products x speed'!M213:M215)*10^6/SUM('Products x speed'!M63:M65)/400</f>
        <v>#DIV/0!</v>
      </c>
      <c r="T90" s="428" t="e">
        <f>SUM('Products x speed'!N213:N215)*10^6/SUM('Products x speed'!N63:N65)/400</f>
        <v>#DIV/0!</v>
      </c>
      <c r="U90" s="108" t="e">
        <f t="shared" si="10"/>
        <v>#DIV/0!</v>
      </c>
      <c r="V90" s="108" t="e">
        <f t="shared" si="10"/>
        <v>#DIV/0!</v>
      </c>
      <c r="W90" s="108" t="e">
        <f t="shared" si="10"/>
        <v>#DIV/0!</v>
      </c>
      <c r="X90" s="108" t="e">
        <f t="shared" si="10"/>
        <v>#DIV/0!</v>
      </c>
    </row>
    <row r="91" spans="2:24">
      <c r="D91" s="535" t="str">
        <f t="shared" si="7"/>
        <v>800 G</v>
      </c>
      <c r="E91" s="523"/>
      <c r="F91" s="524"/>
      <c r="G91" s="524"/>
      <c r="H91" s="524"/>
      <c r="I91" s="524"/>
      <c r="J91" s="524"/>
      <c r="K91" s="156"/>
      <c r="L91" s="293"/>
      <c r="M91" s="293"/>
      <c r="N91" s="293"/>
      <c r="O91" s="293"/>
      <c r="P91" s="293"/>
      <c r="Q91" s="293"/>
      <c r="R91" s="301"/>
      <c r="S91" s="301"/>
      <c r="T91" s="431"/>
      <c r="U91" s="108"/>
      <c r="V91" s="108"/>
      <c r="W91" s="108"/>
    </row>
    <row r="92" spans="2:24">
      <c r="P92" s="286"/>
      <c r="Q92" s="286"/>
    </row>
    <row r="93" spans="2:24" ht="15.5">
      <c r="B93" s="151" t="s">
        <v>69</v>
      </c>
    </row>
    <row r="94" spans="2:24">
      <c r="B94" s="359" t="s">
        <v>34</v>
      </c>
      <c r="C94" s="284" t="s">
        <v>33</v>
      </c>
      <c r="D94" s="285" t="s">
        <v>35</v>
      </c>
      <c r="E94" s="117">
        <v>2010</v>
      </c>
      <c r="F94" s="118">
        <v>2011</v>
      </c>
      <c r="G94" s="118">
        <v>2012</v>
      </c>
      <c r="H94" s="119">
        <v>2013</v>
      </c>
      <c r="I94" s="117">
        <v>2014</v>
      </c>
      <c r="J94" s="118">
        <v>2015</v>
      </c>
      <c r="K94" s="118">
        <v>2016</v>
      </c>
      <c r="L94" s="118">
        <v>2017</v>
      </c>
      <c r="M94" s="118">
        <v>2018</v>
      </c>
      <c r="N94" s="118">
        <v>2019</v>
      </c>
      <c r="O94" s="118">
        <v>2020</v>
      </c>
      <c r="P94" s="118">
        <v>2021</v>
      </c>
      <c r="Q94" s="118">
        <v>2022</v>
      </c>
      <c r="R94" s="118">
        <v>2023</v>
      </c>
      <c r="S94" s="118">
        <v>2024</v>
      </c>
      <c r="T94" s="119">
        <v>2025</v>
      </c>
    </row>
    <row r="95" spans="2:24">
      <c r="B95" s="81" t="str">
        <f>'Products x speed'!B9</f>
        <v>1G</v>
      </c>
      <c r="C95" s="82" t="s">
        <v>46</v>
      </c>
      <c r="D95" s="82" t="s">
        <v>48</v>
      </c>
      <c r="E95" s="511">
        <v>13.753951556800791</v>
      </c>
      <c r="F95" s="512">
        <v>12.985268264022558</v>
      </c>
      <c r="G95" s="512">
        <v>12.565352668140264</v>
      </c>
      <c r="H95" s="512">
        <v>11.996692618609446</v>
      </c>
      <c r="I95" s="512">
        <v>11.174241369596015</v>
      </c>
      <c r="J95" s="512">
        <v>10.470983555845212</v>
      </c>
      <c r="K95" s="112">
        <f>IF('Products x speed'!E9=0,"",('Products x speed'!E159*10^6/'Products x speed'!E9))</f>
        <v>10.178233731377588</v>
      </c>
      <c r="L95" s="112">
        <f>IF('Products x speed'!F9=0,"",('Products x speed'!F159*10^6/'Products x speed'!F9))</f>
        <v>8.9746992158904888</v>
      </c>
      <c r="M95" s="112">
        <f>IF('Products x speed'!G9=0,"",('Products x speed'!G159*10^6/'Products x speed'!G9))</f>
        <v>8.1963947817703744</v>
      </c>
      <c r="N95" s="112" t="str">
        <f>IF('Products x speed'!H9=0,"",('Products x speed'!H159*10^6/'Products x speed'!H9))</f>
        <v/>
      </c>
      <c r="O95" s="112" t="str">
        <f>IF('Products x speed'!I9=0,"",('Products x speed'!I159*10^6/'Products x speed'!I9))</f>
        <v/>
      </c>
      <c r="P95" s="112" t="str">
        <f>IF('Products x speed'!J9=0,"",('Products x speed'!J159*10^6/'Products x speed'!J9))</f>
        <v/>
      </c>
      <c r="Q95" s="112" t="str">
        <f>IF('Products x speed'!K9=0,"",('Products x speed'!K159*10^6/'Products x speed'!K9))</f>
        <v/>
      </c>
      <c r="R95" s="300" t="str">
        <f>IF('Products x speed'!L9=0,"",('Products x speed'!L159*10^6/'Products x speed'!L9))</f>
        <v/>
      </c>
      <c r="S95" s="300" t="str">
        <f>IF('Products x speed'!M9=0,"",('Products x speed'!M159*10^6/'Products x speed'!M9))</f>
        <v/>
      </c>
      <c r="T95" s="436" t="str">
        <f>IF('Products x speed'!N9=0,"",('Products x speed'!N159*10^6/'Products x speed'!N9))</f>
        <v/>
      </c>
    </row>
    <row r="96" spans="2:24">
      <c r="B96" s="81" t="str">
        <f>'Products x speed'!B10</f>
        <v>1G</v>
      </c>
      <c r="C96" s="82" t="s">
        <v>52</v>
      </c>
      <c r="D96" s="82" t="s">
        <v>48</v>
      </c>
      <c r="E96" s="513">
        <v>25.149205126655112</v>
      </c>
      <c r="F96" s="514">
        <v>22.542686548685776</v>
      </c>
      <c r="G96" s="514">
        <v>20.494201491669465</v>
      </c>
      <c r="H96" s="514">
        <v>17.059287862972699</v>
      </c>
      <c r="I96" s="514">
        <v>15.209922341136267</v>
      </c>
      <c r="J96" s="514">
        <v>14.316550029685587</v>
      </c>
      <c r="K96" s="114">
        <f>IF('Products x speed'!E10=0,"",('Products x speed'!E160*10^6/'Products x speed'!E10))</f>
        <v>11.313150064475876</v>
      </c>
      <c r="L96" s="114">
        <f>IF('Products x speed'!F10=0,"",('Products x speed'!F160*10^6/'Products x speed'!F10))</f>
        <v>9.7279618337487541</v>
      </c>
      <c r="M96" s="114">
        <f>IF('Products x speed'!G10=0,"",('Products x speed'!G160*10^6/'Products x speed'!G10))</f>
        <v>7.9991133376783168</v>
      </c>
      <c r="N96" s="114" t="str">
        <f>IF('Products x speed'!H10=0,"",('Products x speed'!H160*10^6/'Products x speed'!H10))</f>
        <v/>
      </c>
      <c r="O96" s="114" t="str">
        <f>IF('Products x speed'!I10=0,"",('Products x speed'!I160*10^6/'Products x speed'!I10))</f>
        <v/>
      </c>
      <c r="P96" s="114" t="str">
        <f>IF('Products x speed'!J10=0,"",('Products x speed'!J160*10^6/'Products x speed'!J10))</f>
        <v/>
      </c>
      <c r="Q96" s="114" t="str">
        <f>IF('Products x speed'!K10=0,"",('Products x speed'!K160*10^6/'Products x speed'!K10))</f>
        <v/>
      </c>
      <c r="R96" s="290" t="str">
        <f>IF('Products x speed'!L10=0,"",('Products x speed'!L160*10^6/'Products x speed'!L10))</f>
        <v/>
      </c>
      <c r="S96" s="290" t="str">
        <f>IF('Products x speed'!M10=0,"",('Products x speed'!M160*10^6/'Products x speed'!M10))</f>
        <v/>
      </c>
      <c r="T96" s="428" t="str">
        <f>IF('Products x speed'!N10=0,"",('Products x speed'!N160*10^6/'Products x speed'!N10))</f>
        <v/>
      </c>
    </row>
    <row r="97" spans="2:20">
      <c r="B97" s="81" t="str">
        <f>'Products x speed'!B11</f>
        <v>1G</v>
      </c>
      <c r="C97" s="82" t="s">
        <v>57</v>
      </c>
      <c r="D97" s="82" t="s">
        <v>48</v>
      </c>
      <c r="E97" s="513">
        <v>49.545765519722842</v>
      </c>
      <c r="F97" s="514">
        <v>31.082332063515352</v>
      </c>
      <c r="G97" s="514">
        <v>29.317117113588608</v>
      </c>
      <c r="H97" s="514">
        <v>25.450996968927363</v>
      </c>
      <c r="I97" s="514">
        <v>26.220308543667187</v>
      </c>
      <c r="J97" s="514">
        <v>31.241164678387808</v>
      </c>
      <c r="K97" s="114">
        <f>IF('Products x speed'!E11=0,"",('Products x speed'!E161*10^6/'Products x speed'!E11))</f>
        <v>14.223250006112197</v>
      </c>
      <c r="L97" s="114">
        <f>IF('Products x speed'!F11=0,"",('Products x speed'!F161*10^6/'Products x speed'!F11))</f>
        <v>11.270556706605298</v>
      </c>
      <c r="M97" s="114">
        <f>IF('Products x speed'!G11=0,"",('Products x speed'!G161*10^6/'Products x speed'!G11))</f>
        <v>11.355942578382948</v>
      </c>
      <c r="N97" s="114" t="str">
        <f>IF('Products x speed'!H11=0,"",('Products x speed'!H161*10^6/'Products x speed'!H11))</f>
        <v/>
      </c>
      <c r="O97" s="114" t="str">
        <f>IF('Products x speed'!I11=0,"",('Products x speed'!I161*10^6/'Products x speed'!I11))</f>
        <v/>
      </c>
      <c r="P97" s="114" t="str">
        <f>IF('Products x speed'!J11=0,"",('Products x speed'!J161*10^6/'Products x speed'!J11))</f>
        <v/>
      </c>
      <c r="Q97" s="114" t="str">
        <f>IF('Products x speed'!K11=0,"",('Products x speed'!K161*10^6/'Products x speed'!K11))</f>
        <v/>
      </c>
      <c r="R97" s="290" t="str">
        <f>IF('Products x speed'!L11=0,"",('Products x speed'!L161*10^6/'Products x speed'!L11))</f>
        <v/>
      </c>
      <c r="S97" s="290" t="str">
        <f>IF('Products x speed'!M11=0,"",('Products x speed'!M161*10^6/'Products x speed'!M11))</f>
        <v/>
      </c>
      <c r="T97" s="428" t="str">
        <f>IF('Products x speed'!N11=0,"",('Products x speed'!N161*10^6/'Products x speed'!N11))</f>
        <v/>
      </c>
    </row>
    <row r="98" spans="2:20">
      <c r="B98" s="81" t="str">
        <f>'Products x speed'!B12</f>
        <v>1G</v>
      </c>
      <c r="C98" s="82" t="s">
        <v>59</v>
      </c>
      <c r="D98" s="82" t="s">
        <v>48</v>
      </c>
      <c r="E98" s="513">
        <v>142.80979504422271</v>
      </c>
      <c r="F98" s="514">
        <v>136.76558510512777</v>
      </c>
      <c r="G98" s="514">
        <v>104.22764561707035</v>
      </c>
      <c r="H98" s="514">
        <v>93.07490654205607</v>
      </c>
      <c r="I98" s="514">
        <v>69.983684966026232</v>
      </c>
      <c r="J98" s="514">
        <v>61.786589764149333</v>
      </c>
      <c r="K98" s="114">
        <f>IF('Products x speed'!E12=0,"",('Products x speed'!E162*10^6/'Products x speed'!E12))</f>
        <v>47.263945249069465</v>
      </c>
      <c r="L98" s="114">
        <f>IF('Products x speed'!F12=0,"",('Products x speed'!F162*10^6/'Products x speed'!F12))</f>
        <v>42.349942382451964</v>
      </c>
      <c r="M98" s="114">
        <f>IF('Products x speed'!G12=0,"",('Products x speed'!G162*10^6/'Products x speed'!G12))</f>
        <v>32.87799862653884</v>
      </c>
      <c r="N98" s="114" t="str">
        <f>IF('Products x speed'!H12=0,"",('Products x speed'!H162*10^6/'Products x speed'!H12))</f>
        <v/>
      </c>
      <c r="O98" s="114" t="str">
        <f>IF('Products x speed'!I12=0,"",('Products x speed'!I162*10^6/'Products x speed'!I12))</f>
        <v/>
      </c>
      <c r="P98" s="114" t="str">
        <f>IF('Products x speed'!J12=0,"",('Products x speed'!J162*10^6/'Products x speed'!J12))</f>
        <v/>
      </c>
      <c r="Q98" s="114" t="str">
        <f>IF('Products x speed'!K12=0,"",('Products x speed'!K162*10^6/'Products x speed'!K12))</f>
        <v/>
      </c>
      <c r="R98" s="290" t="str">
        <f>IF('Products x speed'!L12=0,"",('Products x speed'!L162*10^6/'Products x speed'!L12))</f>
        <v/>
      </c>
      <c r="S98" s="290" t="str">
        <f>IF('Products x speed'!M12=0,"",('Products x speed'!M162*10^6/'Products x speed'!M12))</f>
        <v/>
      </c>
      <c r="T98" s="428" t="str">
        <f>IF('Products x speed'!N12=0,"",('Products x speed'!N162*10^6/'Products x speed'!N12))</f>
        <v/>
      </c>
    </row>
    <row r="99" spans="2:20">
      <c r="B99" s="77" t="s">
        <v>265</v>
      </c>
      <c r="C99" s="78" t="s">
        <v>154</v>
      </c>
      <c r="D99" s="79" t="s">
        <v>155</v>
      </c>
      <c r="E99" s="515">
        <v>25.939560910404783</v>
      </c>
      <c r="F99" s="516">
        <v>22.688081673781415</v>
      </c>
      <c r="G99" s="516">
        <v>22.22062865405962</v>
      </c>
      <c r="H99" s="516">
        <v>18.709801438173759</v>
      </c>
      <c r="I99" s="516">
        <v>20.126479250400688</v>
      </c>
      <c r="J99" s="516">
        <v>19.049722478191732</v>
      </c>
      <c r="K99" s="116">
        <f>IF('Products x speed'!E13=0,"",('Products x speed'!E163*10^6/'Products x speed'!E13))</f>
        <v>18</v>
      </c>
      <c r="L99" s="116" t="str">
        <f>IF('Products x speed'!F13=0,"",('Products x speed'!F163*10^6/'Products x speed'!F13))</f>
        <v/>
      </c>
      <c r="M99" s="116" t="str">
        <f>IF('Products x speed'!G13=0,"",('Products x speed'!G163*10^6/'Products x speed'!G13))</f>
        <v/>
      </c>
      <c r="N99" s="116" t="str">
        <f>IF('Products x speed'!H13=0,"",('Products x speed'!H163*10^6/'Products x speed'!H13))</f>
        <v/>
      </c>
      <c r="O99" s="116" t="str">
        <f>IF('Products x speed'!I13=0,"",('Products x speed'!I163*10^6/'Products x speed'!I13))</f>
        <v/>
      </c>
      <c r="P99" s="116" t="str">
        <f>IF('Products x speed'!J13=0,"",('Products x speed'!J163*10^6/'Products x speed'!J13))</f>
        <v/>
      </c>
      <c r="Q99" s="116" t="str">
        <f>IF('Products x speed'!K13=0,"",('Products x speed'!K163*10^6/'Products x speed'!K13))</f>
        <v/>
      </c>
      <c r="R99" s="301" t="str">
        <f>IF('Products x speed'!L13=0,"",('Products x speed'!L163*10^6/'Products x speed'!L13))</f>
        <v/>
      </c>
      <c r="S99" s="301" t="str">
        <f>IF('Products x speed'!M13=0,"",('Products x speed'!M163*10^6/'Products x speed'!M13))</f>
        <v/>
      </c>
      <c r="T99" s="431" t="str">
        <f>IF('Products x speed'!N13=0,"",('Products x speed'!N163*10^6/'Products x speed'!N13))</f>
        <v/>
      </c>
    </row>
    <row r="100" spans="2:20">
      <c r="B100" s="81" t="str">
        <f>'Products x speed'!B14</f>
        <v>10G</v>
      </c>
      <c r="C100" s="82" t="s">
        <v>36</v>
      </c>
      <c r="D100" s="82" t="s">
        <v>39</v>
      </c>
      <c r="E100" s="513">
        <v>15.112743762429563</v>
      </c>
      <c r="F100" s="514">
        <v>13.644428836751862</v>
      </c>
      <c r="G100" s="514">
        <v>12.213062068937878</v>
      </c>
      <c r="H100" s="514">
        <v>10.358623644251628</v>
      </c>
      <c r="I100" s="514">
        <v>8.8299085008401157</v>
      </c>
      <c r="J100" s="514">
        <v>7.1240862463661356</v>
      </c>
      <c r="K100" s="114">
        <f>IF('Products x speed'!E14=0,"",('Products x speed'!E164*10^6/('Products x speed'!E14*10)))</f>
        <v>6.5084287545305619</v>
      </c>
      <c r="L100" s="114">
        <f>IF('Products x speed'!F14=0,"",('Products x speed'!F164*10^6/('Products x speed'!F14*10)))</f>
        <v>5.8749084731162213</v>
      </c>
      <c r="M100" s="114">
        <f>IF('Products x speed'!G14=0,"",('Products x speed'!G164*10^6/('Products x speed'!G14*10)))</f>
        <v>5.3859817130996488</v>
      </c>
      <c r="N100" s="114" t="str">
        <f>IF('Products x speed'!H14=0,"",('Products x speed'!H164*10^6/('Products x speed'!H14*10)))</f>
        <v/>
      </c>
      <c r="O100" s="114" t="str">
        <f>IF('Products x speed'!I14=0,"",('Products x speed'!I164*10^6/('Products x speed'!I14*10)))</f>
        <v/>
      </c>
      <c r="P100" s="114" t="str">
        <f>IF('Products x speed'!J14=0,"",('Products x speed'!J164*10^6/('Products x speed'!J14*10)))</f>
        <v/>
      </c>
      <c r="Q100" s="114" t="str">
        <f>IF('Products x speed'!K14=0,"",('Products x speed'!K164*10^6/('Products x speed'!K14*10)))</f>
        <v/>
      </c>
      <c r="R100" s="290" t="str">
        <f>IF('Products x speed'!L14=0,"",('Products x speed'!L164*10^6/('Products x speed'!L14*10)))</f>
        <v/>
      </c>
      <c r="S100" s="290" t="str">
        <f>IF('Products x speed'!M14=0,"",('Products x speed'!M164*10^6/('Products x speed'!M14*10)))</f>
        <v/>
      </c>
      <c r="T100" s="428" t="str">
        <f>IF('Products x speed'!N14=0,"",('Products x speed'!N164*10^6/('Products x speed'!N14*10)))</f>
        <v/>
      </c>
    </row>
    <row r="101" spans="2:20">
      <c r="B101" s="81" t="str">
        <f>'Products x speed'!B15</f>
        <v>10G</v>
      </c>
      <c r="C101" s="82" t="s">
        <v>36</v>
      </c>
      <c r="D101" s="250" t="s">
        <v>45</v>
      </c>
      <c r="E101" s="513">
        <v>6.3065721604628431</v>
      </c>
      <c r="F101" s="514">
        <v>5.2297989857359539</v>
      </c>
      <c r="G101" s="514">
        <v>4.4677992243753275</v>
      </c>
      <c r="H101" s="514">
        <v>3.4688754082935795</v>
      </c>
      <c r="I101" s="514">
        <v>2.6888660608661401</v>
      </c>
      <c r="J101" s="514">
        <v>2.1430684172313463</v>
      </c>
      <c r="K101" s="114">
        <f>IF('Products x speed'!E15=0,"",('Products x speed'!E165*10^6/('Products x speed'!E15*10)))</f>
        <v>1.8016278339273539</v>
      </c>
      <c r="L101" s="114">
        <f>IF('Products x speed'!F15=0,"",('Products x speed'!F165*10^6/('Products x speed'!F15*10)))</f>
        <v>1.5097691372748405</v>
      </c>
      <c r="M101" s="450">
        <f>IF('Products x speed'!G15=0,"",('Products x speed'!G165*10^6/('Products x speed'!G15*10)))</f>
        <v>1.2873119482168063</v>
      </c>
      <c r="N101" s="450" t="str">
        <f>IF('Products x speed'!H15=0,"",('Products x speed'!H165*10^6/('Products x speed'!H15*10)))</f>
        <v/>
      </c>
      <c r="O101" s="450" t="str">
        <f>IF('Products x speed'!I15=0,"",('Products x speed'!I165*10^6/('Products x speed'!I15*10)))</f>
        <v/>
      </c>
      <c r="P101" s="450" t="str">
        <f>IF('Products x speed'!J15=0,"",('Products x speed'!J165*10^6/('Products x speed'!J15*10)))</f>
        <v/>
      </c>
      <c r="Q101" s="450" t="str">
        <f>IF('Products x speed'!K15=0,"",('Products x speed'!K165*10^6/('Products x speed'!K15*10)))</f>
        <v/>
      </c>
      <c r="R101" s="451" t="str">
        <f>IF('Products x speed'!L15=0,"",('Products x speed'!L165*10^6/('Products x speed'!L15*10)))</f>
        <v/>
      </c>
      <c r="S101" s="451" t="str">
        <f>IF('Products x speed'!M15=0,"",('Products x speed'!M165*10^6/('Products x speed'!M15*10)))</f>
        <v/>
      </c>
      <c r="T101" s="452" t="str">
        <f>IF('Products x speed'!N15=0,"",('Products x speed'!N165*10^6/('Products x speed'!N15*10)))</f>
        <v/>
      </c>
    </row>
    <row r="102" spans="2:20">
      <c r="B102" s="81" t="str">
        <f>'Products x speed'!B16</f>
        <v>10G LRM</v>
      </c>
      <c r="C102" s="82" t="s">
        <v>43</v>
      </c>
      <c r="D102" s="82" t="s">
        <v>45</v>
      </c>
      <c r="E102" s="513">
        <v>14.424503640491661</v>
      </c>
      <c r="F102" s="514">
        <v>14.320708480982754</v>
      </c>
      <c r="G102" s="514">
        <v>12.179925063605946</v>
      </c>
      <c r="H102" s="514">
        <v>10.562327378629689</v>
      </c>
      <c r="I102" s="514">
        <v>12.750044659952088</v>
      </c>
      <c r="J102" s="514">
        <v>12.14662229411816</v>
      </c>
      <c r="K102" s="114">
        <f>IF('Products x speed'!E16=0,"",('Products x speed'!E166*10^6/('Products x speed'!E16*10)))</f>
        <v>7.8390761412913719</v>
      </c>
      <c r="L102" s="114">
        <f>IF('Products x speed'!F16=0,"",('Products x speed'!F166*10^6/('Products x speed'!F16*10)))</f>
        <v>6.6716018564745481</v>
      </c>
      <c r="M102" s="450">
        <f>IF('Products x speed'!G16=0,"",('Products x speed'!G166*10^6/('Products x speed'!G16*10)))</f>
        <v>6.2552567664917165</v>
      </c>
      <c r="N102" s="450" t="str">
        <f>IF('Products x speed'!H16=0,"",('Products x speed'!H166*10^6/('Products x speed'!H16*10)))</f>
        <v/>
      </c>
      <c r="O102" s="450" t="str">
        <f>IF('Products x speed'!I16=0,"",('Products x speed'!I166*10^6/('Products x speed'!I16*10)))</f>
        <v/>
      </c>
      <c r="P102" s="450" t="str">
        <f>IF('Products x speed'!J16=0,"",('Products x speed'!J166*10^6/('Products x speed'!J16*10)))</f>
        <v/>
      </c>
      <c r="Q102" s="450" t="str">
        <f>IF('Products x speed'!K16=0,"",('Products x speed'!K166*10^6/('Products x speed'!K16*10)))</f>
        <v/>
      </c>
      <c r="R102" s="451" t="str">
        <f>IF('Products x speed'!L16=0,"",('Products x speed'!L166*10^6/('Products x speed'!L16*10)))</f>
        <v/>
      </c>
      <c r="S102" s="451" t="str">
        <f>IF('Products x speed'!M16=0,"",('Products x speed'!M166*10^6/('Products x speed'!M16*10)))</f>
        <v/>
      </c>
      <c r="T102" s="452" t="str">
        <f>IF('Products x speed'!N16=0,"",('Products x speed'!N166*10^6/('Products x speed'!N16*10)))</f>
        <v/>
      </c>
    </row>
    <row r="103" spans="2:20">
      <c r="B103" s="81" t="str">
        <f>'Products x speed'!B17</f>
        <v>10G</v>
      </c>
      <c r="C103" s="82" t="s">
        <v>52</v>
      </c>
      <c r="D103" s="82" t="s">
        <v>39</v>
      </c>
      <c r="E103" s="513">
        <v>21.949942921858643</v>
      </c>
      <c r="F103" s="514">
        <v>16.075519589493304</v>
      </c>
      <c r="G103" s="514">
        <v>14.249466750501512</v>
      </c>
      <c r="H103" s="514">
        <v>10.184443824489581</v>
      </c>
      <c r="I103" s="514">
        <v>9.3993109419468723</v>
      </c>
      <c r="J103" s="514">
        <v>9.1544098465554882</v>
      </c>
      <c r="K103" s="114">
        <f>IF('Products x speed'!E17=0,"",('Products x speed'!E167*10^6/('Products x speed'!E17*10)))</f>
        <v>6.757697222104901</v>
      </c>
      <c r="L103" s="114">
        <f>IF('Products x speed'!F17=0,"",('Products x speed'!F167*10^6/('Products x speed'!F17*10)))</f>
        <v>5.1799368807617707</v>
      </c>
      <c r="M103" s="450">
        <f>IF('Products x speed'!G17=0,"",('Products x speed'!G167*10^6/('Products x speed'!G17*10)))</f>
        <v>4.4013044587017021</v>
      </c>
      <c r="N103" s="450" t="str">
        <f>IF('Products x speed'!H17=0,"",('Products x speed'!H167*10^6/('Products x speed'!H17*10)))</f>
        <v/>
      </c>
      <c r="O103" s="450" t="str">
        <f>IF('Products x speed'!I17=0,"",('Products x speed'!I167*10^6/('Products x speed'!I17*10)))</f>
        <v/>
      </c>
      <c r="P103" s="450" t="str">
        <f>IF('Products x speed'!J17=0,"",('Products x speed'!J167*10^6/('Products x speed'!J17*10)))</f>
        <v/>
      </c>
      <c r="Q103" s="450" t="str">
        <f>IF('Products x speed'!K17=0,"",('Products x speed'!K167*10^6/('Products x speed'!K17*10)))</f>
        <v/>
      </c>
      <c r="R103" s="451" t="str">
        <f>IF('Products x speed'!L17=0,"",('Products x speed'!L167*10^6/('Products x speed'!L17*10)))</f>
        <v/>
      </c>
      <c r="S103" s="451" t="str">
        <f>IF('Products x speed'!M17=0,"",('Products x speed'!M167*10^6/('Products x speed'!M17*10)))</f>
        <v/>
      </c>
      <c r="T103" s="452" t="str">
        <f>IF('Products x speed'!N17=0,"",('Products x speed'!N167*10^6/('Products x speed'!N17*10)))</f>
        <v/>
      </c>
    </row>
    <row r="104" spans="2:20">
      <c r="B104" s="81" t="str">
        <f>'Products x speed'!B18</f>
        <v>10G</v>
      </c>
      <c r="C104" s="82" t="s">
        <v>52</v>
      </c>
      <c r="D104" s="82" t="s">
        <v>45</v>
      </c>
      <c r="E104" s="513">
        <v>17.318530244368393</v>
      </c>
      <c r="F104" s="514">
        <v>14.620100776925561</v>
      </c>
      <c r="G104" s="514">
        <v>11.971948263419872</v>
      </c>
      <c r="H104" s="514">
        <v>9.4707702365193303</v>
      </c>
      <c r="I104" s="514">
        <v>6.5595897378862764</v>
      </c>
      <c r="J104" s="514">
        <v>5.4323012474402681</v>
      </c>
      <c r="K104" s="114">
        <f>IF('Products x speed'!E18=0,"",('Products x speed'!E168*10^6/('Products x speed'!E18*10)))</f>
        <v>3.846595831142734</v>
      </c>
      <c r="L104" s="114">
        <f>IF('Products x speed'!F18=0,"",('Products x speed'!F168*10^6/('Products x speed'!F18*10)))</f>
        <v>3.05</v>
      </c>
      <c r="M104" s="450">
        <f>IF('Products x speed'!G18=0,"",('Products x speed'!G168*10^6/('Products x speed'!G18*10)))</f>
        <v>2.4174517052756186</v>
      </c>
      <c r="N104" s="450" t="str">
        <f>IF('Products x speed'!H18=0,"",('Products x speed'!H168*10^6/('Products x speed'!H18*10)))</f>
        <v/>
      </c>
      <c r="O104" s="450" t="str">
        <f>IF('Products x speed'!I18=0,"",('Products x speed'!I168*10^6/('Products x speed'!I18*10)))</f>
        <v/>
      </c>
      <c r="P104" s="450" t="str">
        <f>IF('Products x speed'!J18=0,"",('Products x speed'!J168*10^6/('Products x speed'!J18*10)))</f>
        <v/>
      </c>
      <c r="Q104" s="450" t="str">
        <f>IF('Products x speed'!K18=0,"",('Products x speed'!K168*10^6/('Products x speed'!K18*10)))</f>
        <v/>
      </c>
      <c r="R104" s="451" t="str">
        <f>IF('Products x speed'!L18=0,"",('Products x speed'!L168*10^6/('Products x speed'!L18*10)))</f>
        <v/>
      </c>
      <c r="S104" s="451" t="str">
        <f>IF('Products x speed'!M18=0,"",('Products x speed'!M168*10^6/('Products x speed'!M18*10)))</f>
        <v/>
      </c>
      <c r="T104" s="452" t="str">
        <f>IF('Products x speed'!N18=0,"",('Products x speed'!N168*10^6/('Products x speed'!N18*10)))</f>
        <v/>
      </c>
    </row>
    <row r="105" spans="2:20">
      <c r="B105" s="81" t="str">
        <f>'Products x speed'!B19</f>
        <v>10G</v>
      </c>
      <c r="C105" s="82" t="s">
        <v>57</v>
      </c>
      <c r="D105" s="82" t="s">
        <v>41</v>
      </c>
      <c r="E105" s="513">
        <v>45.874914932918529</v>
      </c>
      <c r="F105" s="514">
        <v>37.910166436234448</v>
      </c>
      <c r="G105" s="514">
        <v>27.801267657346035</v>
      </c>
      <c r="H105" s="514">
        <v>24.705890892593853</v>
      </c>
      <c r="I105" s="514">
        <v>27.500914160292453</v>
      </c>
      <c r="J105" s="514">
        <v>18.976906755898383</v>
      </c>
      <c r="K105" s="114">
        <f>IF('Products x speed'!E19=0,"",('Products x speed'!E169*10^6/('Products x speed'!E19*10)))</f>
        <v>20.296860771881491</v>
      </c>
      <c r="L105" s="114">
        <f>IF('Products x speed'!F19=0,"",('Products x speed'!F169*10^6/('Products x speed'!F19*10)))</f>
        <v>13.947449702400384</v>
      </c>
      <c r="M105" s="114">
        <f>IF('Products x speed'!G19=0,"",('Products x speed'!G169*10^6/('Products x speed'!G19*10)))</f>
        <v>11.96669017796072</v>
      </c>
      <c r="N105" s="114" t="str">
        <f>IF('Products x speed'!H19=0,"",('Products x speed'!H169*10^6/('Products x speed'!H19*10)))</f>
        <v/>
      </c>
      <c r="O105" s="114" t="str">
        <f>IF('Products x speed'!I19=0,"",('Products x speed'!I169*10^6/('Products x speed'!I19*10)))</f>
        <v/>
      </c>
      <c r="P105" s="114" t="str">
        <f>IF('Products x speed'!J19=0,"",('Products x speed'!J169*10^6/('Products x speed'!J19*10)))</f>
        <v/>
      </c>
      <c r="Q105" s="114" t="str">
        <f>IF('Products x speed'!K19=0,"",('Products x speed'!K169*10^6/('Products x speed'!K19*10)))</f>
        <v/>
      </c>
      <c r="R105" s="290" t="str">
        <f>IF('Products x speed'!L19=0,"",('Products x speed'!L169*10^6/('Products x speed'!L19*10)))</f>
        <v/>
      </c>
      <c r="S105" s="290" t="str">
        <f>IF('Products x speed'!M19=0,"",('Products x speed'!M169*10^6/('Products x speed'!M19*10)))</f>
        <v/>
      </c>
      <c r="T105" s="428" t="str">
        <f>IF('Products x speed'!N19=0,"",('Products x speed'!N169*10^6/('Products x speed'!N19*10)))</f>
        <v/>
      </c>
    </row>
    <row r="106" spans="2:20">
      <c r="B106" s="81" t="str">
        <f>'Products x speed'!B20</f>
        <v>10G</v>
      </c>
      <c r="C106" s="82" t="s">
        <v>57</v>
      </c>
      <c r="D106" s="82" t="s">
        <v>45</v>
      </c>
      <c r="E106" s="513">
        <v>49.522759992422806</v>
      </c>
      <c r="F106" s="514">
        <v>28.460997703897085</v>
      </c>
      <c r="G106" s="514">
        <v>28.065265440087025</v>
      </c>
      <c r="H106" s="514">
        <v>29.089882800330866</v>
      </c>
      <c r="I106" s="514">
        <v>26.671920773297607</v>
      </c>
      <c r="J106" s="514">
        <v>22.444621372233495</v>
      </c>
      <c r="K106" s="114">
        <f>IF('Products x speed'!E20=0,"",('Products x speed'!E170*10^6/('Products x speed'!E20*10)))</f>
        <v>19.120778168956544</v>
      </c>
      <c r="L106" s="114">
        <f>IF('Products x speed'!F20=0,"",('Products x speed'!F170*10^6/('Products x speed'!F20*10)))</f>
        <v>15.578241680453386</v>
      </c>
      <c r="M106" s="114">
        <f>IF('Products x speed'!G20=0,"",('Products x speed'!G170*10^6/('Products x speed'!G20*10)))</f>
        <v>9.9963714368632441</v>
      </c>
      <c r="N106" s="114" t="str">
        <f>IF('Products x speed'!H20=0,"",('Products x speed'!H170*10^6/('Products x speed'!H20*10)))</f>
        <v/>
      </c>
      <c r="O106" s="114" t="str">
        <f>IF('Products x speed'!I20=0,"",('Products x speed'!I170*10^6/('Products x speed'!I20*10)))</f>
        <v/>
      </c>
      <c r="P106" s="114" t="str">
        <f>IF('Products x speed'!J20=0,"",('Products x speed'!J170*10^6/('Products x speed'!J20*10)))</f>
        <v/>
      </c>
      <c r="Q106" s="114" t="str">
        <f>IF('Products x speed'!K20=0,"",('Products x speed'!K170*10^6/('Products x speed'!K20*10)))</f>
        <v/>
      </c>
      <c r="R106" s="290" t="str">
        <f>IF('Products x speed'!L20=0,"",('Products x speed'!L170*10^6/('Products x speed'!L20*10)))</f>
        <v/>
      </c>
      <c r="S106" s="290" t="str">
        <f>IF('Products x speed'!M20=0,"",('Products x speed'!M170*10^6/('Products x speed'!M20*10)))</f>
        <v/>
      </c>
      <c r="T106" s="428" t="str">
        <f>IF('Products x speed'!N20=0,"",('Products x speed'!N170*10^6/('Products x speed'!N20*10)))</f>
        <v/>
      </c>
    </row>
    <row r="107" spans="2:20">
      <c r="B107" s="81" t="str">
        <f>'Products x speed'!B21</f>
        <v>10G</v>
      </c>
      <c r="C107" s="82" t="s">
        <v>59</v>
      </c>
      <c r="D107" s="82" t="s">
        <v>41</v>
      </c>
      <c r="E107" s="513">
        <v>100.59981308411216</v>
      </c>
      <c r="F107" s="514">
        <v>89.19652258693533</v>
      </c>
      <c r="G107" s="514">
        <v>71.370818803180356</v>
      </c>
      <c r="H107" s="514">
        <v>49.034202541247865</v>
      </c>
      <c r="I107" s="514">
        <v>45.201280095262213</v>
      </c>
      <c r="J107" s="514">
        <v>40.142869182236097</v>
      </c>
      <c r="K107" s="114">
        <f>IF('Products x speed'!E21=0,"",('Products x speed'!E171*10^6/('Products x speed'!E21*10)))</f>
        <v>27.207487233854959</v>
      </c>
      <c r="L107" s="114">
        <f>IF('Products x speed'!F21=0,"",('Products x speed'!F171*10^6/('Products x speed'!F21*10)))</f>
        <v>27.905568350167474</v>
      </c>
      <c r="M107" s="114">
        <f>IF('Products x speed'!G21=0,"",('Products x speed'!G171*10^6/('Products x speed'!G21*10)))</f>
        <v>29.85343287303148</v>
      </c>
      <c r="N107" s="114" t="str">
        <f>IF('Products x speed'!H21=0,"",('Products x speed'!H171*10^6/('Products x speed'!H21*10)))</f>
        <v/>
      </c>
      <c r="O107" s="114" t="str">
        <f>IF('Products x speed'!I21=0,"",('Products x speed'!I171*10^6/('Products x speed'!I21*10)))</f>
        <v/>
      </c>
      <c r="P107" s="114" t="str">
        <f>IF('Products x speed'!J21=0,"",('Products x speed'!J171*10^6/('Products x speed'!J21*10)))</f>
        <v/>
      </c>
      <c r="Q107" s="114" t="str">
        <f>IF('Products x speed'!K21=0,"",('Products x speed'!K171*10^6/('Products x speed'!K21*10)))</f>
        <v/>
      </c>
      <c r="R107" s="290" t="str">
        <f>IF('Products x speed'!L21=0,"",('Products x speed'!L171*10^6/('Products x speed'!L21*10)))</f>
        <v/>
      </c>
      <c r="S107" s="290" t="str">
        <f>IF('Products x speed'!M21=0,"",('Products x speed'!M171*10^6/('Products x speed'!M21*10)))</f>
        <v/>
      </c>
      <c r="T107" s="428" t="str">
        <f>IF('Products x speed'!N21=0,"",('Products x speed'!N171*10^6/('Products x speed'!N21*10)))</f>
        <v/>
      </c>
    </row>
    <row r="108" spans="2:20">
      <c r="B108" s="81" t="str">
        <f>'Products x speed'!B22</f>
        <v>10G</v>
      </c>
      <c r="C108" s="82" t="s">
        <v>59</v>
      </c>
      <c r="D108" s="82" t="s">
        <v>45</v>
      </c>
      <c r="E108" s="513">
        <v>90</v>
      </c>
      <c r="F108" s="514">
        <v>72</v>
      </c>
      <c r="G108" s="514">
        <v>70</v>
      </c>
      <c r="H108" s="514">
        <v>68.759579667644189</v>
      </c>
      <c r="I108" s="514">
        <v>61.089275470004111</v>
      </c>
      <c r="J108" s="514">
        <v>43.108286819302243</v>
      </c>
      <c r="K108" s="114">
        <f>IF('Products x speed'!E22=0,"",('Products x speed'!E172*10^6/('Products x speed'!E22*10)))</f>
        <v>36.231733736347387</v>
      </c>
      <c r="L108" s="114">
        <f>IF('Products x speed'!F22=0,"",('Products x speed'!F172*10^6/('Products x speed'!F22*10)))</f>
        <v>29.614130230693675</v>
      </c>
      <c r="M108" s="114">
        <f>IF('Products x speed'!G22=0,"",('Products x speed'!G172*10^6/('Products x speed'!G22*10)))</f>
        <v>23.206261204152721</v>
      </c>
      <c r="N108" s="114" t="str">
        <f>IF('Products x speed'!H22=0,"",('Products x speed'!H172*10^6/('Products x speed'!H22*10)))</f>
        <v/>
      </c>
      <c r="O108" s="114" t="str">
        <f>IF('Products x speed'!I22=0,"",('Products x speed'!I172*10^6/('Products x speed'!I22*10)))</f>
        <v/>
      </c>
      <c r="P108" s="114" t="str">
        <f>IF('Products x speed'!J22=0,"",('Products x speed'!J172*10^6/('Products x speed'!J22*10)))</f>
        <v/>
      </c>
      <c r="Q108" s="114" t="str">
        <f>IF('Products x speed'!K22=0,"",('Products x speed'!K172*10^6/('Products x speed'!K22*10)))</f>
        <v/>
      </c>
      <c r="R108" s="290" t="str">
        <f>IF('Products x speed'!L22=0,"",('Products x speed'!L172*10^6/('Products x speed'!L22*10)))</f>
        <v/>
      </c>
      <c r="S108" s="290" t="str">
        <f>IF('Products x speed'!M22=0,"",('Products x speed'!M172*10^6/('Products x speed'!M22*10)))</f>
        <v/>
      </c>
      <c r="T108" s="428" t="str">
        <f>IF('Products x speed'!N22=0,"",('Products x speed'!N172*10^6/('Products x speed'!N22*10)))</f>
        <v/>
      </c>
    </row>
    <row r="109" spans="2:20">
      <c r="B109" s="77" t="str">
        <f>'Products x speed'!B23</f>
        <v>10G</v>
      </c>
      <c r="C109" s="78" t="s">
        <v>154</v>
      </c>
      <c r="D109" s="78" t="s">
        <v>155</v>
      </c>
      <c r="E109" s="513">
        <v>23.186054938926809</v>
      </c>
      <c r="F109" s="514">
        <v>18.046254106421078</v>
      </c>
      <c r="G109" s="514">
        <v>15.98759050008206</v>
      </c>
      <c r="H109" s="514">
        <v>14.120306156443664</v>
      </c>
      <c r="I109" s="514">
        <v>12.638928513741623</v>
      </c>
      <c r="J109" s="514">
        <v>11.370912284040928</v>
      </c>
      <c r="K109" s="114">
        <f>IF('Products x speed'!E23=0,"",('Products x speed'!E173*10^6/('Products x speed'!E23*10)))</f>
        <v>9.9093186017554924</v>
      </c>
      <c r="L109" s="114">
        <f>IF('Products x speed'!F23=0,"",('Products x speed'!F173*10^6/('Products x speed'!F23*10)))</f>
        <v>9.4281145957499302</v>
      </c>
      <c r="M109" s="114">
        <f>IF('Products x speed'!G23=0,"",('Products x speed'!G173*10^6/('Products x speed'!G23*10)))</f>
        <v>11.428571428571429</v>
      </c>
      <c r="N109" s="114" t="str">
        <f>IF('Products x speed'!H23=0,"",('Products x speed'!H173*10^6/('Products x speed'!H23*10)))</f>
        <v/>
      </c>
      <c r="O109" s="114" t="str">
        <f>IF('Products x speed'!I23=0,"",('Products x speed'!I173*10^6/('Products x speed'!I23*10)))</f>
        <v/>
      </c>
      <c r="P109" s="114" t="str">
        <f>IF('Products x speed'!J23=0,"",('Products x speed'!J173*10^6/('Products x speed'!J23*10)))</f>
        <v/>
      </c>
      <c r="Q109" s="114" t="str">
        <f>IF('Products x speed'!K23=0,"",('Products x speed'!K173*10^6/('Products x speed'!K23*10)))</f>
        <v/>
      </c>
      <c r="R109" s="290" t="str">
        <f>IF('Products x speed'!L23=0,"",('Products x speed'!L173*10^6/('Products x speed'!L23*10)))</f>
        <v/>
      </c>
      <c r="S109" s="290" t="str">
        <f>IF('Products x speed'!M23=0,"",('Products x speed'!M173*10^6/('Products x speed'!M23*10)))</f>
        <v/>
      </c>
      <c r="T109" s="428" t="str">
        <f>IF('Products x speed'!N23=0,"",('Products x speed'!N173*10^6/('Products x speed'!N23*10)))</f>
        <v/>
      </c>
    </row>
    <row r="110" spans="2:20">
      <c r="B110" s="73" t="str">
        <f>'Products x speed'!B24</f>
        <v>25G SR, eSR</v>
      </c>
      <c r="C110" s="169" t="s">
        <v>36</v>
      </c>
      <c r="D110" s="169" t="s">
        <v>102</v>
      </c>
      <c r="E110" s="511" t="s">
        <v>96</v>
      </c>
      <c r="F110" s="512" t="s">
        <v>96</v>
      </c>
      <c r="G110" s="512" t="s">
        <v>96</v>
      </c>
      <c r="H110" s="512" t="s">
        <v>96</v>
      </c>
      <c r="I110" s="512" t="s">
        <v>96</v>
      </c>
      <c r="J110" s="512" t="s">
        <v>96</v>
      </c>
      <c r="K110" s="112">
        <f>IF('Products x speed'!E24=0,"",('Products x speed'!E174*10^6/('Products x speed'!E24*25)))</f>
        <v>7.4857262804366078</v>
      </c>
      <c r="L110" s="112">
        <f>IF('Products x speed'!F24=0,"",('Products x speed'!F174*10^6/('Products x speed'!F24*25)))</f>
        <v>5.6444287278986067</v>
      </c>
      <c r="M110" s="112">
        <f>IF('Products x speed'!G24=0,"",('Products x speed'!G174*10^6/('Products x speed'!G24*25)))</f>
        <v>3.4918688536513516</v>
      </c>
      <c r="N110" s="112" t="str">
        <f>IF('Products x speed'!H24=0,"",('Products x speed'!H174*10^6/('Products x speed'!H24*25)))</f>
        <v/>
      </c>
      <c r="O110" s="112" t="str">
        <f>IF('Products x speed'!I24=0,"",('Products x speed'!I174*10^6/('Products x speed'!I24*25)))</f>
        <v/>
      </c>
      <c r="P110" s="112" t="str">
        <f>IF('Products x speed'!J24=0,"",('Products x speed'!J174*10^6/('Products x speed'!J24*25)))</f>
        <v/>
      </c>
      <c r="Q110" s="112" t="str">
        <f>IF('Products x speed'!K24=0,"",('Products x speed'!K174*10^6/('Products x speed'!K24*25)))</f>
        <v/>
      </c>
      <c r="R110" s="300" t="str">
        <f>IF('Products x speed'!L24=0,"",('Products x speed'!L174*10^6/('Products x speed'!L24*25)))</f>
        <v/>
      </c>
      <c r="S110" s="300" t="str">
        <f>IF('Products x speed'!M24=0,"",('Products x speed'!M174*10^6/('Products x speed'!M24*25)))</f>
        <v/>
      </c>
      <c r="T110" s="436" t="str">
        <f>IF('Products x speed'!N24=0,"",('Products x speed'!N174*10^6/('Products x speed'!N24*25)))</f>
        <v/>
      </c>
    </row>
    <row r="111" spans="2:20">
      <c r="B111" s="81" t="str">
        <f>'Products x speed'!B25</f>
        <v>25G LR</v>
      </c>
      <c r="C111" s="169" t="s">
        <v>52</v>
      </c>
      <c r="D111" s="169" t="s">
        <v>102</v>
      </c>
      <c r="E111" s="513" t="s">
        <v>96</v>
      </c>
      <c r="F111" s="514" t="s">
        <v>96</v>
      </c>
      <c r="G111" s="514" t="s">
        <v>96</v>
      </c>
      <c r="H111" s="514" t="s">
        <v>96</v>
      </c>
      <c r="I111" s="514" t="s">
        <v>96</v>
      </c>
      <c r="J111" s="514" t="s">
        <v>96</v>
      </c>
      <c r="K111" s="114">
        <f>IF('Products x speed'!E25=0,"",('Products x speed'!E175*10^6/('Products x speed'!E25*25)))</f>
        <v>18.249613016710644</v>
      </c>
      <c r="L111" s="114">
        <f>IF('Products x speed'!F25=0,"",('Products x speed'!F175*10^6/('Products x speed'!F25*25)))</f>
        <v>12.964142267585002</v>
      </c>
      <c r="M111" s="114">
        <f>IF('Products x speed'!G25=0,"",('Products x speed'!G175*10^6/('Products x speed'!G25*25)))</f>
        <v>7.7849911231021514</v>
      </c>
      <c r="N111" s="114" t="str">
        <f>IF('Products x speed'!H25=0,"",('Products x speed'!H175*10^6/('Products x speed'!H25*25)))</f>
        <v/>
      </c>
      <c r="O111" s="114" t="str">
        <f>IF('Products x speed'!I25=0,"",('Products x speed'!I175*10^6/('Products x speed'!I25*25)))</f>
        <v/>
      </c>
      <c r="P111" s="114" t="str">
        <f>IF('Products x speed'!J25=0,"",('Products x speed'!J175*10^6/('Products x speed'!J25*25)))</f>
        <v/>
      </c>
      <c r="Q111" s="114" t="str">
        <f>IF('Products x speed'!K25=0,"",('Products x speed'!K175*10^6/('Products x speed'!K25*25)))</f>
        <v/>
      </c>
      <c r="R111" s="290" t="str">
        <f>IF('Products x speed'!L25=0,"",('Products x speed'!L175*10^6/('Products x speed'!L25*25)))</f>
        <v/>
      </c>
      <c r="S111" s="290" t="str">
        <f>IF('Products x speed'!M25=0,"",('Products x speed'!M175*10^6/('Products x speed'!M25*25)))</f>
        <v/>
      </c>
      <c r="T111" s="428" t="str">
        <f>IF('Products x speed'!N25=0,"",('Products x speed'!N175*10^6/('Products x speed'!N25*25)))</f>
        <v/>
      </c>
    </row>
    <row r="112" spans="2:20">
      <c r="B112" s="77" t="str">
        <f>'Products x speed'!B26</f>
        <v>25G ER</v>
      </c>
      <c r="C112" s="288" t="s">
        <v>57</v>
      </c>
      <c r="D112" s="169" t="s">
        <v>102</v>
      </c>
      <c r="E112" s="515" t="s">
        <v>96</v>
      </c>
      <c r="F112" s="516" t="s">
        <v>96</v>
      </c>
      <c r="G112" s="516" t="s">
        <v>96</v>
      </c>
      <c r="H112" s="516" t="s">
        <v>96</v>
      </c>
      <c r="I112" s="516" t="s">
        <v>96</v>
      </c>
      <c r="J112" s="516" t="s">
        <v>96</v>
      </c>
      <c r="K112" s="116" t="str">
        <f>IF('Products x speed'!E26=0,"",('Products x speed'!E176*10^6/('Products x speed'!E26*25)))</f>
        <v/>
      </c>
      <c r="L112" s="116" t="str">
        <f>IF('Products x speed'!F26=0,"",('Products x speed'!F176*10^6/('Products x speed'!F26*25)))</f>
        <v/>
      </c>
      <c r="M112" s="116" t="str">
        <f>IF('Products x speed'!G26=0,"",('Products x speed'!G176*10^6/('Products x speed'!G26*25)))</f>
        <v/>
      </c>
      <c r="N112" s="116" t="str">
        <f>IF('Products x speed'!H26=0,"",('Products x speed'!H176*10^6/('Products x speed'!H26*25)))</f>
        <v/>
      </c>
      <c r="O112" s="116" t="str">
        <f>IF('Products x speed'!I26=0,"",('Products x speed'!I176*10^6/('Products x speed'!I26*25)))</f>
        <v/>
      </c>
      <c r="P112" s="116" t="str">
        <f>IF('Products x speed'!J26=0,"",('Products x speed'!J176*10^6/('Products x speed'!J26*25)))</f>
        <v/>
      </c>
      <c r="Q112" s="116" t="str">
        <f>IF('Products x speed'!K26=0,"",('Products x speed'!K176*10^6/('Products x speed'!K26*25)))</f>
        <v/>
      </c>
      <c r="R112" s="301" t="str">
        <f>IF('Products x speed'!L26=0,"",('Products x speed'!L176*10^6/('Products x speed'!L26*25)))</f>
        <v/>
      </c>
      <c r="S112" s="301" t="str">
        <f>IF('Products x speed'!M26=0,"",('Products x speed'!M176*10^6/('Products x speed'!M26*25)))</f>
        <v/>
      </c>
      <c r="T112" s="431" t="str">
        <f>IF('Products x speed'!N26=0,"",('Products x speed'!N176*10^6/('Products x speed'!N26*25)))</f>
        <v/>
      </c>
    </row>
    <row r="113" spans="2:20">
      <c r="B113" s="73" t="str">
        <f>'Products x speed'!B27</f>
        <v>40G SR4</v>
      </c>
      <c r="C113" s="74" t="str">
        <f>'Products x speed'!C27</f>
        <v>100 m</v>
      </c>
      <c r="D113" s="74" t="str">
        <f>'Products x speed'!D27</f>
        <v>QSFP+</v>
      </c>
      <c r="E113" s="513">
        <v>16</v>
      </c>
      <c r="F113" s="514">
        <v>7.186692574411718</v>
      </c>
      <c r="G113" s="514">
        <v>5.2569352371264841</v>
      </c>
      <c r="H113" s="514">
        <v>4.7415806558600639</v>
      </c>
      <c r="I113" s="514">
        <v>4.2772281148687288</v>
      </c>
      <c r="J113" s="514">
        <v>2.8627568014306539</v>
      </c>
      <c r="K113" s="114">
        <f>IF('Products x speed'!E27=0,"",('Products x speed'!E177*10^6/('Products x speed'!E27*40)))</f>
        <v>2.4148765971891244</v>
      </c>
      <c r="L113" s="114">
        <f>IF('Products x speed'!F27=0,"",('Products x speed'!F177*10^6/('Products x speed'!F27*40)))</f>
        <v>2.0094949393981421</v>
      </c>
      <c r="M113" s="114">
        <f>IF('Products x speed'!G27=0,"",('Products x speed'!G177*10^6/('Products x speed'!G27*40)))</f>
        <v>1.4665066135155511</v>
      </c>
      <c r="N113" s="114" t="str">
        <f>IF('Products x speed'!H27=0,"",('Products x speed'!H177*10^6/('Products x speed'!H27*40)))</f>
        <v/>
      </c>
      <c r="O113" s="114" t="str">
        <f>IF('Products x speed'!I27=0,"",('Products x speed'!I177*10^6/('Products x speed'!I27*40)))</f>
        <v/>
      </c>
      <c r="P113" s="114" t="str">
        <f>IF('Products x speed'!J27=0,"",('Products x speed'!J177*10^6/('Products x speed'!J27*40)))</f>
        <v/>
      </c>
      <c r="Q113" s="114" t="str">
        <f>IF('Products x speed'!K27=0,"",('Products x speed'!K177*10^6/('Products x speed'!K27*40)))</f>
        <v/>
      </c>
      <c r="R113" s="290" t="str">
        <f>IF('Products x speed'!L27=0,"",('Products x speed'!L177*10^6/('Products x speed'!L27*40)))</f>
        <v/>
      </c>
      <c r="S113" s="290" t="str">
        <f>IF('Products x speed'!M27=0,"",('Products x speed'!M177*10^6/('Products x speed'!M27*40)))</f>
        <v/>
      </c>
      <c r="T113" s="428" t="str">
        <f>IF('Products x speed'!N27=0,"",('Products x speed'!N177*10^6/('Products x speed'!N27*40)))</f>
        <v/>
      </c>
    </row>
    <row r="114" spans="2:20">
      <c r="B114" s="81" t="str">
        <f>'Products x speed'!B28</f>
        <v>40G MM duplex</v>
      </c>
      <c r="C114" s="82" t="str">
        <f>'Products x speed'!C28</f>
        <v>100 m</v>
      </c>
      <c r="D114" s="82" t="str">
        <f>'Products x speed'!D28</f>
        <v>QSFP+</v>
      </c>
      <c r="E114" s="513" t="s">
        <v>96</v>
      </c>
      <c r="F114" s="514" t="s">
        <v>96</v>
      </c>
      <c r="G114" s="514" t="s">
        <v>96</v>
      </c>
      <c r="H114" s="514" t="s">
        <v>96</v>
      </c>
      <c r="I114" s="514">
        <v>3.0227272727272729</v>
      </c>
      <c r="J114" s="514">
        <v>2.6704545454545454</v>
      </c>
      <c r="K114" s="114">
        <f>IF('Products x speed'!E28=0,"",('Products x speed'!E178*10^6/('Products x speed'!E28*40)))</f>
        <v>6.25</v>
      </c>
      <c r="L114" s="114">
        <f>IF('Products x speed'!F28=0,"",('Products x speed'!F178*10^6/('Products x speed'!F28*40)))</f>
        <v>6</v>
      </c>
      <c r="M114" s="114">
        <f>IF('Products x speed'!G28=0,"",('Products x speed'!G178*10^6/('Products x speed'!G28*40)))</f>
        <v>5.6749999999999998</v>
      </c>
      <c r="N114" s="114" t="str">
        <f>IF('Products x speed'!H28=0,"",('Products x speed'!H178*10^6/('Products x speed'!H28*40)))</f>
        <v/>
      </c>
      <c r="O114" s="114" t="str">
        <f>IF('Products x speed'!I28=0,"",('Products x speed'!I178*10^6/('Products x speed'!I28*40)))</f>
        <v/>
      </c>
      <c r="P114" s="114" t="str">
        <f>IF('Products x speed'!J28=0,"",('Products x speed'!J178*10^6/('Products x speed'!J28*40)))</f>
        <v/>
      </c>
      <c r="Q114" s="114" t="str">
        <f>IF('Products x speed'!K28=0,"",('Products x speed'!K178*10^6/('Products x speed'!K28*40)))</f>
        <v/>
      </c>
      <c r="R114" s="290" t="str">
        <f>IF('Products x speed'!L28=0,"",('Products x speed'!L178*10^6/('Products x speed'!L28*40)))</f>
        <v/>
      </c>
      <c r="S114" s="290" t="str">
        <f>IF('Products x speed'!M28=0,"",('Products x speed'!M178*10^6/('Products x speed'!M28*40)))</f>
        <v/>
      </c>
      <c r="T114" s="428" t="str">
        <f>IF('Products x speed'!N28=0,"",('Products x speed'!N178*10^6/('Products x speed'!N28*40)))</f>
        <v/>
      </c>
    </row>
    <row r="115" spans="2:20">
      <c r="B115" s="81" t="str">
        <f>'Products x speed'!B29</f>
        <v>40G eSR4</v>
      </c>
      <c r="C115" s="82" t="str">
        <f>'Products x speed'!C29</f>
        <v>300 m</v>
      </c>
      <c r="D115" s="82" t="str">
        <f>'Products x speed'!D29</f>
        <v>QSFP+</v>
      </c>
      <c r="E115" s="513" t="s">
        <v>96</v>
      </c>
      <c r="F115" s="514" t="s">
        <v>96</v>
      </c>
      <c r="G115" s="514" t="s">
        <v>96</v>
      </c>
      <c r="H115" s="514" t="s">
        <v>96</v>
      </c>
      <c r="I115" s="514">
        <v>7.5329776155856303</v>
      </c>
      <c r="J115" s="514">
        <v>4.6144862787768171</v>
      </c>
      <c r="K115" s="114">
        <f>IF('Products x speed'!E29=0,"",('Products x speed'!E179*10^6/('Products x speed'!E29*40)))</f>
        <v>2.6666536469780473</v>
      </c>
      <c r="L115" s="114">
        <f>IF('Products x speed'!F29=0,"",('Products x speed'!F179*10^6/('Products x speed'!F29*40)))</f>
        <v>2.0249820485065428</v>
      </c>
      <c r="M115" s="114">
        <f>IF('Products x speed'!G29=0,"",('Products x speed'!G179*10^6/('Products x speed'!G29*40)))</f>
        <v>1.5962730132310279</v>
      </c>
      <c r="N115" s="114" t="str">
        <f>IF('Products x speed'!H29=0,"",('Products x speed'!H179*10^6/('Products x speed'!H29*40)))</f>
        <v/>
      </c>
      <c r="O115" s="114" t="str">
        <f>IF('Products x speed'!I29=0,"",('Products x speed'!I179*10^6/('Products x speed'!I29*40)))</f>
        <v/>
      </c>
      <c r="P115" s="114" t="str">
        <f>IF('Products x speed'!J29=0,"",('Products x speed'!J179*10^6/('Products x speed'!J29*40)))</f>
        <v/>
      </c>
      <c r="Q115" s="114" t="str">
        <f>IF('Products x speed'!K29=0,"",('Products x speed'!K179*10^6/('Products x speed'!K29*40)))</f>
        <v/>
      </c>
      <c r="R115" s="290" t="str">
        <f>IF('Products x speed'!L29=0,"",('Products x speed'!L179*10^6/('Products x speed'!L29*40)))</f>
        <v/>
      </c>
      <c r="S115" s="290" t="str">
        <f>IF('Products x speed'!M29=0,"",('Products x speed'!M179*10^6/('Products x speed'!M29*40)))</f>
        <v/>
      </c>
      <c r="T115" s="428" t="str">
        <f>IF('Products x speed'!N29=0,"",('Products x speed'!N179*10^6/('Products x speed'!N29*40)))</f>
        <v/>
      </c>
    </row>
    <row r="116" spans="2:20">
      <c r="B116" s="81" t="str">
        <f>'Products x speed'!B30</f>
        <v xml:space="preserve">40G PSM4 </v>
      </c>
      <c r="C116" s="82" t="str">
        <f>'Products x speed'!C30</f>
        <v>500 m</v>
      </c>
      <c r="D116" s="82" t="str">
        <f>'Products x speed'!D30</f>
        <v>QSFP+</v>
      </c>
      <c r="E116" s="513" t="s">
        <v>96</v>
      </c>
      <c r="F116" s="514" t="s">
        <v>96</v>
      </c>
      <c r="G116" s="514" t="s">
        <v>96</v>
      </c>
      <c r="H116" s="514" t="s">
        <v>96</v>
      </c>
      <c r="I116" s="514">
        <v>8.3375081428571427</v>
      </c>
      <c r="J116" s="514">
        <v>7.3062785546492055</v>
      </c>
      <c r="K116" s="114">
        <f>IF('Products x speed'!E30=0,"",('Products x speed'!E180*10^6/('Products x speed'!E30*40)))</f>
        <v>6.3297671318767739</v>
      </c>
      <c r="L116" s="114">
        <f>IF('Products x speed'!F30=0,"",('Products x speed'!F180*10^6/('Products x speed'!F30*40)))</f>
        <v>6.5697637865849687</v>
      </c>
      <c r="M116" s="114">
        <f>IF('Products x speed'!G30=0,"",('Products x speed'!G180*10^6/('Products x speed'!G30*40)))</f>
        <v>6.2937704393007472</v>
      </c>
      <c r="N116" s="114" t="str">
        <f>IF('Products x speed'!H30=0,"",('Products x speed'!H180*10^6/('Products x speed'!H30*40)))</f>
        <v/>
      </c>
      <c r="O116" s="114" t="str">
        <f>IF('Products x speed'!I30=0,"",('Products x speed'!I180*10^6/('Products x speed'!I30*40)))</f>
        <v/>
      </c>
      <c r="P116" s="114" t="str">
        <f>IF('Products x speed'!J30=0,"",('Products x speed'!J180*10^6/('Products x speed'!J30*40)))</f>
        <v/>
      </c>
      <c r="Q116" s="114" t="str">
        <f>IF('Products x speed'!K30=0,"",('Products x speed'!K180*10^6/('Products x speed'!K30*40)))</f>
        <v/>
      </c>
      <c r="R116" s="290" t="str">
        <f>IF('Products x speed'!L30=0,"",('Products x speed'!L180*10^6/('Products x speed'!L30*40)))</f>
        <v/>
      </c>
      <c r="S116" s="290" t="str">
        <f>IF('Products x speed'!M30=0,"",('Products x speed'!M180*10^6/('Products x speed'!M30*40)))</f>
        <v/>
      </c>
      <c r="T116" s="428" t="str">
        <f>IF('Products x speed'!N30=0,"",('Products x speed'!N180*10^6/('Products x speed'!N30*40)))</f>
        <v/>
      </c>
    </row>
    <row r="117" spans="2:20">
      <c r="B117" s="81" t="str">
        <f>'Products x speed'!B31</f>
        <v>40G (FR)</v>
      </c>
      <c r="C117" s="82" t="str">
        <f>'Products x speed'!C31</f>
        <v>2 km</v>
      </c>
      <c r="D117" s="82" t="str">
        <f>'Products x speed'!D31</f>
        <v>CFP</v>
      </c>
      <c r="E117" s="513" t="s">
        <v>96</v>
      </c>
      <c r="F117" s="514" t="s">
        <v>96</v>
      </c>
      <c r="G117" s="514">
        <v>188.98425314143944</v>
      </c>
      <c r="H117" s="514">
        <v>174.85484962406014</v>
      </c>
      <c r="I117" s="514">
        <v>131.36853256997671</v>
      </c>
      <c r="J117" s="514">
        <v>133.43195681591757</v>
      </c>
      <c r="K117" s="114">
        <f>IF('Products x speed'!E31=0,"",('Products x speed'!E181*10^6/('Products x speed'!E31*40)))</f>
        <v>114.24737353420382</v>
      </c>
      <c r="L117" s="114">
        <f>IF('Products x speed'!F31=0,"",('Products x speed'!F181*10^6/('Products x speed'!F31*40)))</f>
        <v>131.29203021598681</v>
      </c>
      <c r="M117" s="114" t="str">
        <f>IF('Products x speed'!G31=0,"",('Products x speed'!G181*10^6/('Products x speed'!G31*40)))</f>
        <v/>
      </c>
      <c r="N117" s="114" t="str">
        <f>IF('Products x speed'!H31=0,"",('Products x speed'!H181*10^6/('Products x speed'!H31*40)))</f>
        <v/>
      </c>
      <c r="O117" s="114" t="str">
        <f>IF('Products x speed'!I31=0,"",('Products x speed'!I181*10^6/('Products x speed'!I31*40)))</f>
        <v/>
      </c>
      <c r="P117" s="114" t="str">
        <f>IF('Products x speed'!J31=0,"",('Products x speed'!J181*10^6/('Products x speed'!J31*40)))</f>
        <v/>
      </c>
      <c r="Q117" s="114" t="str">
        <f>IF('Products x speed'!K31=0,"",('Products x speed'!K181*10^6/('Products x speed'!K31*40)))</f>
        <v/>
      </c>
      <c r="R117" s="290" t="str">
        <f>IF('Products x speed'!L31=0,"",('Products x speed'!L181*10^6/('Products x speed'!L31*40)))</f>
        <v/>
      </c>
      <c r="S117" s="290" t="str">
        <f>IF('Products x speed'!M31=0,"",('Products x speed'!M181*10^6/('Products x speed'!M31*40)))</f>
        <v/>
      </c>
      <c r="T117" s="428" t="str">
        <f>IF('Products x speed'!N31=0,"",('Products x speed'!N181*10^6/('Products x speed'!N31*40)))</f>
        <v/>
      </c>
    </row>
    <row r="118" spans="2:20">
      <c r="B118" s="81" t="str">
        <f>'Products x speed'!B32</f>
        <v>40G (LR4 subspec)</v>
      </c>
      <c r="C118" s="82" t="str">
        <f>'Products x speed'!C32</f>
        <v>2 km</v>
      </c>
      <c r="D118" s="82" t="str">
        <f>'Products x speed'!D32</f>
        <v>QSFP+</v>
      </c>
      <c r="E118" s="513" t="s">
        <v>96</v>
      </c>
      <c r="F118" s="514" t="s">
        <v>96</v>
      </c>
      <c r="G118" s="514">
        <v>22.994880546075084</v>
      </c>
      <c r="H118" s="514">
        <v>16.3</v>
      </c>
      <c r="I118" s="514">
        <v>12.289921790292748</v>
      </c>
      <c r="J118" s="514">
        <v>11.078376873965714</v>
      </c>
      <c r="K118" s="114">
        <f>IF('Products x speed'!E32=0,"",('Products x speed'!E182*10^6/('Products x speed'!E32*40)))</f>
        <v>9.440013802372988</v>
      </c>
      <c r="L118" s="114">
        <f>IF('Products x speed'!F32=0,"",('Products x speed'!F182*10^6/('Products x speed'!F32*40)))</f>
        <v>8.5881368172711685</v>
      </c>
      <c r="M118" s="114">
        <f>IF('Products x speed'!G32=0,"",('Products x speed'!G182*10^6/('Products x speed'!G32*40)))</f>
        <v>7.5921544196364525</v>
      </c>
      <c r="N118" s="114" t="str">
        <f>IF('Products x speed'!H32=0,"",('Products x speed'!H182*10^6/('Products x speed'!H32*40)))</f>
        <v/>
      </c>
      <c r="O118" s="114" t="str">
        <f>IF('Products x speed'!I32=0,"",('Products x speed'!I182*10^6/('Products x speed'!I32*40)))</f>
        <v/>
      </c>
      <c r="P118" s="114" t="str">
        <f>IF('Products x speed'!J32=0,"",('Products x speed'!J182*10^6/('Products x speed'!J32*40)))</f>
        <v/>
      </c>
      <c r="Q118" s="114" t="str">
        <f>IF('Products x speed'!K32=0,"",('Products x speed'!K182*10^6/('Products x speed'!K32*40)))</f>
        <v/>
      </c>
      <c r="R118" s="290" t="str">
        <f>IF('Products x speed'!L32=0,"",('Products x speed'!L182*10^6/('Products x speed'!L32*40)))</f>
        <v/>
      </c>
      <c r="S118" s="290" t="str">
        <f>IF('Products x speed'!M32=0,"",('Products x speed'!M182*10^6/('Products x speed'!M32*40)))</f>
        <v/>
      </c>
      <c r="T118" s="428" t="str">
        <f>IF('Products x speed'!N32=0,"",('Products x speed'!N182*10^6/('Products x speed'!N32*40)))</f>
        <v/>
      </c>
    </row>
    <row r="119" spans="2:20">
      <c r="B119" s="81" t="str">
        <f>'Products x speed'!B33</f>
        <v>40G</v>
      </c>
      <c r="C119" s="82" t="str">
        <f>'Products x speed'!C33</f>
        <v>10 km</v>
      </c>
      <c r="D119" s="82" t="str">
        <f>'Products x speed'!D33</f>
        <v>CFP</v>
      </c>
      <c r="E119" s="513">
        <v>80.784136641723492</v>
      </c>
      <c r="F119" s="514">
        <v>77.777449856733526</v>
      </c>
      <c r="G119" s="514">
        <v>52.069595336519832</v>
      </c>
      <c r="H119" s="514">
        <v>45.140192582025676</v>
      </c>
      <c r="I119" s="514">
        <v>36.971624726397984</v>
      </c>
      <c r="J119" s="514">
        <v>29.358141050842292</v>
      </c>
      <c r="K119" s="114">
        <f>IF('Products x speed'!E33=0,"",('Products x speed'!E183*10^6/('Products x speed'!E33*40)))</f>
        <v>29.374138267499919</v>
      </c>
      <c r="L119" s="114">
        <f>IF('Products x speed'!F33=0,"",('Products x speed'!F183*10^6/('Products x speed'!F33*40)))</f>
        <v>33.77249392830776</v>
      </c>
      <c r="M119" s="114" t="str">
        <f>IF('Products x speed'!G33=0,"",('Products x speed'!G183*10^6/('Products x speed'!G33*40)))</f>
        <v/>
      </c>
      <c r="N119" s="114" t="str">
        <f>IF('Products x speed'!H33=0,"",('Products x speed'!H183*10^6/('Products x speed'!H33*40)))</f>
        <v/>
      </c>
      <c r="O119" s="114" t="str">
        <f>IF('Products x speed'!I33=0,"",('Products x speed'!I183*10^6/('Products x speed'!I33*40)))</f>
        <v/>
      </c>
      <c r="P119" s="114" t="str">
        <f>IF('Products x speed'!J33=0,"",('Products x speed'!J183*10^6/('Products x speed'!J33*40)))</f>
        <v/>
      </c>
      <c r="Q119" s="114" t="str">
        <f>IF('Products x speed'!K33=0,"",('Products x speed'!K183*10^6/('Products x speed'!K33*40)))</f>
        <v/>
      </c>
      <c r="R119" s="290" t="str">
        <f>IF('Products x speed'!L33=0,"",('Products x speed'!L183*10^6/('Products x speed'!L33*40)))</f>
        <v/>
      </c>
      <c r="S119" s="290" t="str">
        <f>IF('Products x speed'!M33=0,"",('Products x speed'!M183*10^6/('Products x speed'!M33*40)))</f>
        <v/>
      </c>
      <c r="T119" s="428" t="str">
        <f>IF('Products x speed'!N33=0,"",('Products x speed'!N183*10^6/('Products x speed'!N33*40)))</f>
        <v/>
      </c>
    </row>
    <row r="120" spans="2:20">
      <c r="B120" s="81" t="str">
        <f>'Products x speed'!B34</f>
        <v>40G</v>
      </c>
      <c r="C120" s="82" t="str">
        <f>'Products x speed'!C34</f>
        <v>10 km</v>
      </c>
      <c r="D120" s="82" t="str">
        <f>'Products x speed'!D34</f>
        <v>QSFP+</v>
      </c>
      <c r="E120" s="513" t="s">
        <v>96</v>
      </c>
      <c r="F120" s="514" t="s">
        <v>96</v>
      </c>
      <c r="G120" s="514">
        <v>29.975964630225079</v>
      </c>
      <c r="H120" s="514">
        <v>36.096197608539143</v>
      </c>
      <c r="I120" s="514">
        <v>19.706712652216499</v>
      </c>
      <c r="J120" s="514">
        <v>14.650078967418724</v>
      </c>
      <c r="K120" s="114">
        <f>IF('Products x speed'!E34=0,"",('Products x speed'!E184*10^6/('Products x speed'!E34*40)))</f>
        <v>10.693185722192586</v>
      </c>
      <c r="L120" s="114">
        <f>IF('Products x speed'!F34=0,"",('Products x speed'!F184*10^6/('Products x speed'!F34*40)))</f>
        <v>10.034168127229407</v>
      </c>
      <c r="M120" s="114">
        <f>IF('Products x speed'!G34=0,"",('Products x speed'!G184*10^6/('Products x speed'!G34*40)))</f>
        <v>9.0442739467655731</v>
      </c>
      <c r="N120" s="114" t="str">
        <f>IF('Products x speed'!H34=0,"",('Products x speed'!H184*10^6/('Products x speed'!H34*40)))</f>
        <v/>
      </c>
      <c r="O120" s="114" t="str">
        <f>IF('Products x speed'!I34=0,"",('Products x speed'!I184*10^6/('Products x speed'!I34*40)))</f>
        <v/>
      </c>
      <c r="P120" s="114" t="str">
        <f>IF('Products x speed'!J34=0,"",('Products x speed'!J184*10^6/('Products x speed'!J34*40)))</f>
        <v/>
      </c>
      <c r="Q120" s="114" t="str">
        <f>IF('Products x speed'!K34=0,"",('Products x speed'!K184*10^6/('Products x speed'!K34*40)))</f>
        <v/>
      </c>
      <c r="R120" s="290" t="str">
        <f>IF('Products x speed'!L34=0,"",('Products x speed'!L184*10^6/('Products x speed'!L34*40)))</f>
        <v/>
      </c>
      <c r="S120" s="290" t="str">
        <f>IF('Products x speed'!M34=0,"",('Products x speed'!M184*10^6/('Products x speed'!M34*40)))</f>
        <v/>
      </c>
      <c r="T120" s="428" t="str">
        <f>IF('Products x speed'!N34=0,"",('Products x speed'!N184*10^6/('Products x speed'!N34*40)))</f>
        <v/>
      </c>
    </row>
    <row r="121" spans="2:20">
      <c r="B121" s="77" t="str">
        <f>'Products x speed'!B35</f>
        <v>40G</v>
      </c>
      <c r="C121" s="78" t="str">
        <f>'Products x speed'!C35</f>
        <v>40 km</v>
      </c>
      <c r="D121" s="78" t="str">
        <f>'Products x speed'!D35</f>
        <v>QSFP+</v>
      </c>
      <c r="E121" s="513" t="s">
        <v>96</v>
      </c>
      <c r="F121" s="514">
        <v>200</v>
      </c>
      <c r="G121" s="514">
        <v>125</v>
      </c>
      <c r="H121" s="514">
        <v>110</v>
      </c>
      <c r="I121" s="514">
        <v>62.5</v>
      </c>
      <c r="J121" s="514">
        <v>52.653694253849253</v>
      </c>
      <c r="K121" s="114">
        <f>IF('Products x speed'!E35=0,"",('Products x speed'!E185*10^6/('Products x speed'!E35*40)))</f>
        <v>41.826430810599277</v>
      </c>
      <c r="L121" s="114">
        <f>IF('Products x speed'!F35=0,"",('Products x speed'!F185*10^6/('Products x speed'!F35*40)))</f>
        <v>36.480825703225037</v>
      </c>
      <c r="M121" s="114">
        <f>IF('Products x speed'!G35=0,"",('Products x speed'!G185*10^6/('Products x speed'!G35*40)))</f>
        <v>31.376270671206207</v>
      </c>
      <c r="N121" s="114" t="str">
        <f>IF('Products x speed'!H35=0,"",('Products x speed'!H185*10^6/('Products x speed'!H35*40)))</f>
        <v/>
      </c>
      <c r="O121" s="114" t="str">
        <f>IF('Products x speed'!I35=0,"",('Products x speed'!I185*10^6/('Products x speed'!I35*40)))</f>
        <v/>
      </c>
      <c r="P121" s="114" t="str">
        <f>IF('Products x speed'!J35=0,"",('Products x speed'!J185*10^6/('Products x speed'!J35*40)))</f>
        <v/>
      </c>
      <c r="Q121" s="114" t="str">
        <f>IF('Products x speed'!K35=0,"",('Products x speed'!K185*10^6/('Products x speed'!K35*40)))</f>
        <v/>
      </c>
      <c r="R121" s="290" t="str">
        <f>IF('Products x speed'!L35=0,"",('Products x speed'!L185*10^6/('Products x speed'!L35*40)))</f>
        <v/>
      </c>
      <c r="S121" s="290" t="str">
        <f>IF('Products x speed'!M35=0,"",('Products x speed'!M185*10^6/('Products x speed'!M35*40)))</f>
        <v/>
      </c>
      <c r="T121" s="428" t="str">
        <f>IF('Products x speed'!N35=0,"",('Products x speed'!N185*10^6/('Products x speed'!N35*40)))</f>
        <v/>
      </c>
    </row>
    <row r="122" spans="2:20" s="147" customFormat="1">
      <c r="B122" s="81" t="str">
        <f>'Products x speed'!B36</f>
        <v xml:space="preserve">50G </v>
      </c>
      <c r="C122" s="82" t="s">
        <v>36</v>
      </c>
      <c r="D122" s="82" t="s">
        <v>44</v>
      </c>
      <c r="E122" s="511" t="s">
        <v>96</v>
      </c>
      <c r="F122" s="512" t="s">
        <v>96</v>
      </c>
      <c r="G122" s="512" t="s">
        <v>96</v>
      </c>
      <c r="H122" s="512" t="s">
        <v>96</v>
      </c>
      <c r="I122" s="512" t="s">
        <v>96</v>
      </c>
      <c r="J122" s="512" t="s">
        <v>96</v>
      </c>
      <c r="K122" s="112" t="str">
        <f>IF('Products x speed'!E36=0,"",('Products x speed'!E186*10^6/('Products x speed'!E36*50)))</f>
        <v/>
      </c>
      <c r="L122" s="112" t="str">
        <f>IF('Products x speed'!F36=0,"",('Products x speed'!F186*10^6/('Products x speed'!F36*50)))</f>
        <v/>
      </c>
      <c r="M122" s="112" t="str">
        <f>IF('Products x speed'!G36=0,"",('Products x speed'!G186*10^6/('Products x speed'!G36*50)))</f>
        <v/>
      </c>
      <c r="N122" s="112" t="str">
        <f>IF('Products x speed'!H36=0,"",('Products x speed'!H186*10^6/('Products x speed'!H36*50)))</f>
        <v/>
      </c>
      <c r="O122" s="112" t="str">
        <f>IF('Products x speed'!I36=0,"",('Products x speed'!I186*10^6/('Products x speed'!I36*50)))</f>
        <v/>
      </c>
      <c r="P122" s="112" t="str">
        <f>IF('Products x speed'!J36=0,"",('Products x speed'!J186*10^6/('Products x speed'!J36*50)))</f>
        <v/>
      </c>
      <c r="Q122" s="112" t="str">
        <f>IF('Products x speed'!K36=0,"",('Products x speed'!K186*10^6/('Products x speed'!K36*50)))</f>
        <v/>
      </c>
      <c r="R122" s="300" t="str">
        <f>IF('Products x speed'!L36=0,"",('Products x speed'!L186*10^6/('Products x speed'!L36*50)))</f>
        <v/>
      </c>
      <c r="S122" s="300" t="str">
        <f>IF('Products x speed'!M36=0,"",('Products x speed'!M186*10^6/('Products x speed'!M36*50)))</f>
        <v/>
      </c>
      <c r="T122" s="436" t="str">
        <f>IF('Products x speed'!N36=0,"",('Products x speed'!N186*10^6/('Products x speed'!N36*50)))</f>
        <v/>
      </c>
    </row>
    <row r="123" spans="2:20" s="147" customFormat="1">
      <c r="B123" s="81" t="str">
        <f>'Products x speed'!B37</f>
        <v xml:space="preserve">50G </v>
      </c>
      <c r="C123" s="82" t="s">
        <v>49</v>
      </c>
      <c r="D123" s="250" t="s">
        <v>44</v>
      </c>
      <c r="E123" s="513" t="s">
        <v>96</v>
      </c>
      <c r="F123" s="514" t="s">
        <v>96</v>
      </c>
      <c r="G123" s="514" t="s">
        <v>96</v>
      </c>
      <c r="H123" s="514" t="s">
        <v>96</v>
      </c>
      <c r="I123" s="514" t="s">
        <v>96</v>
      </c>
      <c r="J123" s="514" t="s">
        <v>96</v>
      </c>
      <c r="K123" s="114" t="str">
        <f>IF('Products x speed'!E37=0,"",('Products x speed'!E187*10^6/('Products x speed'!E37*50)))</f>
        <v/>
      </c>
      <c r="L123" s="114" t="str">
        <f>IF('Products x speed'!F37=0,"",('Products x speed'!F187*10^6/('Products x speed'!F37*50)))</f>
        <v/>
      </c>
      <c r="M123" s="114" t="str">
        <f>IF('Products x speed'!G37=0,"",('Products x speed'!G187*10^6/('Products x speed'!G37*50)))</f>
        <v/>
      </c>
      <c r="N123" s="114" t="str">
        <f>IF('Products x speed'!H37=0,"",('Products x speed'!H187*10^6/('Products x speed'!H37*50)))</f>
        <v/>
      </c>
      <c r="O123" s="114" t="str">
        <f>IF('Products x speed'!I37=0,"",('Products x speed'!I187*10^6/('Products x speed'!I37*50)))</f>
        <v/>
      </c>
      <c r="P123" s="114" t="str">
        <f>IF('Products x speed'!J37=0,"",('Products x speed'!J187*10^6/('Products x speed'!J37*50)))</f>
        <v/>
      </c>
      <c r="Q123" s="114" t="str">
        <f>IF('Products x speed'!K37=0,"",('Products x speed'!K187*10^6/('Products x speed'!K37*50)))</f>
        <v/>
      </c>
      <c r="R123" s="290" t="str">
        <f>IF('Products x speed'!L37=0,"",('Products x speed'!L187*10^6/('Products x speed'!L37*50)))</f>
        <v/>
      </c>
      <c r="S123" s="290" t="str">
        <f>IF('Products x speed'!M37=0,"",('Products x speed'!M187*10^6/('Products x speed'!M37*50)))</f>
        <v/>
      </c>
      <c r="T123" s="428" t="str">
        <f>IF('Products x speed'!N37=0,"",('Products x speed'!N187*10^6/('Products x speed'!N37*50)))</f>
        <v/>
      </c>
    </row>
    <row r="124" spans="2:20" s="147" customFormat="1">
      <c r="B124" s="81" t="str">
        <f>'Products x speed'!B38</f>
        <v xml:space="preserve">50G </v>
      </c>
      <c r="C124" s="82" t="s">
        <v>52</v>
      </c>
      <c r="D124" s="82" t="s">
        <v>44</v>
      </c>
      <c r="E124" s="513" t="s">
        <v>96</v>
      </c>
      <c r="F124" s="514" t="s">
        <v>96</v>
      </c>
      <c r="G124" s="514" t="s">
        <v>96</v>
      </c>
      <c r="H124" s="514" t="s">
        <v>96</v>
      </c>
      <c r="I124" s="514" t="s">
        <v>96</v>
      </c>
      <c r="J124" s="514" t="s">
        <v>96</v>
      </c>
      <c r="K124" s="114" t="str">
        <f>IF('Products x speed'!E38=0,"",('Products x speed'!E188*10^6/('Products x speed'!E38*50)))</f>
        <v/>
      </c>
      <c r="L124" s="114" t="str">
        <f>IF('Products x speed'!F38=0,"",('Products x speed'!F188*10^6/('Products x speed'!F38*50)))</f>
        <v/>
      </c>
      <c r="M124" s="114" t="str">
        <f>IF('Products x speed'!G38=0,"",('Products x speed'!G188*10^6/('Products x speed'!G38*50)))</f>
        <v/>
      </c>
      <c r="N124" s="114" t="str">
        <f>IF('Products x speed'!H38=0,"",('Products x speed'!H188*10^6/('Products x speed'!H38*50)))</f>
        <v/>
      </c>
      <c r="O124" s="114" t="str">
        <f>IF('Products x speed'!I38=0,"",('Products x speed'!I188*10^6/('Products x speed'!I38*50)))</f>
        <v/>
      </c>
      <c r="P124" s="114" t="str">
        <f>IF('Products x speed'!J38=0,"",('Products x speed'!J188*10^6/('Products x speed'!J38*50)))</f>
        <v/>
      </c>
      <c r="Q124" s="114" t="str">
        <f>IF('Products x speed'!K38=0,"",('Products x speed'!K188*10^6/('Products x speed'!K38*50)))</f>
        <v/>
      </c>
      <c r="R124" s="290" t="str">
        <f>IF('Products x speed'!L38=0,"",('Products x speed'!L188*10^6/('Products x speed'!L38*50)))</f>
        <v/>
      </c>
      <c r="S124" s="290" t="str">
        <f>IF('Products x speed'!M38=0,"",('Products x speed'!M188*10^6/('Products x speed'!M38*50)))</f>
        <v/>
      </c>
      <c r="T124" s="428" t="str">
        <f>IF('Products x speed'!N38=0,"",('Products x speed'!N188*10^6/('Products x speed'!N38*50)))</f>
        <v/>
      </c>
    </row>
    <row r="125" spans="2:20" s="147" customFormat="1">
      <c r="B125" s="81" t="str">
        <f>'Products x speed'!B39</f>
        <v xml:space="preserve">50G </v>
      </c>
      <c r="C125" s="250" t="s">
        <v>57</v>
      </c>
      <c r="D125" s="82" t="s">
        <v>44</v>
      </c>
      <c r="E125" s="513" t="s">
        <v>96</v>
      </c>
      <c r="F125" s="514" t="s">
        <v>96</v>
      </c>
      <c r="G125" s="514" t="s">
        <v>96</v>
      </c>
      <c r="H125" s="514" t="s">
        <v>96</v>
      </c>
      <c r="I125" s="514" t="s">
        <v>96</v>
      </c>
      <c r="J125" s="514" t="s">
        <v>96</v>
      </c>
      <c r="K125" s="114" t="str">
        <f>IF('Products x speed'!E39=0,"",('Products x speed'!E189*10^6/('Products x speed'!E39*50)))</f>
        <v/>
      </c>
      <c r="L125" s="114" t="str">
        <f>IF('Products x speed'!F39=0,"",('Products x speed'!F189*10^6/('Products x speed'!F39*50)))</f>
        <v/>
      </c>
      <c r="M125" s="114" t="str">
        <f>IF('Products x speed'!G39=0,"",('Products x speed'!G189*10^6/('Products x speed'!G39*50)))</f>
        <v/>
      </c>
      <c r="N125" s="114" t="str">
        <f>IF('Products x speed'!H39=0,"",('Products x speed'!H189*10^6/('Products x speed'!H39*50)))</f>
        <v/>
      </c>
      <c r="O125" s="114" t="str">
        <f>IF('Products x speed'!I39=0,"",('Products x speed'!I189*10^6/('Products x speed'!I39*50)))</f>
        <v/>
      </c>
      <c r="P125" s="114" t="str">
        <f>IF('Products x speed'!J39=0,"",('Products x speed'!J189*10^6/('Products x speed'!J39*50)))</f>
        <v/>
      </c>
      <c r="Q125" s="114" t="str">
        <f>IF('Products x speed'!K39=0,"",('Products x speed'!K189*10^6/('Products x speed'!K39*50)))</f>
        <v/>
      </c>
      <c r="R125" s="290" t="str">
        <f>IF('Products x speed'!L39=0,"",('Products x speed'!L189*10^6/('Products x speed'!L39*50)))</f>
        <v/>
      </c>
      <c r="S125" s="290" t="str">
        <f>IF('Products x speed'!M39=0,"",('Products x speed'!M189*10^6/('Products x speed'!M39*50)))</f>
        <v/>
      </c>
      <c r="T125" s="428" t="str">
        <f>IF('Products x speed'!N39=0,"",('Products x speed'!N189*10^6/('Products x speed'!N39*50)))</f>
        <v/>
      </c>
    </row>
    <row r="126" spans="2:20" s="147" customFormat="1">
      <c r="B126" s="77" t="str">
        <f>'Products x speed'!B40</f>
        <v xml:space="preserve">50G </v>
      </c>
      <c r="C126" s="438" t="s">
        <v>59</v>
      </c>
      <c r="D126" s="78" t="s">
        <v>44</v>
      </c>
      <c r="E126" s="515" t="s">
        <v>96</v>
      </c>
      <c r="F126" s="516" t="s">
        <v>96</v>
      </c>
      <c r="G126" s="516" t="s">
        <v>96</v>
      </c>
      <c r="H126" s="516" t="s">
        <v>96</v>
      </c>
      <c r="I126" s="516" t="s">
        <v>96</v>
      </c>
      <c r="J126" s="516" t="s">
        <v>96</v>
      </c>
      <c r="K126" s="116" t="str">
        <f>IF('Products x speed'!E40=0,"",('Products x speed'!E190*10^6/('Products x speed'!E40*50)))</f>
        <v/>
      </c>
      <c r="L126" s="116" t="str">
        <f>IF('Products x speed'!F40=0,"",('Products x speed'!F190*10^6/('Products x speed'!F40*50)))</f>
        <v/>
      </c>
      <c r="M126" s="116" t="str">
        <f>IF('Products x speed'!G40=0,"",('Products x speed'!G190*10^6/('Products x speed'!G40*50)))</f>
        <v/>
      </c>
      <c r="N126" s="116" t="str">
        <f>IF('Products x speed'!H40=0,"",('Products x speed'!H190*10^6/('Products x speed'!H40*50)))</f>
        <v/>
      </c>
      <c r="O126" s="116" t="str">
        <f>IF('Products x speed'!I40=0,"",('Products x speed'!I190*10^6/('Products x speed'!I40*50)))</f>
        <v/>
      </c>
      <c r="P126" s="116" t="str">
        <f>IF('Products x speed'!J40=0,"",('Products x speed'!J190*10^6/('Products x speed'!J40*50)))</f>
        <v/>
      </c>
      <c r="Q126" s="116" t="str">
        <f>IF('Products x speed'!K40=0,"",('Products x speed'!K190*10^6/('Products x speed'!K40*50)))</f>
        <v/>
      </c>
      <c r="R126" s="301" t="str">
        <f>IF('Products x speed'!L40=0,"",('Products x speed'!L190*10^6/('Products x speed'!L40*50)))</f>
        <v/>
      </c>
      <c r="S126" s="301" t="str">
        <f>IF('Products x speed'!M40=0,"",('Products x speed'!M190*10^6/('Products x speed'!M40*50)))</f>
        <v/>
      </c>
      <c r="T126" s="431" t="str">
        <f>IF('Products x speed'!N40=0,"",('Products x speed'!N190*10^6/('Products x speed'!N40*50)))</f>
        <v/>
      </c>
    </row>
    <row r="127" spans="2:20">
      <c r="B127" s="81" t="str">
        <f>'Products x speed'!B41</f>
        <v>100G SR4</v>
      </c>
      <c r="C127" s="82" t="str">
        <f>'Products x speed'!C41</f>
        <v>100 m</v>
      </c>
      <c r="D127" s="82" t="str">
        <f>'Products x speed'!D41</f>
        <v>CFP</v>
      </c>
      <c r="E127" s="513" t="s">
        <v>96</v>
      </c>
      <c r="F127" s="514" t="s">
        <v>96</v>
      </c>
      <c r="G127" s="514">
        <v>23.897826358525922</v>
      </c>
      <c r="H127" s="514">
        <v>18.815171215351814</v>
      </c>
      <c r="I127" s="514">
        <v>18.039118145620023</v>
      </c>
      <c r="J127" s="514">
        <v>17.02889970674488</v>
      </c>
      <c r="K127" s="114">
        <f>IF('Products x speed'!E41=0,"",('Products x speed'!E191*10^6/('Products x speed'!E41*100)))</f>
        <v>14.227039686825053</v>
      </c>
      <c r="L127" s="292">
        <f>IF('Products x speed'!F41=0,"",('Products x speed'!F191*10^6/('Products x speed'!F41*100)))</f>
        <v>12.733986691740203</v>
      </c>
      <c r="M127" s="292">
        <f>IF('Products x speed'!G41=0,"",('Products x speed'!G191*10^6/('Products x speed'!G41*100)))</f>
        <v>10.189069493521796</v>
      </c>
      <c r="N127" s="292" t="str">
        <f>IF('Products x speed'!H41=0,"",('Products x speed'!H191*10^6/('Products x speed'!H41*100)))</f>
        <v/>
      </c>
      <c r="O127" s="292" t="str">
        <f>IF('Products x speed'!I41=0,"",('Products x speed'!I191*10^6/('Products x speed'!I41*100)))</f>
        <v/>
      </c>
      <c r="P127" s="292" t="str">
        <f>IF('Products x speed'!J41=0,"",('Products x speed'!J191*10^6/('Products x speed'!J41*100)))</f>
        <v/>
      </c>
      <c r="Q127" s="292" t="str">
        <f>IF('Products x speed'!K41=0,"",('Products x speed'!K191*10^6/('Products x speed'!K41*100)))</f>
        <v/>
      </c>
      <c r="R127" s="290" t="str">
        <f>IF('Products x speed'!L41=0,"",('Products x speed'!L191*10^6/('Products x speed'!L41*100)))</f>
        <v/>
      </c>
      <c r="S127" s="290" t="str">
        <f>IF('Products x speed'!M41=0,"",('Products x speed'!M191*10^6/('Products x speed'!M41*100)))</f>
        <v/>
      </c>
      <c r="T127" s="428" t="str">
        <f>IF('Products x speed'!N41=0,"",('Products x speed'!N191*10^6/('Products x speed'!N41*100)))</f>
        <v/>
      </c>
    </row>
    <row r="128" spans="2:20">
      <c r="B128" s="81" t="str">
        <f>'Products x speed'!B42</f>
        <v>100G SR4</v>
      </c>
      <c r="C128" s="82" t="str">
        <f>'Products x speed'!C42</f>
        <v>100 m</v>
      </c>
      <c r="D128" s="82" t="str">
        <f>'Products x speed'!D42</f>
        <v>CFP2/4</v>
      </c>
      <c r="E128" s="513" t="s">
        <v>96</v>
      </c>
      <c r="F128" s="514" t="s">
        <v>96</v>
      </c>
      <c r="G128" s="514" t="s">
        <v>96</v>
      </c>
      <c r="H128" s="514" t="s">
        <v>96</v>
      </c>
      <c r="I128" s="514" t="s">
        <v>96</v>
      </c>
      <c r="J128" s="514">
        <v>13.44281603659357</v>
      </c>
      <c r="K128" s="114">
        <f>IF('Products x speed'!E42=0,"",('Products x speed'!E192*10^6/('Products x speed'!E42*100)))</f>
        <v>12.047629951912068</v>
      </c>
      <c r="L128" s="292">
        <f>IF('Products x speed'!F42=0,"",('Products x speed'!F192*10^6/('Products x speed'!F42*100)))</f>
        <v>10.92608197443808</v>
      </c>
      <c r="M128" s="292">
        <f>IF('Products x speed'!G42=0,"",('Products x speed'!G192*10^6/('Products x speed'!G42*100)))</f>
        <v>10.040468400000002</v>
      </c>
      <c r="N128" s="292" t="str">
        <f>IF('Products x speed'!H42=0,"",('Products x speed'!H192*10^6/('Products x speed'!H42*100)))</f>
        <v/>
      </c>
      <c r="O128" s="292" t="str">
        <f>IF('Products x speed'!I42=0,"",('Products x speed'!I192*10^6/('Products x speed'!I42*100)))</f>
        <v/>
      </c>
      <c r="P128" s="292" t="str">
        <f>IF('Products x speed'!J42=0,"",('Products x speed'!J192*10^6/('Products x speed'!J42*100)))</f>
        <v/>
      </c>
      <c r="Q128" s="292" t="str">
        <f>IF('Products x speed'!K42=0,"",('Products x speed'!K192*10^6/('Products x speed'!K42*100)))</f>
        <v/>
      </c>
      <c r="R128" s="290" t="str">
        <f>IF('Products x speed'!L42=0,"",('Products x speed'!L192*10^6/('Products x speed'!L42*100)))</f>
        <v/>
      </c>
      <c r="S128" s="290" t="str">
        <f>IF('Products x speed'!M42=0,"",('Products x speed'!M192*10^6/('Products x speed'!M42*100)))</f>
        <v/>
      </c>
      <c r="T128" s="428" t="str">
        <f>IF('Products x speed'!N42=0,"",('Products x speed'!N192*10^6/('Products x speed'!N42*100)))</f>
        <v/>
      </c>
    </row>
    <row r="129" spans="2:20">
      <c r="B129" s="81" t="str">
        <f>'Products x speed'!B43</f>
        <v>100G SR4</v>
      </c>
      <c r="C129" s="82" t="str">
        <f>'Products x speed'!C43</f>
        <v>100 m</v>
      </c>
      <c r="D129" s="82" t="str">
        <f>'Products x speed'!D43</f>
        <v>QSFP28</v>
      </c>
      <c r="E129" s="513" t="s">
        <v>96</v>
      </c>
      <c r="F129" s="514" t="s">
        <v>96</v>
      </c>
      <c r="G129" s="514" t="s">
        <v>96</v>
      </c>
      <c r="H129" s="514" t="s">
        <v>96</v>
      </c>
      <c r="I129" s="514">
        <v>9.5</v>
      </c>
      <c r="J129" s="514">
        <v>8.2501787283914449</v>
      </c>
      <c r="K129" s="292">
        <f>IF('Products x speed'!E43=0,"",('Products x speed'!E193*10^6/('Products x speed'!E43*100)))</f>
        <v>2.5809426618771827</v>
      </c>
      <c r="L129" s="292">
        <f>IF('Products x speed'!F43=0,"",('Products x speed'!F193*10^6/('Products x speed'!F43*100)))</f>
        <v>1.8202277386466108</v>
      </c>
      <c r="M129" s="292">
        <f>IF('Products x speed'!G43=0,"",('Products x speed'!G193*10^6/('Products x speed'!G43*100)))</f>
        <v>1.1354682982085136</v>
      </c>
      <c r="N129" s="292" t="str">
        <f>IF('Products x speed'!H43=0,"",('Products x speed'!H193*10^6/('Products x speed'!H43*100)))</f>
        <v/>
      </c>
      <c r="O129" s="292" t="str">
        <f>IF('Products x speed'!I43=0,"",('Products x speed'!I193*10^6/('Products x speed'!I43*100)))</f>
        <v/>
      </c>
      <c r="P129" s="292" t="str">
        <f>IF('Products x speed'!J43=0,"",('Products x speed'!J193*10^6/('Products x speed'!J43*100)))</f>
        <v/>
      </c>
      <c r="Q129" s="292" t="str">
        <f>IF('Products x speed'!K43=0,"",('Products x speed'!K193*10^6/('Products x speed'!K43*100)))</f>
        <v/>
      </c>
      <c r="R129" s="290" t="str">
        <f>IF('Products x speed'!L43=0,"",('Products x speed'!L193*10^6/('Products x speed'!L43*100)))</f>
        <v/>
      </c>
      <c r="S129" s="290" t="str">
        <f>IF('Products x speed'!M43=0,"",('Products x speed'!M193*10^6/('Products x speed'!M43*100)))</f>
        <v/>
      </c>
      <c r="T129" s="428" t="str">
        <f>IF('Products x speed'!N43=0,"",('Products x speed'!N193*10^6/('Products x speed'!N43*100)))</f>
        <v/>
      </c>
    </row>
    <row r="130" spans="2:20">
      <c r="B130" s="81" t="str">
        <f>'Products x speed'!B44</f>
        <v>100G SR2</v>
      </c>
      <c r="C130" s="82" t="str">
        <f>'Products x speed'!C44</f>
        <v>100 m</v>
      </c>
      <c r="D130" s="82" t="str">
        <f>'Products x speed'!D44</f>
        <v>All</v>
      </c>
      <c r="E130" s="513" t="s">
        <v>96</v>
      </c>
      <c r="F130" s="514" t="s">
        <v>96</v>
      </c>
      <c r="G130" s="514" t="s">
        <v>96</v>
      </c>
      <c r="H130" s="514" t="s">
        <v>96</v>
      </c>
      <c r="I130" s="514" t="s">
        <v>96</v>
      </c>
      <c r="J130" s="514" t="s">
        <v>96</v>
      </c>
      <c r="K130" s="292" t="str">
        <f>IF('Products x speed'!E44=0,"",('Products x speed'!E194*10^6/('Products x speed'!E44*100)))</f>
        <v/>
      </c>
      <c r="L130" s="292" t="str">
        <f>IF('Products x speed'!F44=0,"",('Products x speed'!F194*10^6/('Products x speed'!F44*100)))</f>
        <v/>
      </c>
      <c r="M130" s="292" t="str">
        <f>IF('Products x speed'!G44=0,"",('Products x speed'!G194*10^6/('Products x speed'!G44*100)))</f>
        <v/>
      </c>
      <c r="N130" s="292" t="str">
        <f>IF('Products x speed'!H44=0,"",('Products x speed'!H194*10^6/('Products x speed'!H44*100)))</f>
        <v/>
      </c>
      <c r="O130" s="292" t="str">
        <f>IF('Products x speed'!I44=0,"",('Products x speed'!I194*10^6/('Products x speed'!I44*100)))</f>
        <v/>
      </c>
      <c r="P130" s="292" t="str">
        <f>IF('Products x speed'!J44=0,"",('Products x speed'!J194*10^6/('Products x speed'!J44*100)))</f>
        <v/>
      </c>
      <c r="Q130" s="292" t="str">
        <f>IF('Products x speed'!K44=0,"",('Products x speed'!K194*10^6/('Products x speed'!K44*100)))</f>
        <v/>
      </c>
      <c r="R130" s="290" t="str">
        <f>IF('Products x speed'!L44=0,"",('Products x speed'!L194*10^6/('Products x speed'!L44*100)))</f>
        <v/>
      </c>
      <c r="S130" s="290" t="str">
        <f>IF('Products x speed'!M44=0,"",('Products x speed'!M194*10^6/('Products x speed'!M44*100)))</f>
        <v/>
      </c>
      <c r="T130" s="428" t="str">
        <f>IF('Products x speed'!N44=0,"",('Products x speed'!N194*10^6/('Products x speed'!N44*100)))</f>
        <v/>
      </c>
    </row>
    <row r="131" spans="2:20">
      <c r="B131" s="81" t="str">
        <f>'Products x speed'!B45</f>
        <v>100G MM Duplex</v>
      </c>
      <c r="C131" s="82" t="str">
        <f>'Products x speed'!C45</f>
        <v>100 - 300 m</v>
      </c>
      <c r="D131" s="82" t="str">
        <f>'Products x speed'!D45</f>
        <v>QSFP28</v>
      </c>
      <c r="E131" s="513"/>
      <c r="F131" s="514"/>
      <c r="G131" s="514"/>
      <c r="H131" s="514"/>
      <c r="I131" s="514" t="s">
        <v>96</v>
      </c>
      <c r="J131" s="514" t="s">
        <v>96</v>
      </c>
      <c r="K131" s="292" t="str">
        <f>IF('Products x speed'!E45=0,"",('Products x speed'!E195*10^6/('Products x speed'!E45*100)))</f>
        <v/>
      </c>
      <c r="L131" s="292" t="str">
        <f>IF('Products x speed'!F45=0,"",('Products x speed'!F195*10^6/('Products x speed'!F45*100)))</f>
        <v/>
      </c>
      <c r="M131" s="292">
        <f>IF('Products x speed'!G45=0,"",('Products x speed'!G195*10^6/('Products x speed'!G45*100)))</f>
        <v>1.7</v>
      </c>
      <c r="N131" s="292" t="str">
        <f>IF('Products x speed'!H45=0,"",('Products x speed'!H195*10^6/('Products x speed'!H45*100)))</f>
        <v/>
      </c>
      <c r="O131" s="292" t="str">
        <f>IF('Products x speed'!I45=0,"",('Products x speed'!I195*10^6/('Products x speed'!I45*100)))</f>
        <v/>
      </c>
      <c r="P131" s="292" t="str">
        <f>IF('Products x speed'!J45=0,"",('Products x speed'!J195*10^6/('Products x speed'!J45*100)))</f>
        <v/>
      </c>
      <c r="Q131" s="292" t="str">
        <f>IF('Products x speed'!K45=0,"",('Products x speed'!K195*10^6/('Products x speed'!K45*100)))</f>
        <v/>
      </c>
      <c r="R131" s="290" t="str">
        <f>IF('Products x speed'!L45=0,"",('Products x speed'!L195*10^6/('Products x speed'!L45*100)))</f>
        <v/>
      </c>
      <c r="S131" s="290" t="str">
        <f>IF('Products x speed'!M45=0,"",('Products x speed'!M195*10^6/('Products x speed'!M45*100)))</f>
        <v/>
      </c>
      <c r="T131" s="428" t="str">
        <f>IF('Products x speed'!N45=0,"",('Products x speed'!N195*10^6/('Products x speed'!N45*100)))</f>
        <v/>
      </c>
    </row>
    <row r="132" spans="2:20">
      <c r="B132" s="81" t="str">
        <f>'Products x speed'!B46</f>
        <v>100G eSR4</v>
      </c>
      <c r="C132" s="82" t="str">
        <f>'Products x speed'!C46</f>
        <v>300 m</v>
      </c>
      <c r="D132" s="82" t="str">
        <f>'Products x speed'!D46</f>
        <v>QSFP28</v>
      </c>
      <c r="E132" s="513"/>
      <c r="F132" s="514"/>
      <c r="G132" s="514"/>
      <c r="H132" s="514"/>
      <c r="I132" s="514" t="s">
        <v>96</v>
      </c>
      <c r="J132" s="514" t="s">
        <v>96</v>
      </c>
      <c r="K132" s="292" t="str">
        <f>IF('Products x speed'!E46=0,"",('Products x speed'!E196*10^6/('Products x speed'!E46*100)))</f>
        <v/>
      </c>
      <c r="L132" s="292" t="str">
        <f>IF('Products x speed'!F46=0,"",('Products x speed'!F196*10^6/('Products x speed'!F46*100)))</f>
        <v/>
      </c>
      <c r="M132" s="292">
        <f>IF('Products x speed'!G46=0,"",('Products x speed'!G196*10^6/('Products x speed'!G46*100)))</f>
        <v>1.7</v>
      </c>
      <c r="N132" s="292" t="str">
        <f>IF('Products x speed'!H46=0,"",('Products x speed'!H196*10^6/('Products x speed'!H46*100)))</f>
        <v/>
      </c>
      <c r="O132" s="292" t="str">
        <f>IF('Products x speed'!I46=0,"",('Products x speed'!I196*10^6/('Products x speed'!I46*100)))</f>
        <v/>
      </c>
      <c r="P132" s="292" t="str">
        <f>IF('Products x speed'!J46=0,"",('Products x speed'!J196*10^6/('Products x speed'!J46*100)))</f>
        <v/>
      </c>
      <c r="Q132" s="292" t="str">
        <f>IF('Products x speed'!K46=0,"",('Products x speed'!K196*10^6/('Products x speed'!K46*100)))</f>
        <v/>
      </c>
      <c r="R132" s="290" t="str">
        <f>IF('Products x speed'!L46=0,"",('Products x speed'!L196*10^6/('Products x speed'!L46*100)))</f>
        <v/>
      </c>
      <c r="S132" s="290" t="str">
        <f>IF('Products x speed'!M46=0,"",('Products x speed'!M196*10^6/('Products x speed'!M46*100)))</f>
        <v/>
      </c>
      <c r="T132" s="428" t="str">
        <f>IF('Products x speed'!N46=0,"",('Products x speed'!N196*10^6/('Products x speed'!N46*100)))</f>
        <v/>
      </c>
    </row>
    <row r="133" spans="2:20">
      <c r="B133" s="81" t="str">
        <f>'Products x speed'!B47</f>
        <v>100G PSM4</v>
      </c>
      <c r="C133" s="82" t="str">
        <f>'Products x speed'!C47</f>
        <v>500 m</v>
      </c>
      <c r="D133" s="82" t="str">
        <f>'Products x speed'!D47</f>
        <v>QSFP28</v>
      </c>
      <c r="E133" s="513" t="s">
        <v>96</v>
      </c>
      <c r="F133" s="514" t="s">
        <v>96</v>
      </c>
      <c r="G133" s="514" t="s">
        <v>96</v>
      </c>
      <c r="H133" s="514" t="s">
        <v>96</v>
      </c>
      <c r="I133" s="514">
        <v>0</v>
      </c>
      <c r="J133" s="514">
        <v>0</v>
      </c>
      <c r="K133" s="292">
        <f>IF('Products x speed'!E47=0,"",('Products x speed'!E197*10^6/('Products x speed'!E47*100)))</f>
        <v>3.3741687156790023</v>
      </c>
      <c r="L133" s="292">
        <f>IF('Products x speed'!F47=0,"",('Products x speed'!F197*10^6/('Products x speed'!F47*100)))</f>
        <v>2.2265569307558186</v>
      </c>
      <c r="M133" s="292">
        <f>IF('Products x speed'!G47=0,"",('Products x speed'!G197*10^6/('Products x speed'!G47*100)))</f>
        <v>1.8802033788894266</v>
      </c>
      <c r="N133" s="292" t="str">
        <f>IF('Products x speed'!H47=0,"",('Products x speed'!H197*10^6/('Products x speed'!H47*100)))</f>
        <v/>
      </c>
      <c r="O133" s="292" t="str">
        <f>IF('Products x speed'!I47=0,"",('Products x speed'!I197*10^6/('Products x speed'!I47*100)))</f>
        <v/>
      </c>
      <c r="P133" s="292" t="str">
        <f>IF('Products x speed'!J47=0,"",('Products x speed'!J197*10^6/('Products x speed'!J47*100)))</f>
        <v/>
      </c>
      <c r="Q133" s="292" t="str">
        <f>IF('Products x speed'!K47=0,"",('Products x speed'!K197*10^6/('Products x speed'!K47*100)))</f>
        <v/>
      </c>
      <c r="R133" s="290" t="str">
        <f>IF('Products x speed'!L47=0,"",('Products x speed'!L197*10^6/('Products x speed'!L47*100)))</f>
        <v/>
      </c>
      <c r="S133" s="290" t="str">
        <f>IF('Products x speed'!M47=0,"",('Products x speed'!M197*10^6/('Products x speed'!M47*100)))</f>
        <v/>
      </c>
      <c r="T133" s="428" t="str">
        <f>IF('Products x speed'!N47=0,"",('Products x speed'!N197*10^6/('Products x speed'!N47*100)))</f>
        <v/>
      </c>
    </row>
    <row r="134" spans="2:20">
      <c r="B134" s="81" t="str">
        <f>'Products x speed'!B48</f>
        <v>100G DR</v>
      </c>
      <c r="C134" s="82" t="str">
        <f>'Products x speed'!C48</f>
        <v>500 m</v>
      </c>
      <c r="D134" s="82" t="str">
        <f>'Products x speed'!D48</f>
        <v>QSFP28</v>
      </c>
      <c r="E134" s="513" t="s">
        <v>96</v>
      </c>
      <c r="F134" s="514" t="s">
        <v>96</v>
      </c>
      <c r="G134" s="514" t="s">
        <v>96</v>
      </c>
      <c r="H134" s="514" t="s">
        <v>96</v>
      </c>
      <c r="I134" s="514" t="s">
        <v>96</v>
      </c>
      <c r="J134" s="514" t="s">
        <v>96</v>
      </c>
      <c r="K134" s="292" t="str">
        <f>IF('Products x speed'!E48=0,"",('Products x speed'!E198*10^6/('Products x speed'!E48*100)))</f>
        <v/>
      </c>
      <c r="L134" s="292" t="str">
        <f>IF('Products x speed'!F48=0,"",('Products x speed'!F198*10^6/('Products x speed'!F48*100)))</f>
        <v/>
      </c>
      <c r="M134" s="292">
        <f>IF('Products x speed'!G48=0,"",('Products x speed'!G198*10^6/('Products x speed'!G48*100)))</f>
        <v>4</v>
      </c>
      <c r="N134" s="292" t="str">
        <f>IF('Products x speed'!H48=0,"",('Products x speed'!H198*10^6/('Products x speed'!H48*100)))</f>
        <v/>
      </c>
      <c r="O134" s="292" t="str">
        <f>IF('Products x speed'!I48=0,"",('Products x speed'!I198*10^6/('Products x speed'!I48*100)))</f>
        <v/>
      </c>
      <c r="P134" s="292" t="str">
        <f>IF('Products x speed'!J48=0,"",('Products x speed'!J198*10^6/('Products x speed'!J48*100)))</f>
        <v/>
      </c>
      <c r="Q134" s="292" t="str">
        <f>IF('Products x speed'!K48=0,"",('Products x speed'!K198*10^6/('Products x speed'!K48*100)))</f>
        <v/>
      </c>
      <c r="R134" s="290" t="str">
        <f>IF('Products x speed'!L48=0,"",('Products x speed'!L198*10^6/('Products x speed'!L48*100)))</f>
        <v/>
      </c>
      <c r="S134" s="290" t="str">
        <f>IF('Products x speed'!M48=0,"",('Products x speed'!M198*10^6/('Products x speed'!M48*100)))</f>
        <v/>
      </c>
      <c r="T134" s="428" t="str">
        <f>IF('Products x speed'!N48=0,"",('Products x speed'!N198*10^6/('Products x speed'!N48*100)))</f>
        <v/>
      </c>
    </row>
    <row r="135" spans="2:20">
      <c r="B135" s="81" t="str">
        <f>'Products x speed'!B49</f>
        <v>100G CWDM4-subspec</v>
      </c>
      <c r="C135" s="82" t="str">
        <f>'Products x speed'!C49</f>
        <v>500 m</v>
      </c>
      <c r="D135" s="82" t="str">
        <f>'Products x speed'!D49</f>
        <v>QSFP28</v>
      </c>
      <c r="E135" s="513" t="s">
        <v>96</v>
      </c>
      <c r="F135" s="514" t="s">
        <v>96</v>
      </c>
      <c r="G135" s="514" t="s">
        <v>96</v>
      </c>
      <c r="H135" s="514" t="s">
        <v>96</v>
      </c>
      <c r="I135" s="514" t="s">
        <v>96</v>
      </c>
      <c r="J135" s="514" t="s">
        <v>96</v>
      </c>
      <c r="K135" s="292">
        <f>IF('Products x speed'!E49=0,"",('Products x speed'!E199*10^6/('Products x speed'!E49*100)))</f>
        <v>6.25</v>
      </c>
      <c r="L135" s="292">
        <f>IF('Products x speed'!F49=0,"",('Products x speed'!F199*10^6/('Products x speed'!F49*100)))</f>
        <v>4.5</v>
      </c>
      <c r="M135" s="292">
        <f>IF('Products x speed'!G49=0,"",('Products x speed'!G199*10^6/('Products x speed'!G49*100)))</f>
        <v>2.8</v>
      </c>
      <c r="N135" s="292" t="str">
        <f>IF('Products x speed'!H49=0,"",('Products x speed'!H199*10^6/('Products x speed'!H49*100)))</f>
        <v/>
      </c>
      <c r="O135" s="292" t="str">
        <f>IF('Products x speed'!I49=0,"",('Products x speed'!I199*10^6/('Products x speed'!I49*100)))</f>
        <v/>
      </c>
      <c r="P135" s="292" t="str">
        <f>IF('Products x speed'!J49=0,"",('Products x speed'!J199*10^6/('Products x speed'!J49*100)))</f>
        <v/>
      </c>
      <c r="Q135" s="292" t="str">
        <f>IF('Products x speed'!K49=0,"",('Products x speed'!K199*10^6/('Products x speed'!K49*100)))</f>
        <v/>
      </c>
      <c r="R135" s="290" t="str">
        <f>IF('Products x speed'!L49=0,"",('Products x speed'!L199*10^6/('Products x speed'!L49*100)))</f>
        <v/>
      </c>
      <c r="S135" s="290" t="str">
        <f>IF('Products x speed'!M49=0,"",('Products x speed'!M199*10^6/('Products x speed'!M49*100)))</f>
        <v/>
      </c>
      <c r="T135" s="428" t="str">
        <f>IF('Products x speed'!N49=0,"",('Products x speed'!N199*10^6/('Products x speed'!N49*100)))</f>
        <v/>
      </c>
    </row>
    <row r="136" spans="2:20">
      <c r="B136" s="81" t="str">
        <f>'Products x speed'!B50</f>
        <v>100G CWDM4</v>
      </c>
      <c r="C136" s="82" t="str">
        <f>'Products x speed'!C50</f>
        <v>2 km</v>
      </c>
      <c r="D136" s="82" t="str">
        <f>'Products x speed'!D50</f>
        <v>QSFP28</v>
      </c>
      <c r="E136" s="513" t="s">
        <v>96</v>
      </c>
      <c r="F136" s="514" t="s">
        <v>96</v>
      </c>
      <c r="G136" s="514" t="s">
        <v>96</v>
      </c>
      <c r="H136" s="514" t="s">
        <v>96</v>
      </c>
      <c r="I136" s="514" t="s">
        <v>96</v>
      </c>
      <c r="J136" s="514">
        <v>14</v>
      </c>
      <c r="K136" s="114">
        <f>IF('Products x speed'!E50=0,"",('Products x speed'!E200*10^6/('Products x speed'!E50*100)))</f>
        <v>8.25</v>
      </c>
      <c r="L136" s="292">
        <f>IF('Products x speed'!F50=0,"",('Products x speed'!F200*10^6/('Products x speed'!F50*100)))</f>
        <v>6.5</v>
      </c>
      <c r="M136" s="292">
        <f>IF('Products x speed'!G50=0,"",('Products x speed'!G200*10^6/('Products x speed'!G50*100)))</f>
        <v>4.9000000000000004</v>
      </c>
      <c r="N136" s="292" t="str">
        <f>IF('Products x speed'!H50=0,"",('Products x speed'!H200*10^6/('Products x speed'!H50*100)))</f>
        <v/>
      </c>
      <c r="O136" s="292" t="str">
        <f>IF('Products x speed'!I50=0,"",('Products x speed'!I200*10^6/('Products x speed'!I50*100)))</f>
        <v/>
      </c>
      <c r="P136" s="292" t="str">
        <f>IF('Products x speed'!J50=0,"",('Products x speed'!J200*10^6/('Products x speed'!J50*100)))</f>
        <v/>
      </c>
      <c r="Q136" s="292" t="str">
        <f>IF('Products x speed'!K50=0,"",('Products x speed'!K200*10^6/('Products x speed'!K50*100)))</f>
        <v/>
      </c>
      <c r="R136" s="290" t="str">
        <f>IF('Products x speed'!L50=0,"",('Products x speed'!L200*10^6/('Products x speed'!L50*100)))</f>
        <v/>
      </c>
      <c r="S136" s="290" t="str">
        <f>IF('Products x speed'!M50=0,"",('Products x speed'!M200*10^6/('Products x speed'!M50*100)))</f>
        <v/>
      </c>
      <c r="T136" s="428" t="str">
        <f>IF('Products x speed'!N50=0,"",('Products x speed'!N200*10^6/('Products x speed'!N50*100)))</f>
        <v/>
      </c>
    </row>
    <row r="137" spans="2:20">
      <c r="B137" s="81" t="str">
        <f>'Products x speed'!B51</f>
        <v>100G FR1</v>
      </c>
      <c r="C137" s="82" t="str">
        <f>'Products x speed'!C51</f>
        <v>2 km</v>
      </c>
      <c r="D137" s="82" t="str">
        <f>'Products x speed'!D51</f>
        <v>QSFP28</v>
      </c>
      <c r="E137" s="513" t="s">
        <v>96</v>
      </c>
      <c r="F137" s="514" t="s">
        <v>96</v>
      </c>
      <c r="G137" s="514" t="s">
        <v>96</v>
      </c>
      <c r="H137" s="514" t="s">
        <v>96</v>
      </c>
      <c r="I137" s="514" t="s">
        <v>96</v>
      </c>
      <c r="J137" s="514" t="s">
        <v>96</v>
      </c>
      <c r="K137" s="114" t="str">
        <f>IF('Products x speed'!E51=0,"",('Products x speed'!E201*10^6/('Products x speed'!E51*100)))</f>
        <v/>
      </c>
      <c r="L137" s="292" t="str">
        <f>IF('Products x speed'!F51=0,"",('Products x speed'!F201*10^6/('Products x speed'!F51*100)))</f>
        <v/>
      </c>
      <c r="M137" s="292" t="str">
        <f>IF('Products x speed'!G51=0,"",('Products x speed'!G201*10^6/('Products x speed'!G51*100)))</f>
        <v/>
      </c>
      <c r="N137" s="292" t="str">
        <f>IF('Products x speed'!H51=0,"",('Products x speed'!H201*10^6/('Products x speed'!H51*100)))</f>
        <v/>
      </c>
      <c r="O137" s="292" t="str">
        <f>IF('Products x speed'!I51=0,"",('Products x speed'!I201*10^6/('Products x speed'!I51*100)))</f>
        <v/>
      </c>
      <c r="P137" s="292" t="str">
        <f>IF('Products x speed'!J51=0,"",('Products x speed'!J201*10^6/('Products x speed'!J51*100)))</f>
        <v/>
      </c>
      <c r="Q137" s="292" t="str">
        <f>IF('Products x speed'!K51=0,"",('Products x speed'!K201*10^6/('Products x speed'!K51*100)))</f>
        <v/>
      </c>
      <c r="R137" s="290" t="str">
        <f>IF('Products x speed'!L51=0,"",('Products x speed'!L201*10^6/('Products x speed'!L51*100)))</f>
        <v/>
      </c>
      <c r="S137" s="290" t="str">
        <f>IF('Products x speed'!M51=0,"",('Products x speed'!M201*10^6/('Products x speed'!M51*100)))</f>
        <v/>
      </c>
      <c r="T137" s="428" t="str">
        <f>IF('Products x speed'!N51=0,"",('Products x speed'!N201*10^6/('Products x speed'!N51*100)))</f>
        <v/>
      </c>
    </row>
    <row r="138" spans="2:20">
      <c r="B138" s="81" t="str">
        <f>'Products x speed'!B52</f>
        <v>100G LR4</v>
      </c>
      <c r="C138" s="82" t="str">
        <f>'Products x speed'!C52</f>
        <v>10 km</v>
      </c>
      <c r="D138" s="82" t="str">
        <f>'Products x speed'!D52</f>
        <v>CFP</v>
      </c>
      <c r="E138" s="513">
        <v>262.22519083969468</v>
      </c>
      <c r="F138" s="514">
        <v>223.61202964182792</v>
      </c>
      <c r="G138" s="514">
        <v>136.50492489270385</v>
      </c>
      <c r="H138" s="514">
        <v>101.78582887438024</v>
      </c>
      <c r="I138" s="514">
        <v>68.921181122138364</v>
      </c>
      <c r="J138" s="514">
        <v>47.323499987345386</v>
      </c>
      <c r="K138" s="114">
        <f>IF('Products x speed'!E52=0,"",('Products x speed'!E202*10^6/('Products x speed'!E52*100)))</f>
        <v>35.278709620331334</v>
      </c>
      <c r="L138" s="292">
        <f>IF('Products x speed'!F52=0,"",('Products x speed'!F202*10^6/('Products x speed'!F52*100)))</f>
        <v>27.680701132780364</v>
      </c>
      <c r="M138" s="292">
        <f>IF('Products x speed'!G52=0,"",('Products x speed'!G202*10^6/('Products x speed'!G52*100)))</f>
        <v>21.03933055221113</v>
      </c>
      <c r="N138" s="292" t="str">
        <f>IF('Products x speed'!H52=0,"",('Products x speed'!H202*10^6/('Products x speed'!H52*100)))</f>
        <v/>
      </c>
      <c r="O138" s="292" t="str">
        <f>IF('Products x speed'!I52=0,"",('Products x speed'!I202*10^6/('Products x speed'!I52*100)))</f>
        <v/>
      </c>
      <c r="P138" s="292" t="str">
        <f>IF('Products x speed'!J52=0,"",('Products x speed'!J202*10^6/('Products x speed'!J52*100)))</f>
        <v/>
      </c>
      <c r="Q138" s="292" t="str">
        <f>IF('Products x speed'!K52=0,"",('Products x speed'!K202*10^6/('Products x speed'!K52*100)))</f>
        <v/>
      </c>
      <c r="R138" s="290" t="str">
        <f>IF('Products x speed'!L52=0,"",('Products x speed'!L202*10^6/('Products x speed'!L52*100)))</f>
        <v/>
      </c>
      <c r="S138" s="290" t="str">
        <f>IF('Products x speed'!M52=0,"",('Products x speed'!M202*10^6/('Products x speed'!M52*100)))</f>
        <v/>
      </c>
      <c r="T138" s="428" t="str">
        <f>IF('Products x speed'!N52=0,"",('Products x speed'!N202*10^6/('Products x speed'!N52*100)))</f>
        <v/>
      </c>
    </row>
    <row r="139" spans="2:20">
      <c r="B139" s="81" t="str">
        <f>'Products x speed'!B53</f>
        <v>100G LR4</v>
      </c>
      <c r="C139" s="82" t="str">
        <f>'Products x speed'!C53</f>
        <v>10 km</v>
      </c>
      <c r="D139" s="250" t="str">
        <f>'Products x speed'!D53</f>
        <v>CFP2/4</v>
      </c>
      <c r="E139" s="513" t="s">
        <v>96</v>
      </c>
      <c r="F139" s="514" t="s">
        <v>96</v>
      </c>
      <c r="G139" s="514" t="s">
        <v>96</v>
      </c>
      <c r="H139" s="514">
        <v>123.08948069241012</v>
      </c>
      <c r="I139" s="514">
        <v>58.038538159350431</v>
      </c>
      <c r="J139" s="514">
        <v>43.04984187973956</v>
      </c>
      <c r="K139" s="114">
        <f>IF('Products x speed'!E53=0,"",('Products x speed'!E203*10^6/('Products x speed'!E53*100)))</f>
        <v>28.825268681316725</v>
      </c>
      <c r="L139" s="292">
        <f>IF('Products x speed'!F53=0,"",('Products x speed'!F203*10^6/('Products x speed'!F53*100)))</f>
        <v>21.403307221126155</v>
      </c>
      <c r="M139" s="292">
        <f>IF('Products x speed'!G53=0,"",('Products x speed'!G203*10^6/('Products x speed'!G53*100)))</f>
        <v>13.715324877705047</v>
      </c>
      <c r="N139" s="292" t="str">
        <f>IF('Products x speed'!H53=0,"",('Products x speed'!H203*10^6/('Products x speed'!H53*100)))</f>
        <v/>
      </c>
      <c r="O139" s="292" t="str">
        <f>IF('Products x speed'!I53=0,"",('Products x speed'!I203*10^6/('Products x speed'!I53*100)))</f>
        <v/>
      </c>
      <c r="P139" s="292" t="str">
        <f>IF('Products x speed'!J53=0,"",('Products x speed'!J203*10^6/('Products x speed'!J53*100)))</f>
        <v/>
      </c>
      <c r="Q139" s="292" t="str">
        <f>IF('Products x speed'!K53=0,"",('Products x speed'!K203*10^6/('Products x speed'!K53*100)))</f>
        <v/>
      </c>
      <c r="R139" s="290" t="str">
        <f>IF('Products x speed'!L53=0,"",('Products x speed'!L203*10^6/('Products x speed'!L53*100)))</f>
        <v/>
      </c>
      <c r="S139" s="290" t="str">
        <f>IF('Products x speed'!M53=0,"",('Products x speed'!M203*10^6/('Products x speed'!M53*100)))</f>
        <v/>
      </c>
      <c r="T139" s="428" t="str">
        <f>IF('Products x speed'!N53=0,"",('Products x speed'!N203*10^6/('Products x speed'!N53*100)))</f>
        <v/>
      </c>
    </row>
    <row r="140" spans="2:20">
      <c r="B140" s="81" t="str">
        <f>'Products x speed'!B54</f>
        <v>100G LR4 and LR1</v>
      </c>
      <c r="C140" s="82" t="str">
        <f>'Products x speed'!C54</f>
        <v>10 km</v>
      </c>
      <c r="D140" s="82" t="str">
        <f>'Products x speed'!D54</f>
        <v>QSFP28</v>
      </c>
      <c r="E140" s="513" t="s">
        <v>96</v>
      </c>
      <c r="F140" s="514" t="s">
        <v>96</v>
      </c>
      <c r="G140" s="514" t="s">
        <v>96</v>
      </c>
      <c r="H140" s="514" t="s">
        <v>96</v>
      </c>
      <c r="I140" s="514" t="s">
        <v>96</v>
      </c>
      <c r="J140" s="514">
        <v>27.779039760536037</v>
      </c>
      <c r="K140" s="114">
        <f>IF('Products x speed'!E54=0,"",('Products x speed'!E204*10^6/('Products x speed'!E54*100)))</f>
        <v>19.381501024552811</v>
      </c>
      <c r="L140" s="292">
        <f>IF('Products x speed'!F54=0,"",('Products x speed'!F204*10^6/('Products x speed'!F54*100)))</f>
        <v>12</v>
      </c>
      <c r="M140" s="292">
        <f>IF('Products x speed'!G54=0,"",('Products x speed'!G204*10^6/('Products x speed'!G54*100)))</f>
        <v>8.3383281288172864</v>
      </c>
      <c r="N140" s="292" t="str">
        <f>IF('Products x speed'!H54=0,"",('Products x speed'!H204*10^6/('Products x speed'!H54*100)))</f>
        <v/>
      </c>
      <c r="O140" s="292" t="str">
        <f>IF('Products x speed'!I54=0,"",('Products x speed'!I204*10^6/('Products x speed'!I54*100)))</f>
        <v/>
      </c>
      <c r="P140" s="292" t="str">
        <f>IF('Products x speed'!J54=0,"",('Products x speed'!J204*10^6/('Products x speed'!J54*100)))</f>
        <v/>
      </c>
      <c r="Q140" s="292" t="str">
        <f>IF('Products x speed'!K54=0,"",('Products x speed'!K204*10^6/('Products x speed'!K54*100)))</f>
        <v/>
      </c>
      <c r="R140" s="290" t="str">
        <f>IF('Products x speed'!L54=0,"",('Products x speed'!L204*10^6/('Products x speed'!L54*100)))</f>
        <v/>
      </c>
      <c r="S140" s="290" t="str">
        <f>IF('Products x speed'!M54=0,"",('Products x speed'!M204*10^6/('Products x speed'!M54*100)))</f>
        <v/>
      </c>
      <c r="T140" s="428" t="str">
        <f>IF('Products x speed'!N54=0,"",('Products x speed'!N204*10^6/('Products x speed'!N54*100)))</f>
        <v/>
      </c>
    </row>
    <row r="141" spans="2:20">
      <c r="B141" s="81" t="str">
        <f>'Products x speed'!B55</f>
        <v>100G 4WDM10</v>
      </c>
      <c r="C141" s="82" t="str">
        <f>'Products x speed'!C55</f>
        <v>10 km</v>
      </c>
      <c r="D141" s="82" t="str">
        <f>'Products x speed'!D55</f>
        <v>QSFP28</v>
      </c>
      <c r="E141" s="513" t="s">
        <v>96</v>
      </c>
      <c r="F141" s="514" t="s">
        <v>96</v>
      </c>
      <c r="G141" s="514" t="s">
        <v>96</v>
      </c>
      <c r="H141" s="514" t="s">
        <v>96</v>
      </c>
      <c r="I141" s="514" t="s">
        <v>96</v>
      </c>
      <c r="J141" s="514" t="s">
        <v>96</v>
      </c>
      <c r="K141" s="114" t="str">
        <f>IF('Products x speed'!E55=0,"",('Products x speed'!E205*10^6/('Products x speed'!E55*100)))</f>
        <v/>
      </c>
      <c r="L141" s="292">
        <f>IF('Products x speed'!F55=0,"",('Products x speed'!F205*10^6/('Products x speed'!F55*100)))</f>
        <v>5</v>
      </c>
      <c r="M141" s="292">
        <f>IF('Products x speed'!G55=0,"",('Products x speed'!G205*10^6/('Products x speed'!G55*100)))</f>
        <v>3</v>
      </c>
      <c r="N141" s="292" t="str">
        <f>IF('Products x speed'!H55=0,"",('Products x speed'!H205*10^6/('Products x speed'!H55*100)))</f>
        <v/>
      </c>
      <c r="O141" s="292" t="str">
        <f>IF('Products x speed'!I55=0,"",('Products x speed'!I205*10^6/('Products x speed'!I55*100)))</f>
        <v/>
      </c>
      <c r="P141" s="292" t="str">
        <f>IF('Products x speed'!J55=0,"",('Products x speed'!J205*10^6/('Products x speed'!J55*100)))</f>
        <v/>
      </c>
      <c r="Q141" s="292" t="str">
        <f>IF('Products x speed'!K55=0,"",('Products x speed'!K205*10^6/('Products x speed'!K55*100)))</f>
        <v/>
      </c>
      <c r="R141" s="290" t="str">
        <f>IF('Products x speed'!L55=0,"",('Products x speed'!L205*10^6/('Products x speed'!L55*100)))</f>
        <v/>
      </c>
      <c r="S141" s="290" t="str">
        <f>IF('Products x speed'!M55=0,"",('Products x speed'!M205*10^6/('Products x speed'!M55*100)))</f>
        <v/>
      </c>
      <c r="T141" s="428" t="str">
        <f>IF('Products x speed'!N55=0,"",('Products x speed'!N205*10^6/('Products x speed'!N55*100)))</f>
        <v/>
      </c>
    </row>
    <row r="142" spans="2:20">
      <c r="B142" s="81" t="str">
        <f>'Products x speed'!B56</f>
        <v>100G 4WDM20</v>
      </c>
      <c r="C142" s="82" t="str">
        <f>'Products x speed'!C56</f>
        <v>20 km</v>
      </c>
      <c r="D142" s="82" t="str">
        <f>'Products x speed'!D56</f>
        <v>QSFP28</v>
      </c>
      <c r="E142" s="513"/>
      <c r="F142" s="514"/>
      <c r="G142" s="514"/>
      <c r="H142" s="514"/>
      <c r="I142" s="514" t="s">
        <v>96</v>
      </c>
      <c r="J142" s="514" t="s">
        <v>96</v>
      </c>
      <c r="K142" s="114" t="str">
        <f>IF('Products x speed'!E56=0,"",('Products x speed'!E206*10^6/('Products x speed'!E56*100)))</f>
        <v/>
      </c>
      <c r="L142" s="292" t="str">
        <f>IF('Products x speed'!F56=0,"",('Products x speed'!F206*10^6/('Products x speed'!F56*100)))</f>
        <v/>
      </c>
      <c r="M142" s="292" t="str">
        <f>IF('Products x speed'!G56=0,"",('Products x speed'!G206*10^6/('Products x speed'!G56*100)))</f>
        <v/>
      </c>
      <c r="N142" s="292" t="str">
        <f>IF('Products x speed'!H56=0,"",('Products x speed'!H206*10^6/('Products x speed'!H56*100)))</f>
        <v/>
      </c>
      <c r="O142" s="292" t="str">
        <f>IF('Products x speed'!I56=0,"",('Products x speed'!I206*10^6/('Products x speed'!I56*100)))</f>
        <v/>
      </c>
      <c r="P142" s="292" t="str">
        <f>IF('Products x speed'!J56=0,"",('Products x speed'!J206*10^6/('Products x speed'!J56*100)))</f>
        <v/>
      </c>
      <c r="Q142" s="292" t="str">
        <f>IF('Products x speed'!K56=0,"",('Products x speed'!K206*10^6/('Products x speed'!K56*100)))</f>
        <v/>
      </c>
      <c r="R142" s="290" t="str">
        <f>IF('Products x speed'!L56=0,"",('Products x speed'!L206*10^6/('Products x speed'!L56*100)))</f>
        <v/>
      </c>
      <c r="S142" s="290" t="str">
        <f>IF('Products x speed'!M56=0,"",('Products x speed'!M206*10^6/('Products x speed'!M56*100)))</f>
        <v/>
      </c>
      <c r="T142" s="428" t="str">
        <f>IF('Products x speed'!N56=0,"",('Products x speed'!N206*10^6/('Products x speed'!N56*100)))</f>
        <v/>
      </c>
    </row>
    <row r="143" spans="2:20">
      <c r="B143" s="81" t="str">
        <f>'Products x speed'!B57</f>
        <v>100G ER4, ER4-Lite</v>
      </c>
      <c r="C143" s="82" t="str">
        <f>'Products x speed'!C57</f>
        <v>40 km</v>
      </c>
      <c r="D143" s="82" t="str">
        <f>'Products x speed'!D57</f>
        <v>QSFP28</v>
      </c>
      <c r="E143" s="513" t="s">
        <v>96</v>
      </c>
      <c r="F143" s="514" t="s">
        <v>96</v>
      </c>
      <c r="G143" s="514" t="s">
        <v>96</v>
      </c>
      <c r="H143" s="514" t="s">
        <v>96</v>
      </c>
      <c r="I143" s="514" t="s">
        <v>96</v>
      </c>
      <c r="J143" s="514">
        <v>78.003211991434696</v>
      </c>
      <c r="K143" s="114">
        <f>IF('Products x speed'!E57=0,"",('Products x speed'!E207*10^6/('Products x speed'!E57*100)))</f>
        <v>89.923605424008585</v>
      </c>
      <c r="L143" s="292">
        <f>IF('Products x speed'!F57=0,"",('Products x speed'!F207*10^6/('Products x speed'!F57*100)))</f>
        <v>60.429271965581613</v>
      </c>
      <c r="M143" s="292">
        <f>IF('Products x speed'!G57=0,"",('Products x speed'!G207*10^6/('Products x speed'!G57*100)))</f>
        <v>39.638865151935946</v>
      </c>
      <c r="N143" s="292" t="str">
        <f>IF('Products x speed'!H57=0,"",('Products x speed'!H207*10^6/('Products x speed'!H57*100)))</f>
        <v/>
      </c>
      <c r="O143" s="292" t="str">
        <f>IF('Products x speed'!I57=0,"",('Products x speed'!I207*10^6/('Products x speed'!I57*100)))</f>
        <v/>
      </c>
      <c r="P143" s="292" t="str">
        <f>IF('Products x speed'!J57=0,"",('Products x speed'!J207*10^6/('Products x speed'!J57*100)))</f>
        <v/>
      </c>
      <c r="Q143" s="292" t="str">
        <f>IF('Products x speed'!K57=0,"",('Products x speed'!K207*10^6/('Products x speed'!K57*100)))</f>
        <v/>
      </c>
      <c r="R143" s="290" t="str">
        <f>IF('Products x speed'!L57=0,"",('Products x speed'!L207*10^6/('Products x speed'!L57*100)))</f>
        <v/>
      </c>
      <c r="S143" s="290" t="str">
        <f>IF('Products x speed'!M57=0,"",('Products x speed'!M207*10^6/('Products x speed'!M57*100)))</f>
        <v/>
      </c>
      <c r="T143" s="428" t="str">
        <f>IF('Products x speed'!N57=0,"",('Products x speed'!N207*10^6/('Products x speed'!N57*100)))</f>
        <v/>
      </c>
    </row>
    <row r="144" spans="2:20">
      <c r="B144" s="73" t="str">
        <f>'Products x speed'!B58</f>
        <v>200G SR4</v>
      </c>
      <c r="C144" s="74" t="str">
        <f>'Products x speed'!C58</f>
        <v>100 m</v>
      </c>
      <c r="D144" s="75" t="str">
        <f>'Products x speed'!D58</f>
        <v>QSFP56</v>
      </c>
      <c r="E144" s="512" t="s">
        <v>96</v>
      </c>
      <c r="F144" s="512" t="s">
        <v>96</v>
      </c>
      <c r="G144" s="512" t="s">
        <v>96</v>
      </c>
      <c r="H144" s="512" t="s">
        <v>96</v>
      </c>
      <c r="I144" s="512" t="s">
        <v>96</v>
      </c>
      <c r="J144" s="512" t="s">
        <v>96</v>
      </c>
      <c r="K144" s="281" t="str">
        <f>IF('Products x speed'!E58=0,"",('Products x speed'!E208*10^6/('Products x speed'!E58*200)))</f>
        <v/>
      </c>
      <c r="L144" s="300" t="str">
        <f>IF('Products x speed'!F58=0,"",('Products x speed'!F208*10^6/('Products x speed'!F58*200)))</f>
        <v/>
      </c>
      <c r="M144" s="300">
        <f>IF('Products x speed'!G58=0,"",('Products x speed'!G208*10^6/('Products x speed'!G58*200)))</f>
        <v>3.5</v>
      </c>
      <c r="N144" s="300" t="str">
        <f>IF('Products x speed'!H58=0,"",('Products x speed'!H208*10^6/('Products x speed'!H58*200)))</f>
        <v/>
      </c>
      <c r="O144" s="300" t="str">
        <f>IF('Products x speed'!I58=0,"",('Products x speed'!I208*10^6/('Products x speed'!I58*200)))</f>
        <v/>
      </c>
      <c r="P144" s="300" t="str">
        <f>IF('Products x speed'!J58=0,"",('Products x speed'!J208*10^6/('Products x speed'!J58*200)))</f>
        <v/>
      </c>
      <c r="Q144" s="300" t="str">
        <f>IF('Products x speed'!K58=0,"",('Products x speed'!K208*10^6/('Products x speed'!K58*200)))</f>
        <v/>
      </c>
      <c r="R144" s="300" t="str">
        <f>IF('Products x speed'!L58=0,"",('Products x speed'!L208*10^6/('Products x speed'!L58*200)))</f>
        <v/>
      </c>
      <c r="S144" s="300" t="str">
        <f>IF('Products x speed'!M58=0,"",('Products x speed'!M208*10^6/('Products x speed'!M58*200)))</f>
        <v/>
      </c>
      <c r="T144" s="436" t="str">
        <f>IF('Products x speed'!N58=0,"",('Products x speed'!N208*10^6/('Products x speed'!N58*200)))</f>
        <v/>
      </c>
    </row>
    <row r="145" spans="2:20">
      <c r="B145" s="81" t="str">
        <f>'Products x speed'!B59</f>
        <v>2x200 (400G-SR8)</v>
      </c>
      <c r="C145" s="82" t="str">
        <f>'Products x speed'!C59</f>
        <v>100 m</v>
      </c>
      <c r="D145" s="83" t="str">
        <f>'Products x speed'!D59</f>
        <v>OSFP, QSFP-DD</v>
      </c>
      <c r="E145" s="514" t="s">
        <v>96</v>
      </c>
      <c r="F145" s="514" t="s">
        <v>96</v>
      </c>
      <c r="G145" s="514" t="s">
        <v>96</v>
      </c>
      <c r="H145" s="514" t="s">
        <v>96</v>
      </c>
      <c r="I145" s="514" t="s">
        <v>96</v>
      </c>
      <c r="J145" s="514" t="s">
        <v>96</v>
      </c>
      <c r="K145" s="289" t="str">
        <f>IF('Products x speed'!E59=0,"",('Products x speed'!E209*10^6/('Products x speed'!E59*200)))</f>
        <v/>
      </c>
      <c r="L145" s="290" t="str">
        <f>IF('Products x speed'!F59=0,"",('Products x speed'!F209*10^6/('Products x speed'!F59*200)))</f>
        <v/>
      </c>
      <c r="M145" s="290">
        <f>IF('Products x speed'!G59=0,"",('Products x speed'!G209*10^6/('Products x speed'!G59*400)))</f>
        <v>1.61</v>
      </c>
      <c r="N145" s="290" t="str">
        <f>IF('Products x speed'!H59=0,"",('Products x speed'!H209*10^6/('Products x speed'!H59*400)))</f>
        <v/>
      </c>
      <c r="O145" s="290" t="str">
        <f>IF('Products x speed'!I59=0,"",('Products x speed'!I209*10^6/('Products x speed'!I59*400)))</f>
        <v/>
      </c>
      <c r="P145" s="290" t="str">
        <f>IF('Products x speed'!J59=0,"",('Products x speed'!J209*10^6/('Products x speed'!J59*400)))</f>
        <v/>
      </c>
      <c r="Q145" s="290" t="str">
        <f>IF('Products x speed'!K59=0,"",('Products x speed'!K209*10^6/('Products x speed'!K59*400)))</f>
        <v/>
      </c>
      <c r="R145" s="290" t="str">
        <f>IF('Products x speed'!L59=0,"",('Products x speed'!L209*10^6/('Products x speed'!L59*400)))</f>
        <v/>
      </c>
      <c r="S145" s="290" t="str">
        <f>IF('Products x speed'!M59=0,"",('Products x speed'!M209*10^6/('Products x speed'!M59*400)))</f>
        <v/>
      </c>
      <c r="T145" s="290" t="str">
        <f>IF('Products x speed'!N59=0,"",('Products x speed'!N209*10^6/('Products x speed'!N59*400)))</f>
        <v/>
      </c>
    </row>
    <row r="146" spans="2:20">
      <c r="B146" s="81" t="str">
        <f>'Products x speed'!B60</f>
        <v>200G FR4</v>
      </c>
      <c r="C146" s="82" t="str">
        <f>'Products x speed'!C60</f>
        <v>2 km</v>
      </c>
      <c r="D146" s="83" t="str">
        <f>'Products x speed'!D60</f>
        <v>QSFP56</v>
      </c>
      <c r="E146" s="514"/>
      <c r="F146" s="514"/>
      <c r="G146" s="514"/>
      <c r="H146" s="514"/>
      <c r="I146" s="514"/>
      <c r="J146" s="514"/>
      <c r="K146" s="289"/>
      <c r="L146" s="290" t="str">
        <f>IF('Products x speed'!F60=0,"",('Products x speed'!F210*10^6/('Products x speed'!F60*200)))</f>
        <v/>
      </c>
      <c r="M146" s="290">
        <f>IF('Products x speed'!G60=0,"",('Products x speed'!G210*10^6/('Products x speed'!G60*200)))</f>
        <v>7.5</v>
      </c>
      <c r="N146" s="290" t="str">
        <f>IF('Products x speed'!H60=0,"",('Products x speed'!H210*10^6/('Products x speed'!H60*200)))</f>
        <v/>
      </c>
      <c r="O146" s="290" t="str">
        <f>IF('Products x speed'!I60=0,"",('Products x speed'!I210*10^6/('Products x speed'!I60*200)))</f>
        <v/>
      </c>
      <c r="P146" s="290" t="str">
        <f>IF('Products x speed'!J60=0,"",('Products x speed'!J210*10^6/('Products x speed'!J60*200)))</f>
        <v/>
      </c>
      <c r="Q146" s="290" t="str">
        <f>IF('Products x speed'!K60=0,"",('Products x speed'!K210*10^6/('Products x speed'!K60*200)))</f>
        <v/>
      </c>
      <c r="R146" s="290" t="str">
        <f>IF('Products x speed'!L60=0,"",('Products x speed'!L210*10^6/('Products x speed'!L60*200)))</f>
        <v/>
      </c>
      <c r="S146" s="290" t="str">
        <f>IF('Products x speed'!M60=0,"",('Products x speed'!M210*10^6/('Products x speed'!M60*200)))</f>
        <v/>
      </c>
      <c r="T146" s="428" t="str">
        <f>IF('Products x speed'!N60=0,"",('Products x speed'!N210*10^6/('Products x speed'!N60*200)))</f>
        <v/>
      </c>
    </row>
    <row r="147" spans="2:20">
      <c r="B147" s="77" t="str">
        <f>'Products x speed'!B61</f>
        <v>2x(200G FR4)</v>
      </c>
      <c r="C147" s="78" t="str">
        <f>'Products x speed'!C61</f>
        <v>2 km</v>
      </c>
      <c r="D147" s="79" t="str">
        <f>'Products x speed'!D61</f>
        <v>OSFP</v>
      </c>
      <c r="E147" s="516" t="s">
        <v>96</v>
      </c>
      <c r="F147" s="516" t="s">
        <v>96</v>
      </c>
      <c r="G147" s="516" t="s">
        <v>96</v>
      </c>
      <c r="H147" s="516" t="s">
        <v>96</v>
      </c>
      <c r="I147" s="516" t="s">
        <v>96</v>
      </c>
      <c r="J147" s="516" t="s">
        <v>96</v>
      </c>
      <c r="K147" s="282" t="str">
        <f>IF('Products x speed'!E61=0,"",('Products x speed'!E211*10^6/('Products x speed'!E61*200)))</f>
        <v/>
      </c>
      <c r="L147" s="301" t="str">
        <f>IF('Products x speed'!F61=0,"",('Products x speed'!F211*10^6/('Products x speed'!F61*200)))</f>
        <v/>
      </c>
      <c r="M147" s="301">
        <f>IF('Products x speed'!G61=0,"",('Products x speed'!G211*10^6/('Products x speed'!G61*400)))</f>
        <v>4.625</v>
      </c>
      <c r="N147" s="301" t="str">
        <f>IF('Products x speed'!H61=0,"",('Products x speed'!H211*10^6/('Products x speed'!H61*400)))</f>
        <v/>
      </c>
      <c r="O147" s="301" t="str">
        <f>IF('Products x speed'!I61=0,"",('Products x speed'!I211*10^6/('Products x speed'!I61*400)))</f>
        <v/>
      </c>
      <c r="P147" s="301" t="str">
        <f>IF('Products x speed'!J61=0,"",('Products x speed'!J211*10^6/('Products x speed'!J61*400)))</f>
        <v/>
      </c>
      <c r="Q147" s="301" t="str">
        <f>IF('Products x speed'!K61=0,"",('Products x speed'!K211*10^6/('Products x speed'!K61*400)))</f>
        <v/>
      </c>
      <c r="R147" s="301" t="str">
        <f>IF('Products x speed'!L61=0,"",('Products x speed'!L211*10^6/('Products x speed'!L61*400)))</f>
        <v/>
      </c>
      <c r="S147" s="301" t="str">
        <f>IF('Products x speed'!M61=0,"",('Products x speed'!M211*10^6/('Products x speed'!M61*400)))</f>
        <v/>
      </c>
      <c r="T147" s="301" t="str">
        <f>IF('Products x speed'!N61=0,"",('Products x speed'!N211*10^6/('Products x speed'!N61*400)))</f>
        <v/>
      </c>
    </row>
    <row r="148" spans="2:20">
      <c r="B148" s="73" t="str">
        <f>'Products x speed'!B62</f>
        <v>400G SR4.2, SR4</v>
      </c>
      <c r="C148" s="74" t="str">
        <f>'Products x speed'!C62</f>
        <v>100 m</v>
      </c>
      <c r="D148" s="75" t="str">
        <f>'Products x speed'!D62</f>
        <v>OSFP, QSFP-DD, QSFP112</v>
      </c>
      <c r="E148" s="513" t="s">
        <v>96</v>
      </c>
      <c r="F148" s="514" t="s">
        <v>96</v>
      </c>
      <c r="G148" s="514" t="s">
        <v>96</v>
      </c>
      <c r="H148" s="514" t="s">
        <v>96</v>
      </c>
      <c r="I148" s="514" t="s">
        <v>96</v>
      </c>
      <c r="J148" s="514" t="s">
        <v>96</v>
      </c>
      <c r="K148" s="289" t="str">
        <f>IF('Products x speed'!E62=0,"",('Products x speed'!E212*10^6/('Products x speed'!E62*400)))</f>
        <v/>
      </c>
      <c r="L148" s="290" t="str">
        <f>IF('Products x speed'!F62=0,"",('Products x speed'!F212*10^6/('Products x speed'!F62*400)))</f>
        <v/>
      </c>
      <c r="M148" s="290" t="str">
        <f>IF('Products x speed'!G62=0,"",('Products x speed'!G212*10^6/('Products x speed'!G62*400)))</f>
        <v/>
      </c>
      <c r="N148" s="290" t="str">
        <f>IF('Products x speed'!H62=0,"",('Products x speed'!H212*10^6/('Products x speed'!H62*400)))</f>
        <v/>
      </c>
      <c r="O148" s="290" t="str">
        <f>IF('Products x speed'!I62=0,"",('Products x speed'!I212*10^6/('Products x speed'!I62*400)))</f>
        <v/>
      </c>
      <c r="P148" s="290" t="str">
        <f>IF('Products x speed'!J62=0,"",('Products x speed'!J212*10^6/('Products x speed'!J62*400)))</f>
        <v/>
      </c>
      <c r="Q148" s="290" t="str">
        <f>IF('Products x speed'!K62=0,"",('Products x speed'!K212*10^6/('Products x speed'!K62*400)))</f>
        <v/>
      </c>
      <c r="R148" s="290" t="str">
        <f>IF('Products x speed'!L62=0,"",('Products x speed'!L212*10^6/('Products x speed'!L62*400)))</f>
        <v/>
      </c>
      <c r="S148" s="290" t="str">
        <f>IF('Products x speed'!M62=0,"",('Products x speed'!M212*10^6/('Products x speed'!M62*400)))</f>
        <v/>
      </c>
      <c r="T148" s="428" t="str">
        <f>IF('Products x speed'!N62=0,"",('Products x speed'!N212*10^6/('Products x speed'!N62*400)))</f>
        <v/>
      </c>
    </row>
    <row r="149" spans="2:20">
      <c r="B149" s="81" t="str">
        <f>'Products x speed'!B63</f>
        <v>400G DR4</v>
      </c>
      <c r="C149" s="82" t="str">
        <f>'Products x speed'!C63</f>
        <v>500 m</v>
      </c>
      <c r="D149" s="83" t="str">
        <f>'Products x speed'!D63</f>
        <v>OSFP, QSFP-DD, QSFP112</v>
      </c>
      <c r="E149" s="513" t="s">
        <v>96</v>
      </c>
      <c r="F149" s="514" t="s">
        <v>96</v>
      </c>
      <c r="G149" s="514" t="s">
        <v>96</v>
      </c>
      <c r="H149" s="514" t="s">
        <v>96</v>
      </c>
      <c r="I149" s="514" t="s">
        <v>96</v>
      </c>
      <c r="J149" s="514" t="s">
        <v>96</v>
      </c>
      <c r="K149" s="289" t="str">
        <f>IF('Products x speed'!E63=0,"",('Products x speed'!E213*10^6/('Products x speed'!E63*400)))</f>
        <v/>
      </c>
      <c r="L149" s="290" t="str">
        <f>IF('Products x speed'!F63=0,"",('Products x speed'!F213*10^6/('Products x speed'!F63*400)))</f>
        <v/>
      </c>
      <c r="M149" s="290">
        <f>IF('Products x speed'!G63=0,"",('Products x speed'!G213*10^6/('Products x speed'!G63*400)))</f>
        <v>2.75</v>
      </c>
      <c r="N149" s="290" t="str">
        <f>IF('Products x speed'!H63=0,"",('Products x speed'!H213*10^6/('Products x speed'!H63*400)))</f>
        <v/>
      </c>
      <c r="O149" s="290" t="str">
        <f>IF('Products x speed'!I63=0,"",('Products x speed'!I213*10^6/('Products x speed'!I63*400)))</f>
        <v/>
      </c>
      <c r="P149" s="290" t="str">
        <f>IF('Products x speed'!J63=0,"",('Products x speed'!J213*10^6/('Products x speed'!J63*400)))</f>
        <v/>
      </c>
      <c r="Q149" s="290" t="str">
        <f>IF('Products x speed'!K63=0,"",('Products x speed'!K213*10^6/('Products x speed'!K63*400)))</f>
        <v/>
      </c>
      <c r="R149" s="290" t="str">
        <f>IF('Products x speed'!L63=0,"",('Products x speed'!L213*10^6/('Products x speed'!L63*400)))</f>
        <v/>
      </c>
      <c r="S149" s="290" t="str">
        <f>IF('Products x speed'!M63=0,"",('Products x speed'!M213*10^6/('Products x speed'!M63*400)))</f>
        <v/>
      </c>
      <c r="T149" s="428" t="str">
        <f>IF('Products x speed'!N63=0,"",('Products x speed'!N213*10^6/('Products x speed'!N63*400)))</f>
        <v/>
      </c>
    </row>
    <row r="150" spans="2:20">
      <c r="B150" s="81" t="str">
        <f>'Products x speed'!B64</f>
        <v>400G FR4</v>
      </c>
      <c r="C150" s="82" t="str">
        <f>'Products x speed'!C64</f>
        <v>2 km</v>
      </c>
      <c r="D150" s="83" t="str">
        <f>'Products x speed'!D64</f>
        <v>OSFP, QSFP-DD, QSFP112</v>
      </c>
      <c r="E150" s="513"/>
      <c r="F150" s="514"/>
      <c r="G150" s="514"/>
      <c r="H150" s="514"/>
      <c r="I150" s="514"/>
      <c r="J150" s="514"/>
      <c r="K150" s="289"/>
      <c r="L150" s="290"/>
      <c r="M150" s="290">
        <f>IF('Products x speed'!G64=0,"",('Products x speed'!G214*10^6/('Products x speed'!G64*400)))</f>
        <v>5</v>
      </c>
      <c r="N150" s="290" t="str">
        <f>IF('Products x speed'!H64=0,"",('Products x speed'!H214*10^6/('Products x speed'!H64*400)))</f>
        <v/>
      </c>
      <c r="O150" s="290" t="str">
        <f>IF('Products x speed'!I64=0,"",('Products x speed'!I214*10^6/('Products x speed'!I64*400)))</f>
        <v/>
      </c>
      <c r="P150" s="290" t="str">
        <f>IF('Products x speed'!J64=0,"",('Products x speed'!J214*10^6/('Products x speed'!J64*400)))</f>
        <v/>
      </c>
      <c r="Q150" s="290" t="str">
        <f>IF('Products x speed'!K64=0,"",('Products x speed'!K214*10^6/('Products x speed'!K64*400)))</f>
        <v/>
      </c>
      <c r="R150" s="290" t="str">
        <f>IF('Products x speed'!L64=0,"",('Products x speed'!L214*10^6/('Products x speed'!L64*400)))</f>
        <v/>
      </c>
      <c r="S150" s="290" t="str">
        <f>IF('Products x speed'!M64=0,"",('Products x speed'!M214*10^6/('Products x speed'!M64*400)))</f>
        <v/>
      </c>
      <c r="T150" s="428" t="str">
        <f>IF('Products x speed'!N64=0,"",('Products x speed'!N214*10^6/('Products x speed'!N64*400)))</f>
        <v/>
      </c>
    </row>
    <row r="151" spans="2:20">
      <c r="B151" s="81" t="str">
        <f>'Products x speed'!B65</f>
        <v>400G LR4, LR8</v>
      </c>
      <c r="C151" s="82" t="str">
        <f>'Products x speed'!C65</f>
        <v>10 km</v>
      </c>
      <c r="D151" s="83" t="str">
        <f>'Products x speed'!D65</f>
        <v>OSFP, QSFP-DD, QSFP112</v>
      </c>
      <c r="E151" s="515" t="s">
        <v>96</v>
      </c>
      <c r="F151" s="516" t="s">
        <v>96</v>
      </c>
      <c r="G151" s="516" t="s">
        <v>96</v>
      </c>
      <c r="H151" s="516" t="s">
        <v>96</v>
      </c>
      <c r="I151" s="516" t="s">
        <v>96</v>
      </c>
      <c r="J151" s="516" t="s">
        <v>96</v>
      </c>
      <c r="K151" s="282" t="str">
        <f>IF('Products x speed'!E65=0,"",('Products x speed'!E215*10^6/('Products x speed'!E65*400)))</f>
        <v/>
      </c>
      <c r="L151" s="301">
        <f>IF('Products x speed'!F65=0,"",('Products x speed'!F215*10^6/('Products x speed'!F65*400)))</f>
        <v>38.628048780487802</v>
      </c>
      <c r="M151" s="301">
        <f>IF('Products x speed'!G65=0,"",('Products x speed'!G215*10^6/('Products x speed'!G65*400)))</f>
        <v>20</v>
      </c>
      <c r="N151" s="301" t="str">
        <f>IF('Products x speed'!H65=0,"",('Products x speed'!H215*10^6/('Products x speed'!H65*400)))</f>
        <v/>
      </c>
      <c r="O151" s="301" t="str">
        <f>IF('Products x speed'!I65=0,"",('Products x speed'!I215*10^6/('Products x speed'!I65*400)))</f>
        <v/>
      </c>
      <c r="P151" s="301" t="str">
        <f>IF('Products x speed'!J65=0,"",('Products x speed'!J215*10^6/('Products x speed'!J65*400)))</f>
        <v/>
      </c>
      <c r="Q151" s="301" t="str">
        <f>IF('Products x speed'!K65=0,"",('Products x speed'!K215*10^6/('Products x speed'!K65*400)))</f>
        <v/>
      </c>
      <c r="R151" s="301" t="str">
        <f>IF('Products x speed'!L65=0,"",('Products x speed'!L215*10^6/('Products x speed'!L65*400)))</f>
        <v/>
      </c>
      <c r="S151" s="301" t="str">
        <f>IF('Products x speed'!M65=0,"",('Products x speed'!M215*10^6/('Products x speed'!M65*400)))</f>
        <v/>
      </c>
      <c r="T151" s="431" t="str">
        <f>IF('Products x speed'!N65=0,"",('Products x speed'!N215*10^6/('Products x speed'!N65*400)))</f>
        <v/>
      </c>
    </row>
    <row r="152" spans="2:20">
      <c r="B152" s="73" t="str">
        <f>'Products x speed'!B66</f>
        <v>800G SR8</v>
      </c>
      <c r="C152" s="74" t="str">
        <f>'Products x speed'!C66</f>
        <v>50 m</v>
      </c>
      <c r="D152" s="75" t="str">
        <f>'Products x speed'!D66</f>
        <v>OSFP, QSFP-DD800</v>
      </c>
      <c r="E152" s="511"/>
      <c r="F152" s="512"/>
      <c r="G152" s="512"/>
      <c r="H152" s="512"/>
      <c r="I152" s="512"/>
      <c r="J152" s="512"/>
      <c r="K152" s="281"/>
      <c r="L152" s="300"/>
      <c r="M152" s="300"/>
      <c r="N152" s="300"/>
      <c r="O152" s="300"/>
      <c r="P152" s="300" t="str">
        <f>IF('Products x speed'!J66=0,"",('Products x speed'!J216*10^6/('Products x speed'!J66*800)))</f>
        <v/>
      </c>
      <c r="Q152" s="300" t="str">
        <f>IF('Products x speed'!K66=0,"",('Products x speed'!K216*10^6/('Products x speed'!K66*800)))</f>
        <v/>
      </c>
      <c r="R152" s="300" t="str">
        <f>IF('Products x speed'!L66=0,"",('Products x speed'!L216*10^6/('Products x speed'!L66*800)))</f>
        <v/>
      </c>
      <c r="S152" s="300" t="str">
        <f>IF('Products x speed'!M66=0,"",('Products x speed'!M216*10^6/('Products x speed'!M66*800)))</f>
        <v/>
      </c>
      <c r="T152" s="436" t="str">
        <f>IF('Products x speed'!N66=0,"",('Products x speed'!N216*10^6/('Products x speed'!N66*800)))</f>
        <v/>
      </c>
    </row>
    <row r="153" spans="2:20">
      <c r="B153" s="81"/>
      <c r="C153" s="82"/>
      <c r="D153" s="83"/>
      <c r="E153" s="513"/>
      <c r="F153" s="514"/>
      <c r="G153" s="514"/>
      <c r="H153" s="514"/>
      <c r="I153" s="514"/>
      <c r="J153" s="514"/>
      <c r="K153" s="289"/>
      <c r="L153" s="290"/>
      <c r="M153" s="290"/>
      <c r="N153" s="290"/>
      <c r="O153" s="290"/>
      <c r="P153" s="290"/>
      <c r="Q153" s="290"/>
      <c r="R153" s="290"/>
      <c r="S153" s="290"/>
      <c r="T153" s="432"/>
    </row>
    <row r="154" spans="2:20">
      <c r="B154" s="81"/>
      <c r="C154" s="82"/>
      <c r="D154" s="83"/>
      <c r="E154" s="513"/>
      <c r="F154" s="514"/>
      <c r="G154" s="514"/>
      <c r="H154" s="514"/>
      <c r="I154" s="514"/>
      <c r="J154" s="514"/>
      <c r="K154" s="289"/>
      <c r="L154" s="290"/>
      <c r="M154" s="290"/>
      <c r="N154" s="290"/>
      <c r="O154" s="290"/>
      <c r="P154" s="290"/>
      <c r="Q154" s="290"/>
      <c r="R154" s="290"/>
      <c r="S154" s="290"/>
      <c r="T154" s="432"/>
    </row>
    <row r="155" spans="2:20">
      <c r="B155" s="77"/>
      <c r="C155" s="78"/>
      <c r="D155" s="79"/>
      <c r="E155" s="515"/>
      <c r="F155" s="516"/>
      <c r="G155" s="516"/>
      <c r="H155" s="516"/>
      <c r="I155" s="516"/>
      <c r="J155" s="516"/>
      <c r="K155" s="282"/>
      <c r="L155" s="301"/>
      <c r="M155" s="301"/>
      <c r="N155" s="301"/>
      <c r="O155" s="301"/>
      <c r="P155" s="301"/>
      <c r="Q155" s="301"/>
      <c r="R155" s="301"/>
      <c r="S155" s="301"/>
      <c r="T155" s="433"/>
    </row>
    <row r="156" spans="2:20">
      <c r="R156" s="286"/>
      <c r="S156" s="286"/>
      <c r="T156" s="286"/>
    </row>
    <row r="157" spans="2:20" ht="14.5">
      <c r="B157" s="160" t="s">
        <v>163</v>
      </c>
      <c r="Q157" s="286"/>
      <c r="R157" s="286"/>
      <c r="S157" s="286"/>
      <c r="T157" s="286"/>
    </row>
    <row r="158" spans="2:20">
      <c r="B158" s="283" t="s">
        <v>34</v>
      </c>
      <c r="C158" s="284" t="s">
        <v>33</v>
      </c>
      <c r="D158" s="284" t="s">
        <v>35</v>
      </c>
      <c r="E158" s="109">
        <v>2010</v>
      </c>
      <c r="F158" s="110">
        <v>2011</v>
      </c>
      <c r="G158" s="110">
        <v>2012</v>
      </c>
      <c r="H158" s="110">
        <v>2013</v>
      </c>
      <c r="I158" s="110">
        <v>2014</v>
      </c>
      <c r="J158" s="110">
        <v>2015</v>
      </c>
      <c r="K158" s="110">
        <v>2016</v>
      </c>
      <c r="L158" s="110">
        <v>2017</v>
      </c>
      <c r="M158" s="110">
        <v>2018</v>
      </c>
      <c r="N158" s="110">
        <v>2019</v>
      </c>
      <c r="O158" s="110">
        <v>2020</v>
      </c>
      <c r="P158" s="110">
        <v>2021</v>
      </c>
      <c r="Q158" s="110">
        <v>2022</v>
      </c>
      <c r="R158" s="110">
        <v>2023</v>
      </c>
      <c r="S158" s="110">
        <v>2024</v>
      </c>
      <c r="T158" s="111">
        <v>2025</v>
      </c>
    </row>
    <row r="159" spans="2:20">
      <c r="B159" s="73" t="s">
        <v>50</v>
      </c>
      <c r="C159" s="74" t="s">
        <v>49</v>
      </c>
      <c r="D159" s="75" t="s">
        <v>51</v>
      </c>
      <c r="E159" s="289">
        <v>274.06249367438778</v>
      </c>
      <c r="F159" s="289">
        <v>239.45512444253498</v>
      </c>
      <c r="G159" s="289">
        <v>222.69357921658363</v>
      </c>
      <c r="H159" s="289">
        <v>172.65303564324924</v>
      </c>
      <c r="I159" s="289">
        <v>177.73233103197674</v>
      </c>
      <c r="J159" s="289">
        <v>194.94455650737342</v>
      </c>
      <c r="K159" s="114">
        <v>0</v>
      </c>
      <c r="L159" s="114" t="s">
        <v>96</v>
      </c>
      <c r="M159" s="114" t="s">
        <v>96</v>
      </c>
      <c r="N159" s="114" t="s">
        <v>96</v>
      </c>
      <c r="O159" s="114" t="s">
        <v>96</v>
      </c>
      <c r="P159" s="114" t="s">
        <v>96</v>
      </c>
      <c r="Q159" s="289" t="s">
        <v>96</v>
      </c>
      <c r="R159" s="289" t="s">
        <v>96</v>
      </c>
      <c r="S159" s="289" t="s">
        <v>96</v>
      </c>
      <c r="T159" s="289" t="s">
        <v>96</v>
      </c>
    </row>
    <row r="160" spans="2:20">
      <c r="B160" s="77" t="s">
        <v>50</v>
      </c>
      <c r="C160" s="78" t="s">
        <v>56</v>
      </c>
      <c r="D160" s="79" t="s">
        <v>51</v>
      </c>
      <c r="E160" s="282">
        <v>408.18962355062325</v>
      </c>
      <c r="F160" s="282">
        <v>250</v>
      </c>
      <c r="G160" s="282">
        <v>257.22320966907961</v>
      </c>
      <c r="H160" s="282">
        <v>279.86098194911409</v>
      </c>
      <c r="I160" s="282">
        <v>236.30748112560056</v>
      </c>
      <c r="J160" s="282">
        <v>166.47058823529412</v>
      </c>
      <c r="K160" s="116" t="s">
        <v>96</v>
      </c>
      <c r="L160" s="116" t="s">
        <v>96</v>
      </c>
      <c r="M160" s="116" t="s">
        <v>96</v>
      </c>
      <c r="N160" s="116" t="s">
        <v>96</v>
      </c>
      <c r="O160" s="116" t="s">
        <v>96</v>
      </c>
      <c r="P160" s="116" t="s">
        <v>96</v>
      </c>
      <c r="Q160" s="282" t="s">
        <v>96</v>
      </c>
      <c r="R160" s="282" t="s">
        <v>96</v>
      </c>
      <c r="S160" s="282" t="s">
        <v>96</v>
      </c>
      <c r="T160" s="282" t="s">
        <v>96</v>
      </c>
    </row>
    <row r="161" spans="2:20">
      <c r="B161" s="73" t="s">
        <v>61</v>
      </c>
      <c r="C161" s="74" t="s">
        <v>46</v>
      </c>
      <c r="D161" s="75" t="s">
        <v>47</v>
      </c>
      <c r="E161" s="244">
        <v>18.206652850742383</v>
      </c>
      <c r="F161" s="244">
        <v>17.526901331276267</v>
      </c>
      <c r="G161" s="244">
        <v>17.095853477680556</v>
      </c>
      <c r="H161" s="244">
        <v>17.769954721744874</v>
      </c>
      <c r="I161" s="244">
        <v>18.264693750467032</v>
      </c>
      <c r="J161" s="244">
        <v>16.71487059956247</v>
      </c>
      <c r="K161" s="145" t="s">
        <v>96</v>
      </c>
      <c r="L161" s="145" t="s">
        <v>96</v>
      </c>
      <c r="M161" s="145" t="s">
        <v>96</v>
      </c>
      <c r="N161" s="145" t="s">
        <v>96</v>
      </c>
      <c r="O161" s="145" t="s">
        <v>96</v>
      </c>
      <c r="P161" s="145" t="s">
        <v>96</v>
      </c>
      <c r="Q161" s="244" t="s">
        <v>96</v>
      </c>
      <c r="R161" s="244" t="s">
        <v>96</v>
      </c>
      <c r="S161" s="244" t="s">
        <v>96</v>
      </c>
      <c r="T161" s="244" t="s">
        <v>96</v>
      </c>
    </row>
    <row r="162" spans="2:20">
      <c r="B162" s="81" t="s">
        <v>61</v>
      </c>
      <c r="C162" s="85" t="s">
        <v>46</v>
      </c>
      <c r="D162" s="83" t="s">
        <v>41</v>
      </c>
      <c r="E162" s="244">
        <v>11.099633018262569</v>
      </c>
      <c r="F162" s="244">
        <v>11.035062575041373</v>
      </c>
      <c r="G162" s="244">
        <v>20.216612225851609</v>
      </c>
      <c r="H162" s="244">
        <v>21.197803054670214</v>
      </c>
      <c r="I162" s="244">
        <v>23.496655215906642</v>
      </c>
      <c r="J162" s="244">
        <v>24.291288695439938</v>
      </c>
      <c r="K162" s="145"/>
      <c r="L162" s="145"/>
      <c r="M162" s="145"/>
      <c r="N162" s="145"/>
      <c r="O162" s="145"/>
      <c r="P162" s="145"/>
      <c r="Q162" s="244"/>
      <c r="R162" s="244"/>
      <c r="S162" s="244"/>
      <c r="T162" s="244"/>
    </row>
    <row r="163" spans="2:20">
      <c r="B163" s="81" t="s">
        <v>61</v>
      </c>
      <c r="C163" s="82" t="s">
        <v>52</v>
      </c>
      <c r="D163" s="83" t="s">
        <v>47</v>
      </c>
      <c r="E163" s="244">
        <v>23.39814100647137</v>
      </c>
      <c r="F163" s="244">
        <v>25.292353605697045</v>
      </c>
      <c r="G163" s="244">
        <v>22.283888496308389</v>
      </c>
      <c r="H163" s="244"/>
      <c r="I163" s="244" t="s">
        <v>96</v>
      </c>
      <c r="J163" s="244" t="s">
        <v>96</v>
      </c>
      <c r="K163" s="145"/>
      <c r="L163" s="145"/>
      <c r="M163" s="145"/>
      <c r="N163" s="145"/>
      <c r="O163" s="145"/>
      <c r="P163" s="145"/>
      <c r="Q163" s="244"/>
      <c r="R163" s="244"/>
      <c r="S163" s="244"/>
      <c r="T163" s="244"/>
    </row>
    <row r="164" spans="2:20">
      <c r="B164" s="81" t="s">
        <v>61</v>
      </c>
      <c r="C164" s="82" t="s">
        <v>52</v>
      </c>
      <c r="D164" s="83" t="s">
        <v>53</v>
      </c>
      <c r="E164" s="244">
        <v>29.754221056484081</v>
      </c>
      <c r="F164" s="244">
        <v>29.532924515815946</v>
      </c>
      <c r="G164" s="244">
        <v>27.117140188120089</v>
      </c>
      <c r="H164" s="244">
        <v>25.445438495566442</v>
      </c>
      <c r="I164" s="244">
        <v>28.570454668617568</v>
      </c>
      <c r="J164" s="244">
        <v>64.697302697302732</v>
      </c>
      <c r="K164" s="145"/>
      <c r="L164" s="145"/>
      <c r="M164" s="145"/>
      <c r="N164" s="145"/>
      <c r="O164" s="145"/>
      <c r="P164" s="145"/>
      <c r="Q164" s="244"/>
      <c r="R164" s="244"/>
      <c r="S164" s="244"/>
      <c r="T164" s="244"/>
    </row>
    <row r="165" spans="2:20">
      <c r="B165" s="81" t="s">
        <v>61</v>
      </c>
      <c r="C165" s="82" t="s">
        <v>57</v>
      </c>
      <c r="D165" s="83" t="s">
        <v>41</v>
      </c>
      <c r="E165" s="244">
        <v>76.717999203464927</v>
      </c>
      <c r="F165" s="244">
        <v>59.143771385122292</v>
      </c>
      <c r="G165" s="244">
        <v>39.079348493141595</v>
      </c>
      <c r="H165" s="244"/>
      <c r="I165" s="244" t="s">
        <v>96</v>
      </c>
      <c r="J165" s="244" t="s">
        <v>96</v>
      </c>
      <c r="K165" s="145"/>
      <c r="L165" s="145"/>
      <c r="M165" s="145"/>
      <c r="N165" s="145"/>
      <c r="O165" s="145"/>
      <c r="P165" s="145"/>
      <c r="Q165" s="244"/>
      <c r="R165" s="244"/>
      <c r="S165" s="244"/>
      <c r="T165" s="244"/>
    </row>
    <row r="166" spans="2:20">
      <c r="B166" s="77" t="s">
        <v>61</v>
      </c>
      <c r="C166" s="78" t="s">
        <v>59</v>
      </c>
      <c r="D166" s="79" t="s">
        <v>41</v>
      </c>
      <c r="E166" s="287">
        <v>143.88166575041231</v>
      </c>
      <c r="F166" s="282">
        <v>143.84128914563698</v>
      </c>
      <c r="G166" s="282">
        <v>139.18409466153</v>
      </c>
      <c r="H166" s="282"/>
      <c r="I166" s="282" t="s">
        <v>96</v>
      </c>
      <c r="J166" s="282" t="s">
        <v>96</v>
      </c>
      <c r="K166" s="116"/>
      <c r="L166" s="116"/>
      <c r="M166" s="116"/>
      <c r="N166" s="116"/>
      <c r="O166" s="116"/>
      <c r="P166" s="116"/>
      <c r="Q166" s="282"/>
      <c r="R166" s="282"/>
      <c r="S166" s="282"/>
      <c r="T166" s="282"/>
    </row>
    <row r="167" spans="2:20">
      <c r="B167" s="73" t="s">
        <v>62</v>
      </c>
      <c r="C167" s="74" t="s">
        <v>36</v>
      </c>
      <c r="D167" s="75" t="s">
        <v>37</v>
      </c>
      <c r="E167" s="244">
        <v>21.681017994211651</v>
      </c>
      <c r="F167" s="244">
        <v>16.06518077383889</v>
      </c>
      <c r="G167" s="244">
        <v>16.098718300474268</v>
      </c>
      <c r="H167" s="244"/>
      <c r="I167" s="244" t="s">
        <v>96</v>
      </c>
      <c r="J167" s="244" t="s">
        <v>96</v>
      </c>
      <c r="K167" s="145"/>
      <c r="L167" s="145"/>
      <c r="M167" s="145"/>
      <c r="N167" s="145"/>
      <c r="O167" s="145"/>
      <c r="P167" s="145"/>
      <c r="Q167" s="244"/>
      <c r="R167" s="244"/>
      <c r="S167" s="244"/>
      <c r="T167" s="244"/>
    </row>
    <row r="168" spans="2:20">
      <c r="B168" s="81" t="s">
        <v>62</v>
      </c>
      <c r="C168" s="82" t="s">
        <v>43</v>
      </c>
      <c r="D168" s="83" t="s">
        <v>41</v>
      </c>
      <c r="E168" s="244">
        <v>30.463357047118258</v>
      </c>
      <c r="F168" s="244">
        <v>26.457340149118842</v>
      </c>
      <c r="G168" s="244">
        <v>23.477793907905461</v>
      </c>
      <c r="H168" s="244">
        <v>22.490035568296438</v>
      </c>
      <c r="I168" s="244">
        <v>18.806903651668385</v>
      </c>
      <c r="J168" s="244">
        <v>14.197024556372105</v>
      </c>
      <c r="K168" s="145"/>
      <c r="L168" s="145"/>
      <c r="M168" s="145"/>
      <c r="N168" s="145"/>
      <c r="O168" s="145"/>
      <c r="P168" s="145"/>
      <c r="Q168" s="244"/>
      <c r="R168" s="244"/>
      <c r="S168" s="244"/>
      <c r="T168" s="244"/>
    </row>
    <row r="169" spans="2:20">
      <c r="B169" s="81" t="s">
        <v>62</v>
      </c>
      <c r="C169" s="82" t="s">
        <v>52</v>
      </c>
      <c r="D169" s="83" t="s">
        <v>54</v>
      </c>
      <c r="E169" s="244">
        <v>29.304823525939916</v>
      </c>
      <c r="F169" s="244">
        <v>25.929656648826676</v>
      </c>
      <c r="G169" s="244">
        <v>23.088225324217781</v>
      </c>
      <c r="H169" s="244">
        <v>17.641950034698127</v>
      </c>
      <c r="I169" s="244">
        <v>16.034090123883324</v>
      </c>
      <c r="J169" s="244">
        <v>15.763719512195134</v>
      </c>
      <c r="K169" s="145"/>
      <c r="L169" s="145"/>
      <c r="M169" s="145"/>
      <c r="N169" s="145"/>
      <c r="O169" s="145"/>
      <c r="P169" s="145"/>
      <c r="Q169" s="244"/>
      <c r="R169" s="244"/>
      <c r="S169" s="244"/>
      <c r="T169" s="244"/>
    </row>
    <row r="170" spans="2:20">
      <c r="B170" s="77" t="s">
        <v>62</v>
      </c>
      <c r="C170" s="78" t="s">
        <v>57</v>
      </c>
      <c r="D170" s="79" t="s">
        <v>38</v>
      </c>
      <c r="E170" s="282">
        <v>73.993303417328278</v>
      </c>
      <c r="F170" s="282">
        <v>94.311510598336469</v>
      </c>
      <c r="G170" s="282">
        <v>84.690790562913918</v>
      </c>
      <c r="H170" s="282"/>
      <c r="I170" s="282" t="s">
        <v>96</v>
      </c>
      <c r="J170" s="282" t="s">
        <v>96</v>
      </c>
      <c r="K170" s="116"/>
      <c r="L170" s="116"/>
      <c r="M170" s="116"/>
      <c r="N170" s="116"/>
      <c r="O170" s="116"/>
      <c r="P170" s="116"/>
      <c r="Q170" s="282"/>
      <c r="R170" s="282"/>
      <c r="S170" s="282"/>
      <c r="T170" s="282"/>
    </row>
  </sheetData>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W99"/>
  <sheetViews>
    <sheetView showGridLines="0" zoomScale="70" zoomScaleNormal="70" workbookViewId="0">
      <selection activeCell="Q78" sqref="Q78"/>
    </sheetView>
  </sheetViews>
  <sheetFormatPr defaultColWidth="8.453125" defaultRowHeight="13"/>
  <cols>
    <col min="1" max="1" width="4.54296875" style="190" customWidth="1"/>
    <col min="2" max="3" width="8.453125" style="190"/>
    <col min="4" max="5" width="9.1796875" style="190" bestFit="1" customWidth="1"/>
    <col min="6" max="7" width="9.36328125" style="190" bestFit="1" customWidth="1"/>
    <col min="8" max="8" width="10.36328125" style="190" bestFit="1" customWidth="1"/>
    <col min="9" max="11" width="11.453125" style="190" bestFit="1" customWidth="1"/>
    <col min="12" max="12" width="12" style="190" customWidth="1"/>
    <col min="13" max="13" width="10.36328125" style="190" customWidth="1"/>
    <col min="14" max="16384" width="8.453125" style="190"/>
  </cols>
  <sheetData>
    <row r="1" spans="2:23" ht="12.5" customHeight="1"/>
    <row r="2" spans="2:23" ht="20.5" customHeight="1">
      <c r="B2" s="6" t="str">
        <f>Introduction!$B$2</f>
        <v>LightCounting Ethernet Transceivers Forecast</v>
      </c>
      <c r="C2" s="337"/>
      <c r="D2" s="337"/>
      <c r="E2" s="210"/>
      <c r="F2" s="210"/>
      <c r="N2" s="362"/>
      <c r="R2" s="190" t="s">
        <v>14</v>
      </c>
      <c r="V2" s="10"/>
      <c r="W2" s="10"/>
    </row>
    <row r="3" spans="2:23" ht="15.5">
      <c r="B3" s="40" t="str">
        <f>Introduction!B3</f>
        <v>September 2020 - sample -- for illustrative purposes only</v>
      </c>
      <c r="C3" s="210"/>
      <c r="D3" s="210"/>
      <c r="E3" s="210"/>
      <c r="F3" s="210"/>
    </row>
    <row r="4" spans="2:23" ht="18.5">
      <c r="B4" s="6" t="s">
        <v>198</v>
      </c>
      <c r="C4" s="337"/>
      <c r="D4" s="337"/>
      <c r="E4" s="210"/>
      <c r="F4" s="210"/>
    </row>
    <row r="6" spans="2:23">
      <c r="B6" s="68" t="s">
        <v>199</v>
      </c>
    </row>
    <row r="8" spans="2:23">
      <c r="B8" s="68" t="s">
        <v>420</v>
      </c>
      <c r="I8" s="158"/>
      <c r="L8" s="68" t="s">
        <v>421</v>
      </c>
      <c r="R8" s="158"/>
      <c r="S8" s="158"/>
    </row>
    <row r="28" spans="2:18">
      <c r="B28" s="68" t="s">
        <v>365</v>
      </c>
      <c r="H28" s="158"/>
      <c r="L28" s="68" t="s">
        <v>366</v>
      </c>
      <c r="R28" s="158" t="s">
        <v>437</v>
      </c>
    </row>
    <row r="49" spans="2:14">
      <c r="B49" s="246"/>
      <c r="C49" s="191"/>
      <c r="D49" s="191"/>
      <c r="E49" s="191"/>
      <c r="F49" s="191"/>
      <c r="G49" s="191"/>
      <c r="H49" s="191"/>
      <c r="I49" s="191"/>
      <c r="J49" s="191"/>
      <c r="K49" s="191"/>
      <c r="L49" s="191"/>
      <c r="M49" s="191"/>
      <c r="N49" s="191"/>
    </row>
    <row r="50" spans="2:14" ht="15.5">
      <c r="B50" s="155" t="s">
        <v>436</v>
      </c>
    </row>
    <row r="70" spans="2:13">
      <c r="B70" s="215"/>
      <c r="C70" s="215"/>
      <c r="D70" s="215">
        <v>2016</v>
      </c>
      <c r="E70" s="215">
        <v>2017</v>
      </c>
      <c r="F70" s="215">
        <v>2018</v>
      </c>
      <c r="G70" s="215">
        <v>2019</v>
      </c>
      <c r="H70" s="215">
        <v>2020</v>
      </c>
      <c r="I70" s="215">
        <v>2021</v>
      </c>
      <c r="J70" s="215">
        <v>2022</v>
      </c>
      <c r="K70" s="215">
        <v>2023</v>
      </c>
      <c r="L70" s="215">
        <v>2024</v>
      </c>
      <c r="M70" s="215">
        <v>2025</v>
      </c>
    </row>
    <row r="71" spans="2:13">
      <c r="B71" s="190" t="s">
        <v>284</v>
      </c>
      <c r="D71" s="197">
        <f>'Products x speed'!E58+'Products x speed'!E60</f>
        <v>0</v>
      </c>
      <c r="E71" s="197">
        <f>'Products x speed'!F58+'Products x speed'!F60</f>
        <v>0</v>
      </c>
      <c r="F71" s="197">
        <f>'Products x speed'!G58+'Products x speed'!G60</f>
        <v>1000</v>
      </c>
      <c r="G71" s="197">
        <f>'Products x speed'!H58+'Products x speed'!H60</f>
        <v>0</v>
      </c>
      <c r="H71" s="197">
        <f>'Products x speed'!I58+'Products x speed'!I60</f>
        <v>0</v>
      </c>
      <c r="I71" s="197">
        <f>'Products x speed'!J58+'Products x speed'!J60</f>
        <v>0</v>
      </c>
      <c r="J71" s="197">
        <f>'Products x speed'!K58+'Products x speed'!K60</f>
        <v>0</v>
      </c>
      <c r="K71" s="197">
        <f>'Products x speed'!L58+'Products x speed'!L60</f>
        <v>0</v>
      </c>
      <c r="L71" s="197">
        <f>'Products x speed'!M58+'Products x speed'!M60</f>
        <v>0</v>
      </c>
      <c r="M71" s="197">
        <f>'Products x speed'!N58+'Products x speed'!N60</f>
        <v>0</v>
      </c>
    </row>
    <row r="72" spans="2:13">
      <c r="B72" s="190" t="s">
        <v>285</v>
      </c>
      <c r="D72" s="197">
        <f>'Products x speed'!E59+'Products x speed'!E61</f>
        <v>0</v>
      </c>
      <c r="E72" s="197">
        <f>'Products x speed'!F59+'Products x speed'!F61</f>
        <v>0</v>
      </c>
      <c r="F72" s="197">
        <f>'Products x speed'!G59+'Products x speed'!G61</f>
        <v>35000</v>
      </c>
      <c r="G72" s="197">
        <f>'Products x speed'!H59+'Products x speed'!H61</f>
        <v>0</v>
      </c>
      <c r="H72" s="197">
        <f>'Products x speed'!I59+'Products x speed'!I61</f>
        <v>0</v>
      </c>
      <c r="I72" s="197">
        <f>'Products x speed'!J59+'Products x speed'!J61</f>
        <v>0</v>
      </c>
      <c r="J72" s="197">
        <f>'Products x speed'!K59+'Products x speed'!K61</f>
        <v>0</v>
      </c>
      <c r="K72" s="197">
        <f>'Products x speed'!L59+'Products x speed'!L61</f>
        <v>0</v>
      </c>
      <c r="L72" s="197">
        <f>'Products x speed'!M59+'Products x speed'!M61</f>
        <v>0</v>
      </c>
      <c r="M72" s="197">
        <f>'Products x speed'!N59+'Products x speed'!N61</f>
        <v>0</v>
      </c>
    </row>
    <row r="73" spans="2:13">
      <c r="B73" s="190" t="s">
        <v>286</v>
      </c>
      <c r="D73" s="197">
        <f>SUM('Products x speed'!E62:E65)</f>
        <v>0</v>
      </c>
      <c r="E73" s="197">
        <f>SUM('Products x speed'!F62:F65)</f>
        <v>89</v>
      </c>
      <c r="F73" s="197">
        <f>SUM('Products x speed'!G62:G65)</f>
        <v>4000</v>
      </c>
      <c r="G73" s="197">
        <f>SUM('Products x speed'!H62:H65)</f>
        <v>0</v>
      </c>
      <c r="H73" s="197">
        <f>SUM('Products x speed'!I62:I65)</f>
        <v>0</v>
      </c>
      <c r="I73" s="197">
        <f>SUM('Products x speed'!J62:J65)</f>
        <v>0</v>
      </c>
      <c r="J73" s="197">
        <f>SUM('Products x speed'!K62:K65)</f>
        <v>0</v>
      </c>
      <c r="K73" s="197">
        <f>SUM('Products x speed'!L62:L65)</f>
        <v>0</v>
      </c>
      <c r="L73" s="197">
        <f>SUM('Products x speed'!M62:M65)</f>
        <v>0</v>
      </c>
      <c r="M73" s="197">
        <f>SUM('Products x speed'!N62:N65)</f>
        <v>0</v>
      </c>
    </row>
    <row r="74" spans="2:13">
      <c r="B74" s="190" t="s">
        <v>435</v>
      </c>
      <c r="H74" s="197">
        <f>Summary!G844</f>
        <v>0</v>
      </c>
      <c r="I74" s="197">
        <f>Summary!H844</f>
        <v>0</v>
      </c>
      <c r="J74" s="197">
        <f>Summary!I844</f>
        <v>0</v>
      </c>
      <c r="K74" s="197">
        <f>Summary!J844</f>
        <v>0</v>
      </c>
      <c r="L74" s="197">
        <f>Summary!K844</f>
        <v>0</v>
      </c>
      <c r="M74" s="197">
        <f>Summary!L844</f>
        <v>0</v>
      </c>
    </row>
    <row r="78" spans="2:13" ht="15.5">
      <c r="B78" s="155" t="s">
        <v>229</v>
      </c>
    </row>
    <row r="95" spans="2:20">
      <c r="B95" s="215"/>
      <c r="C95" s="373" t="s">
        <v>219</v>
      </c>
      <c r="D95" s="373" t="s">
        <v>220</v>
      </c>
      <c r="E95" s="373" t="s">
        <v>221</v>
      </c>
      <c r="F95" s="373" t="s">
        <v>222</v>
      </c>
      <c r="G95" s="373" t="s">
        <v>223</v>
      </c>
      <c r="H95" s="373" t="s">
        <v>224</v>
      </c>
      <c r="I95" s="373" t="s">
        <v>225</v>
      </c>
      <c r="J95" s="373" t="s">
        <v>226</v>
      </c>
      <c r="K95" s="373" t="s">
        <v>227</v>
      </c>
      <c r="L95" s="373" t="s">
        <v>228</v>
      </c>
      <c r="M95" s="373" t="s">
        <v>333</v>
      </c>
      <c r="N95" s="373" t="s">
        <v>334</v>
      </c>
      <c r="O95" s="373" t="s">
        <v>363</v>
      </c>
      <c r="P95" s="373" t="s">
        <v>364</v>
      </c>
      <c r="Q95" s="373" t="s">
        <v>370</v>
      </c>
      <c r="R95" s="373" t="s">
        <v>371</v>
      </c>
      <c r="S95" s="373" t="s">
        <v>422</v>
      </c>
      <c r="T95" s="373" t="s">
        <v>423</v>
      </c>
    </row>
    <row r="96" spans="2:20">
      <c r="B96" s="190" t="s">
        <v>40</v>
      </c>
      <c r="C96" s="190">
        <v>28067</v>
      </c>
      <c r="D96" s="190">
        <v>32818</v>
      </c>
      <c r="E96" s="190">
        <v>35314</v>
      </c>
      <c r="F96" s="190">
        <v>35999</v>
      </c>
      <c r="G96" s="190">
        <v>23661</v>
      </c>
      <c r="S96" s="544"/>
      <c r="T96" s="544"/>
    </row>
    <row r="97" spans="2:20">
      <c r="B97" s="190" t="s">
        <v>217</v>
      </c>
      <c r="C97" s="190">
        <v>15919</v>
      </c>
      <c r="D97" s="190">
        <v>19326</v>
      </c>
      <c r="E97" s="190">
        <v>18177</v>
      </c>
      <c r="F97" s="190">
        <v>28224</v>
      </c>
      <c r="G97" s="190">
        <v>13780</v>
      </c>
      <c r="S97" s="544"/>
      <c r="T97" s="544"/>
    </row>
    <row r="98" spans="2:20">
      <c r="B98" s="190" t="s">
        <v>218</v>
      </c>
      <c r="C98" s="190">
        <v>1836</v>
      </c>
      <c r="D98" s="190">
        <v>2935</v>
      </c>
      <c r="E98" s="190">
        <v>3930</v>
      </c>
      <c r="F98" s="190">
        <v>6263</v>
      </c>
      <c r="G98" s="190">
        <v>6107</v>
      </c>
      <c r="S98" s="544"/>
      <c r="T98" s="544"/>
    </row>
    <row r="99" spans="2:20">
      <c r="J99" s="190" t="s">
        <v>424</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vt:lpstr>
      <vt:lpstr>Methodology</vt:lpstr>
      <vt:lpstr>Products</vt:lpstr>
      <vt:lpstr>Summary</vt:lpstr>
      <vt:lpstr>Dashboard</vt:lpstr>
      <vt:lpstr>Products x speed</vt:lpstr>
      <vt:lpstr>112 Adoption</vt:lpstr>
      <vt:lpstr>Cost per Gbps</vt:lpstr>
      <vt:lpstr>Figures for Report</vt:lpstr>
      <vt:lpstr>Revenue</vt:lpstr>
      <vt:lpstr>Volume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John Lively</cp:lastModifiedBy>
  <cp:lastPrinted>2014-02-18T16:48:58Z</cp:lastPrinted>
  <dcterms:created xsi:type="dcterms:W3CDTF">2009-02-04T20:40:14Z</dcterms:created>
  <dcterms:modified xsi:type="dcterms:W3CDTF">2020-09-30T16:16:11Z</dcterms:modified>
</cp:coreProperties>
</file>